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Francis/PycharmProjects/VerticalFarming/"/>
    </mc:Choice>
  </mc:AlternateContent>
  <xr:revisionPtr revIDLastSave="0" documentId="8_{AEDD3228-E733-7B4B-ABAC-21F5C0D10181}" xr6:coauthVersionLast="45" xr6:coauthVersionMax="45" xr10:uidLastSave="{00000000-0000-0000-0000-000000000000}"/>
  <bookViews>
    <workbookView xWindow="27220" yWindow="-1300" windowWidth="36780" windowHeight="18320" activeTab="5" xr2:uid="{00000000-000D-0000-FFFF-FFFF00000000}"/>
  </bookViews>
  <sheets>
    <sheet name="Inputs" sheetId="14" r:id="rId1"/>
    <sheet name="Summary" sheetId="1" r:id="rId2"/>
    <sheet name="Overview" sheetId="2" r:id="rId3"/>
    <sheet name="CapEx Breakdown" sheetId="11" r:id="rId4"/>
    <sheet name="Consumables" sheetId="3" r:id="rId5"/>
    <sheet name="Database" sheetId="6" r:id="rId6"/>
    <sheet name="Production Technologies" sheetId="10" r:id="rId7"/>
    <sheet name="HVAC" sheetId="12" r:id="rId8"/>
  </sheets>
  <definedNames>
    <definedName name="_xlnm._FilterDatabase" localSheetId="5" hidden="1">Database!$A$7:$Z$93</definedName>
    <definedName name="admin_count_y1">Overview!$F$138</definedName>
    <definedName name="admin_count_y2">Overview!$G$138</definedName>
    <definedName name="admin_msalary">Overview!$B$126</definedName>
    <definedName name="automation_level">Overview!$B$32</definedName>
    <definedName name="avg_revenue_full">Overview!$C$26</definedName>
    <definedName name="avg_revenue_pilot">Overview!$B$26</definedName>
    <definedName name="avg_yield_full">Overview!$C$25</definedName>
    <definedName name="avg_yield_pilot">Overview!$B$25</definedName>
    <definedName name="biosecurity_level">Overview!$B$49</definedName>
    <definedName name="business_model">Overview!$B$30</definedName>
    <definedName name="ceiling_height">Overview!$B$40</definedName>
    <definedName name="ceo_count_y1">Overview!$F$130</definedName>
    <definedName name="ceo_count_y2">Overview!$G$130</definedName>
    <definedName name="ceo_msalary">Overview!$B$120</definedName>
    <definedName name="climate_control">Overview!$B$33</definedName>
    <definedName name="co2_enrichment">Overview!$B$43</definedName>
    <definedName name="construction_cost">Overview!$B$60</definedName>
    <definedName name="crop_total_percent">Overview!$L$16</definedName>
    <definedName name="crop_typ1">Overview!$H$15</definedName>
    <definedName name="crop_typ2">Overview!$I$15</definedName>
    <definedName name="crop_typ3">Overview!$J$15</definedName>
    <definedName name="crop_typ4">Overview!$K$15</definedName>
    <definedName name="crop1_ayield_full">Overview!$H$40</definedName>
    <definedName name="crop1_ayield_pilot">Overview!$H$39</definedName>
    <definedName name="crop1_brevenue_full">Overview!$H$28</definedName>
    <definedName name="crop1_brevenue_pilot">Overview!$H$27</definedName>
    <definedName name="crop1_byield_full">Overview!$H$26</definedName>
    <definedName name="crop1_byield_pilot">Overview!$H$25</definedName>
    <definedName name="crop1_co2f">Overview!$H$37</definedName>
    <definedName name="crop1_cost">Overview!$H$33</definedName>
    <definedName name="crop1_customer_percent">Overview!$H$22</definedName>
    <definedName name="crop1_harvest_cycle">Overview!$H$19</definedName>
    <definedName name="crop1_harvest_weight">Overview!$H$20</definedName>
    <definedName name="crop1_lightf">Overview!$H$36</definedName>
    <definedName name="crop1_nutrientf">Overview!$H$35</definedName>
    <definedName name="crop1_percent">Overview!$H$16</definedName>
    <definedName name="crop1_photoperiod">Overview!$H$18</definedName>
    <definedName name="crop1_plants_full">Overview!$H$30</definedName>
    <definedName name="crop1_plants_pilot">Overview!$H$29</definedName>
    <definedName name="crop1_pq">Overview!$H$38</definedName>
    <definedName name="crop1_price1">Overview!$H$23</definedName>
    <definedName name="crop1_price2">Overview!$H$24</definedName>
    <definedName name="crop1_product_weight">Overview!$H$21</definedName>
    <definedName name="crop1_racks_full">Overview!$H$42</definedName>
    <definedName name="crop1_racks_pilot">Overview!$H$41</definedName>
    <definedName name="crop1_seeds_cost_full">Overview!$H$32</definedName>
    <definedName name="crop1_seeds_cost_pilot">Overview!$H$31</definedName>
    <definedName name="crop1_system">Overview!$H$17</definedName>
    <definedName name="crop1_tempf">Overview!$H$34</definedName>
    <definedName name="crop2_ayield_full">Overview!$I$40</definedName>
    <definedName name="crop2_ayield_pilot">Overview!$I$39</definedName>
    <definedName name="crop2_brevenue_full">Overview!$I$28</definedName>
    <definedName name="crop2_brevenue_pilot">Overview!$I$27</definedName>
    <definedName name="crop2_byield_full">Overview!$I$26</definedName>
    <definedName name="crop2_byield_pilot">Overview!$I$25</definedName>
    <definedName name="crop2_co2f">Overview!$I$37</definedName>
    <definedName name="crop2_cost">Overview!$I$33</definedName>
    <definedName name="crop2_customer_percent">Overview!$I$22</definedName>
    <definedName name="crop2_harvest_cycle">Overview!$I$19</definedName>
    <definedName name="crop2_harvest_weight">Overview!$I$20</definedName>
    <definedName name="crop2_lightf">Overview!$I$36</definedName>
    <definedName name="crop2_nutrientf">Overview!$I$35</definedName>
    <definedName name="crop2_percent">Overview!$I$16</definedName>
    <definedName name="crop2_photoperiod">Overview!$I$18</definedName>
    <definedName name="crop2_plants_full">Overview!$I$30</definedName>
    <definedName name="crop2_plants_pilot">Overview!$I$29</definedName>
    <definedName name="crop2_pq">Overview!$I$38</definedName>
    <definedName name="crop2_price1">Overview!$I$23</definedName>
    <definedName name="crop2_price2">Overview!$I$24</definedName>
    <definedName name="crop2_product_weight">Overview!$I$21</definedName>
    <definedName name="crop2_racks_full">Overview!$I$42</definedName>
    <definedName name="crop2_racks_pilot">Overview!$I$41</definedName>
    <definedName name="crop2_seeds_cost_full">Overview!$I$32</definedName>
    <definedName name="crop2_seeds_cost_pilot">Overview!$I$31</definedName>
    <definedName name="crop2_system">Overview!$I$17</definedName>
    <definedName name="crop2_tempf">Overview!$I$34</definedName>
    <definedName name="crop3_ayield_full">Overview!$J$40</definedName>
    <definedName name="crop3_ayield_pilot">Overview!$J$39</definedName>
    <definedName name="crop3_brevenue_full">Overview!$J$28</definedName>
    <definedName name="crop3_brevenue_pilot">Overview!$J$27</definedName>
    <definedName name="crop3_byield_full">Overview!$J$26</definedName>
    <definedName name="crop3_byield_pilot">Overview!$J$25</definedName>
    <definedName name="crop3_co2f">Overview!$J$37</definedName>
    <definedName name="crop3_cost">Overview!$J$33</definedName>
    <definedName name="crop3_customer_percent">Overview!$J$22</definedName>
    <definedName name="crop3_harvest_cycle">Overview!$J$19</definedName>
    <definedName name="crop3_harvest_weight">Overview!$J$20</definedName>
    <definedName name="crop3_lightf">Overview!$J$36</definedName>
    <definedName name="crop3_nutrientf">Overview!$J$35</definedName>
    <definedName name="crop3_percent">Overview!$J$16</definedName>
    <definedName name="crop3_photoperiod">Overview!$J$18</definedName>
    <definedName name="crop3_plants_full">Overview!$J$30</definedName>
    <definedName name="crop3_plants_pilot">Overview!$J$29</definedName>
    <definedName name="crop3_pq">Overview!$J$38</definedName>
    <definedName name="crop3_price1">Overview!$J$23</definedName>
    <definedName name="crop3_price2">Overview!$J$24</definedName>
    <definedName name="crop3_product_weight">Overview!$J$21</definedName>
    <definedName name="crop3_racks_full">Overview!$J$42</definedName>
    <definedName name="crop3_racks_pilot">Overview!$J$41</definedName>
    <definedName name="crop3_seeds_cost_full">Overview!$J$32</definedName>
    <definedName name="crop3_seeds_cost_pilot">Overview!$J$31</definedName>
    <definedName name="crop3_system">Overview!$J$17</definedName>
    <definedName name="crop3_tempf">Overview!$J$34</definedName>
    <definedName name="crop4_ayield_full">Overview!$K$40</definedName>
    <definedName name="crop4_ayield_pilot">Overview!$K$39</definedName>
    <definedName name="crop4_brevenue_full">Overview!$K$28</definedName>
    <definedName name="crop4_brevenue_pilot">Overview!$K$27</definedName>
    <definedName name="crop4_byield_full">Overview!$K$26</definedName>
    <definedName name="crop4_byield_pilot">Overview!$K$25</definedName>
    <definedName name="crop4_co2f">Overview!$K$37</definedName>
    <definedName name="crop4_cost">Overview!$K$33</definedName>
    <definedName name="crop4_customer_percent">Overview!$K$22</definedName>
    <definedName name="crop4_harvest_cycle">Overview!$K$19</definedName>
    <definedName name="crop4_harvest_weight">Overview!$K$20</definedName>
    <definedName name="crop4_lightf">Overview!$K$36</definedName>
    <definedName name="crop4_nutrientf">Overview!$K$35</definedName>
    <definedName name="crop4_percent">Overview!$K$16</definedName>
    <definedName name="crop4_photoperiod">Overview!$K$18</definedName>
    <definedName name="crop4_plants_full">Overview!$K$30</definedName>
    <definedName name="crop4_plants_pilot">Overview!$K$29</definedName>
    <definedName name="crop4_pq">Overview!$K$38</definedName>
    <definedName name="crop4_price1">Overview!$K$23</definedName>
    <definedName name="crop4_price2">Overview!$K$24</definedName>
    <definedName name="crop4_product_weight">Overview!$K$21</definedName>
    <definedName name="crop4_racks_full">Overview!$K$42</definedName>
    <definedName name="crop4_racks_pilot">Overview!$K$41</definedName>
    <definedName name="crop4_seeds_cost_full">Overview!$K$32</definedName>
    <definedName name="crop4_seeds_cost_pilot">Overview!$K$31</definedName>
    <definedName name="crop4_system">Overview!$K$17</definedName>
    <definedName name="crop4_tempf">Overview!$K$34</definedName>
    <definedName name="delivery_count_y1">Overview!$F$136</definedName>
    <definedName name="delivery_count_y2">Overview!$G$136</definedName>
    <definedName name="delivery_msalary">Overview!$B$114</definedName>
    <definedName name="education_avg_revenue_y1">Overview!$F$77</definedName>
    <definedName name="education_avg_revenue_y2">Overview!$G$77</definedName>
    <definedName name="education_multiplier">Overview!$C$77</definedName>
    <definedName name="electricity_price">Overview!$B$46</definedName>
    <definedName name="equipment_cost">Overview!$B$61</definedName>
    <definedName name="facility_size_full">Overview!$C$15</definedName>
    <definedName name="facility_size_pilot">Overview!$B$15</definedName>
    <definedName name="farm_type">Overview!$B$29</definedName>
    <definedName name="farmhand_count_y1">Overview!$F$137</definedName>
    <definedName name="farmhand_count_y2">Overview!$G$137</definedName>
    <definedName name="farmhand_msalary">Overview!$B$115</definedName>
    <definedName name="grant_revenue_y1">Overview!$H$80</definedName>
    <definedName name="grant_revenue_y10">Overview!$Q$80</definedName>
    <definedName name="grant_revenue_y11">Overview!$R$80</definedName>
    <definedName name="grant_revenue_y12">Overview!$S$80</definedName>
    <definedName name="grant_revenue_y13">Overview!$T$80</definedName>
    <definedName name="grant_revenue_y14">Overview!$U$80</definedName>
    <definedName name="grant_revenue_y15">Overview!$V$80</definedName>
    <definedName name="grant_revenue_y2">Overview!$I$80</definedName>
    <definedName name="grant_revenue_y3">Overview!$J$80</definedName>
    <definedName name="grant_revenue_y4">Overview!$K$80</definedName>
    <definedName name="grant_revenue_y5">Overview!$L$80</definedName>
    <definedName name="grant_revenue_y6">Overview!$M$80</definedName>
    <definedName name="grant_revenue_y7">Overview!$N$80</definedName>
    <definedName name="grant_revenue_y8">Overview!$O$80</definedName>
    <definedName name="grant_revenue_y9">Overview!$P$80</definedName>
    <definedName name="grower_exp">Overview!$B$31</definedName>
    <definedName name="growing_area_full">Overview!$C$17</definedName>
    <definedName name="growing_area_mulitplier">Overview!$B$21</definedName>
    <definedName name="growing_area_pilot">Overview!$B$17</definedName>
    <definedName name="growing_levels_full">Overview!$C$18</definedName>
    <definedName name="growing_levels_pilot">Overview!$B$18</definedName>
    <definedName name="growing_media">Overview!$B$39</definedName>
    <definedName name="hgrower_count_y1">Overview!$F$131</definedName>
    <definedName name="hgrower_count_y2">Overview!$G$131</definedName>
    <definedName name="hgrower_msalary">Overview!$B$121</definedName>
    <definedName name="hospitality_avg_revenue_y1">Overview!$F$79</definedName>
    <definedName name="hospitality_avg_revenue_y2">Overview!$G$79</definedName>
    <definedName name="hospitality_multiplier">Overview!$C$79</definedName>
    <definedName name="insultation_level">Overview!$B$41</definedName>
    <definedName name="insurance_full">Overview!$G$98</definedName>
    <definedName name="insurance_pilot">Overview!$F$98</definedName>
    <definedName name="labour_improvement">Overview!$B$47</definedName>
    <definedName name="light_qty">Overview!$C$37</definedName>
    <definedName name="light_system">Overview!$B$37</definedName>
    <definedName name="lighting_control">Overview!$B$34</definedName>
    <definedName name="loan_amount">Overview!$B$53</definedName>
    <definedName name="loan_interest">Overview!$B$55</definedName>
    <definedName name="loan_tenure">Overview!$B$56</definedName>
    <definedName name="loan_type">Overview!$B$57</definedName>
    <definedName name="m1_wa_sales">Overview!$F$72</definedName>
    <definedName name="m1_wa_yield_crop1">Overview!$F$68</definedName>
    <definedName name="m1_wa_yield_crop2">Overview!$F$69</definedName>
    <definedName name="m1_wa_yield_crop3">Overview!$F$70</definedName>
    <definedName name="m1_wa_yield_crop4">Overview!$F$71</definedName>
    <definedName name="m2_wa_sales">Overview!$G$72</definedName>
    <definedName name="m2_wa_yield_crop1">Overview!$G$68</definedName>
    <definedName name="m2_wa_yield_crop2">Overview!$G$69</definedName>
    <definedName name="m2_wa_yield_crop3">Overview!$G$70</definedName>
    <definedName name="m2_wa_yield_crop4">Overview!$G$71</definedName>
    <definedName name="manager_count_y1">Overview!$F$135</definedName>
    <definedName name="manager_count_y2">Overview!$G$135</definedName>
    <definedName name="manager_msalary">Overview!$B$125</definedName>
    <definedName name="marketer_count_y1">Overview!$F$132</definedName>
    <definedName name="marketer_count_y2">Overview!$G$132</definedName>
    <definedName name="marketer_msalary">Overview!$B$122</definedName>
    <definedName name="metric_CO2_emitted">Overview!$G$52</definedName>
    <definedName name="metric_CO2_mitigated">Overview!$G$53</definedName>
    <definedName name="metric_CO2_net">Overview!$G$54</definedName>
    <definedName name="metric_energy">Overview!$G$47</definedName>
    <definedName name="metric_labour">Overview!$G$48</definedName>
    <definedName name="metric_nutrients">Overview!$G$50</definedName>
    <definedName name="metric_plants">Overview!$G$55</definedName>
    <definedName name="metric_space">Overview!$I$46</definedName>
    <definedName name="metric_volume">Overview!$G$51</definedName>
    <definedName name="metric_water">Overview!$G$49</definedName>
    <definedName name="metric_yield">Overview!$G$46</definedName>
    <definedName name="monthly_distribution_y1">Overview!$F$99</definedName>
    <definedName name="monthly_distribution_y2">Overview!$G$99</definedName>
    <definedName name="monthly_rent_y1">Overview!$F$95</definedName>
    <definedName name="monthly_rent_y2">Overview!$G$95</definedName>
    <definedName name="no_lights_full">Overview!$C$22</definedName>
    <definedName name="no_lights_pilot">Overview!$B$22</definedName>
    <definedName name="normal">Overview!$L$46</definedName>
    <definedName name="normal_CO2">Overview!$K$52</definedName>
    <definedName name="normal_CO2_emit">Overview!$K$53</definedName>
    <definedName name="normal_CO2_net">Overview!$K$54</definedName>
    <definedName name="normal_energy">Overview!$K$47</definedName>
    <definedName name="normal_labour">Overview!$K$48</definedName>
    <definedName name="normal_nutrient">Overview!$K$50</definedName>
    <definedName name="normal_space">Overview!$K$46</definedName>
    <definedName name="normal_volume">Overview!$K$51</definedName>
    <definedName name="normal_water">Overview!$K$49</definedName>
    <definedName name="nutrient_control">Overview!$B$35</definedName>
    <definedName name="other_costs_full">Overview!$C$24</definedName>
    <definedName name="other_costs_pilot">Overview!$B$24</definedName>
    <definedName name="packaging_cost_full">Overview!$C$23</definedName>
    <definedName name="packaging_cost_pilot">Overview!$B$23</definedName>
    <definedName name="parttime_count_y1">Overview!$F$139</definedName>
    <definedName name="parttime_count_y2">Overview!$G$139</definedName>
    <definedName name="parttime_wage">Overview!$B$116</definedName>
    <definedName name="percent_production_area_full">Overview!$C$16</definedName>
    <definedName name="percent_production_area_pilot">Overview!$B$16</definedName>
    <definedName name="percentage_renewable_energy">Overview!$B$48</definedName>
    <definedName name="plant_sites">Overview!$B$38</definedName>
    <definedName name="production_area_full">Overview!$C$16</definedName>
    <definedName name="production_area_pilot">Overview!$B$16</definedName>
    <definedName name="productivity_CO2">Overview!$I$52</definedName>
    <definedName name="productivity_CO2_omit">Overview!$I$53</definedName>
    <definedName name="productivity_energy">Overview!$I$47</definedName>
    <definedName name="productivity_labour">Overview!$I$48</definedName>
    <definedName name="productivity_nutrient">Overview!$I$50</definedName>
    <definedName name="productivity_plants">Overview!$I$55</definedName>
    <definedName name="productivity_volume">Overview!$I$51</definedName>
    <definedName name="productivity_water">Overview!$I$49</definedName>
    <definedName name="produticity_net_CO2">Overview!$I$54</definedName>
    <definedName name="reserve_fund">Overview!$B$63</definedName>
    <definedName name="roof_type">Overview!$B$42</definedName>
    <definedName name="salesperson_count_y1">Overview!$F$134</definedName>
    <definedName name="salesperson_count_y2">Overview!$G$134</definedName>
    <definedName name="salesperson_msalary">Overview!$B$124</definedName>
    <definedName name="scientist_count_y1">Overview!$F$133</definedName>
    <definedName name="scientist_count_y2">Overview!$G$133</definedName>
    <definedName name="scientist_msalary">Overview!$B$123</definedName>
    <definedName name="stacked_growing_area_full">Overview!$C$19</definedName>
    <definedName name="stacked_growing_area_pilot">Overview!$B$19</definedName>
    <definedName name="start_date">Overview!$B$12</definedName>
    <definedName name="structure_type">Overview!$B$44</definedName>
    <definedName name="system_quantity">Overview!$C$36</definedName>
    <definedName name="system_type">Overview!$B$36</definedName>
    <definedName name="target_productivity_CO2">Overview!$J$52</definedName>
    <definedName name="target_productivity_CO2_net">Overview!$J$54</definedName>
    <definedName name="target_productivity_CO2_omitted">Overview!$J$53</definedName>
    <definedName name="target_productivity_energy">Overview!$J$47</definedName>
    <definedName name="target_productivity_labour">Overview!$J$48</definedName>
    <definedName name="target_productivity_nutrients">Overview!$J$50</definedName>
    <definedName name="target_productivity_plants">Overview!$J$55</definedName>
    <definedName name="target_productivity_space">Overview!$J$46</definedName>
    <definedName name="target_productivity_volume">Overview!$J$51</definedName>
    <definedName name="target_productivity_water">Overview!$J$49</definedName>
    <definedName name="tax_rate">Overview!$B$54</definedName>
    <definedName name="total_brevenue_full">Overview!$L$28</definedName>
    <definedName name="total_brevenue_pilot">Overview!$L$27</definedName>
    <definedName name="total_byield_full">Overview!$L$26</definedName>
    <definedName name="total_byield_pilot">Overview!$L$25</definedName>
    <definedName name="total_capex">Overview!$B$62</definedName>
    <definedName name="total_headcount_y1">Overview!$F$140</definedName>
    <definedName name="total_headcount_y2">Overview!$G$140</definedName>
    <definedName name="total_plants_full">Overview!$L$30</definedName>
    <definedName name="total_plants_pilot">Overview!$L$29</definedName>
    <definedName name="tourism_avg_revenue_y1">Overview!$F$78</definedName>
    <definedName name="tourism_avg_revenue_y2">Overview!$G$78</definedName>
    <definedName name="tourism_multiplier">Overview!$C$78</definedName>
    <definedName name="vadded_avg_revenue_y1">Overview!$F$76</definedName>
    <definedName name="vadded_avg_revenue_y2">Overview!$G$76</definedName>
    <definedName name="vadded_products_multiplier">Overview!$C$76</definedName>
    <definedName name="water_price">Overview!$B$45</definedName>
    <definedName name="weight_unit">Overview!$B$20</definedName>
    <definedName name="y1_wa_sales">Overview!$H$72</definedName>
    <definedName name="y1_wa_yield_crop1">Overview!$H$68</definedName>
    <definedName name="y1_wa_yield_crop2">Overview!$H$69</definedName>
    <definedName name="y1_wa_yield_crop3">Overview!$H$70</definedName>
    <definedName name="y1_wa_yield_crop4">Overview!$H$71</definedName>
    <definedName name="y2_wa_sales">Overview!$I$72</definedName>
    <definedName name="y2_wa_yield_crop1">Overview!$I$68</definedName>
    <definedName name="y2_wa_yield_crop2">Overview!$I$69</definedName>
    <definedName name="y2_wa_yield_crop3">Overview!$I$70</definedName>
    <definedName name="y2_wa_yield_crop4">Overview!$I$71</definedName>
    <definedName name="y3_wa_sales">Overview!$J$72</definedName>
    <definedName name="y3_wa_yield_crop1">Overview!$J$68</definedName>
    <definedName name="y3_wa_yield_crop2">Overview!$J$69</definedName>
    <definedName name="y3_wa_yield_crop3">Overview!$J$70</definedName>
    <definedName name="y3_wa_yield_crop4">Overview!$J$71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9" i="2" l="1"/>
  <c r="I89" i="2"/>
  <c r="J89" i="2"/>
  <c r="L86" i="2"/>
  <c r="M86" i="2"/>
  <c r="N86" i="2"/>
  <c r="O86" i="2"/>
  <c r="P86" i="2"/>
  <c r="Q86" i="2"/>
  <c r="R86" i="2"/>
  <c r="S86" i="2"/>
  <c r="T86" i="2"/>
  <c r="U86" i="2"/>
  <c r="V86" i="2"/>
  <c r="K86" i="2"/>
  <c r="J86" i="2"/>
  <c r="I86" i="2"/>
  <c r="H107" i="2"/>
  <c r="F107" i="2" s="1"/>
  <c r="K116" i="2"/>
  <c r="L116" i="2" s="1"/>
  <c r="M116" i="2" s="1"/>
  <c r="N116" i="2" s="1"/>
  <c r="O116" i="2" s="1"/>
  <c r="P116" i="2" s="1"/>
  <c r="Q116" i="2" s="1"/>
  <c r="R116" i="2" s="1"/>
  <c r="S116" i="2" s="1"/>
  <c r="T116" i="2" s="1"/>
  <c r="U116" i="2" s="1"/>
  <c r="V116" i="2" s="1"/>
  <c r="J116" i="2"/>
  <c r="K84" i="2"/>
  <c r="L84" i="2" s="1"/>
  <c r="M84" i="2" s="1"/>
  <c r="N84" i="2" s="1"/>
  <c r="O84" i="2" s="1"/>
  <c r="P84" i="2" s="1"/>
  <c r="Q84" i="2" s="1"/>
  <c r="R84" i="2" s="1"/>
  <c r="S84" i="2" s="1"/>
  <c r="T84" i="2" s="1"/>
  <c r="U84" i="2" s="1"/>
  <c r="V84" i="2" s="1"/>
  <c r="J84" i="2"/>
  <c r="I84" i="2"/>
  <c r="I116" i="2"/>
  <c r="H116" i="2"/>
  <c r="G116" i="2"/>
  <c r="F116" i="2"/>
  <c r="B118" i="14" l="1"/>
  <c r="B117" i="14"/>
  <c r="B116" i="14"/>
  <c r="B115" i="14"/>
  <c r="B114" i="14"/>
  <c r="J61" i="2" l="1"/>
  <c r="B10" i="14" l="1"/>
  <c r="B96" i="14"/>
  <c r="F25" i="11" l="1"/>
  <c r="I125" i="2" l="1"/>
  <c r="J125" i="2" s="1"/>
  <c r="K125" i="2" s="1"/>
  <c r="L125" i="2" s="1"/>
  <c r="M125" i="2" s="1"/>
  <c r="N125" i="2" s="1"/>
  <c r="O125" i="2" s="1"/>
  <c r="P125" i="2" s="1"/>
  <c r="Q125" i="2" s="1"/>
  <c r="R125" i="2" s="1"/>
  <c r="S125" i="2" s="1"/>
  <c r="T125" i="2" s="1"/>
  <c r="U125" i="2" s="1"/>
  <c r="V125" i="2" s="1"/>
  <c r="H104" i="2"/>
  <c r="B113" i="14"/>
  <c r="B112" i="14"/>
  <c r="G49" i="2"/>
  <c r="I104" i="2" l="1"/>
  <c r="J104" i="2" s="1"/>
  <c r="F104" i="2"/>
  <c r="B18" i="14"/>
  <c r="B17" i="14"/>
  <c r="B16" i="14"/>
  <c r="B2" i="14" l="1"/>
  <c r="B111" i="14" l="1"/>
  <c r="B110" i="14"/>
  <c r="B109" i="14"/>
  <c r="B108" i="14"/>
  <c r="B107" i="14"/>
  <c r="B106" i="14"/>
  <c r="B105" i="14"/>
  <c r="B103" i="14"/>
  <c r="B104" i="14"/>
  <c r="B102" i="14"/>
  <c r="B101" i="14"/>
  <c r="B100" i="14"/>
  <c r="B99" i="14"/>
  <c r="B98" i="14"/>
  <c r="B97" i="14"/>
  <c r="B95" i="14"/>
  <c r="B94" i="14"/>
  <c r="B93" i="14"/>
  <c r="B92" i="14"/>
  <c r="B91" i="14"/>
  <c r="B90" i="14"/>
  <c r="B89" i="14"/>
  <c r="B88" i="14"/>
  <c r="B87" i="14"/>
  <c r="B86" i="14"/>
  <c r="B85" i="14"/>
  <c r="B84" i="14"/>
  <c r="B83" i="14"/>
  <c r="B82" i="14"/>
  <c r="B81" i="14"/>
  <c r="B79" i="14"/>
  <c r="B78" i="14"/>
  <c r="B75" i="14"/>
  <c r="B77" i="14"/>
  <c r="B76"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1" i="14"/>
  <c r="B22" i="14"/>
  <c r="B20" i="14"/>
  <c r="B19" i="14"/>
  <c r="B15" i="14"/>
  <c r="B14" i="14"/>
  <c r="B13" i="14"/>
  <c r="B12" i="14"/>
  <c r="B11" i="14"/>
  <c r="B9" i="14"/>
  <c r="B8" i="14"/>
  <c r="B7" i="14"/>
  <c r="B6" i="14"/>
  <c r="B5" i="14"/>
  <c r="B3" i="14"/>
  <c r="B4" i="14"/>
  <c r="B20" i="11" l="1"/>
  <c r="Q153" i="2"/>
  <c r="A38" i="2" l="1"/>
  <c r="G140" i="2"/>
  <c r="H139" i="2"/>
  <c r="I139" i="2"/>
  <c r="F140" i="2"/>
  <c r="G48" i="2"/>
  <c r="J139" i="2" l="1"/>
  <c r="K139" i="2" l="1"/>
  <c r="L139" i="2" l="1"/>
  <c r="M139" i="2" l="1"/>
  <c r="N139" i="2" l="1"/>
  <c r="O139" i="2" l="1"/>
  <c r="P139" i="2" l="1"/>
  <c r="Q139" i="2" l="1"/>
  <c r="R139" i="2" l="1"/>
  <c r="S139" i="2" l="1"/>
  <c r="T139" i="2" l="1"/>
  <c r="C27" i="1" l="1"/>
  <c r="M154" i="2"/>
  <c r="M155" i="2" s="1"/>
  <c r="M156" i="2" s="1"/>
  <c r="M152" i="2"/>
  <c r="L152" i="2"/>
  <c r="M151" i="2"/>
  <c r="L151" i="2"/>
  <c r="N150" i="2"/>
  <c r="N151" i="2" s="1"/>
  <c r="N152" i="2" s="1"/>
  <c r="M150" i="2"/>
  <c r="L150" i="2"/>
  <c r="L154" i="2" s="1"/>
  <c r="L155" i="2" s="1"/>
  <c r="L156" i="2" s="1"/>
  <c r="G154" i="2"/>
  <c r="G155" i="2" s="1"/>
  <c r="G156" i="2" s="1"/>
  <c r="G151" i="2"/>
  <c r="G152" i="2" s="1"/>
  <c r="H150" i="2"/>
  <c r="H151" i="2" s="1"/>
  <c r="H152" i="2" s="1"/>
  <c r="I150" i="2"/>
  <c r="I151" i="2" s="1"/>
  <c r="I152" i="2" s="1"/>
  <c r="G150" i="2"/>
  <c r="E97" i="6"/>
  <c r="B38" i="2" s="1"/>
  <c r="A118" i="3"/>
  <c r="A119" i="3"/>
  <c r="A120" i="3"/>
  <c r="A121"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35" i="3"/>
  <c r="K15" i="6"/>
  <c r="K14" i="6"/>
  <c r="K13" i="6"/>
  <c r="K11" i="6"/>
  <c r="K10" i="6"/>
  <c r="K9" i="6"/>
  <c r="I99" i="2"/>
  <c r="J99" i="2" s="1"/>
  <c r="K99" i="2" s="1"/>
  <c r="L99" i="2" s="1"/>
  <c r="M99" i="2" s="1"/>
  <c r="N99" i="2" s="1"/>
  <c r="O99" i="2" s="1"/>
  <c r="P99" i="2" s="1"/>
  <c r="Q99" i="2" s="1"/>
  <c r="R99" i="2" s="1"/>
  <c r="S99" i="2" s="1"/>
  <c r="T99" i="2" s="1"/>
  <c r="U99" i="2" s="1"/>
  <c r="V99" i="2" s="1"/>
  <c r="H99" i="2"/>
  <c r="I35" i="6"/>
  <c r="I154" i="2" l="1"/>
  <c r="I155" i="2" s="1"/>
  <c r="I156" i="2" s="1"/>
  <c r="H154" i="2"/>
  <c r="H155" i="2" s="1"/>
  <c r="H156" i="2" s="1"/>
  <c r="N154" i="2"/>
  <c r="N155" i="2" s="1"/>
  <c r="N156" i="2" s="1"/>
  <c r="K39" i="6" l="1"/>
  <c r="I38" i="6"/>
  <c r="I39" i="6"/>
  <c r="I13" i="6"/>
  <c r="I11" i="6"/>
  <c r="I10" i="6"/>
  <c r="I19" i="2"/>
  <c r="J19" i="2"/>
  <c r="K19" i="2"/>
  <c r="H19" i="2"/>
  <c r="C61" i="11" l="1"/>
  <c r="C68" i="11"/>
  <c r="C67" i="11"/>
  <c r="C66" i="11"/>
  <c r="C65" i="11"/>
  <c r="C64" i="11"/>
  <c r="C63" i="11"/>
  <c r="C62" i="11"/>
  <c r="B61" i="11"/>
  <c r="B62" i="11"/>
  <c r="B66" i="11"/>
  <c r="B65" i="11"/>
  <c r="B64" i="11"/>
  <c r="B63" i="11"/>
  <c r="K40" i="6"/>
  <c r="I40" i="6" s="1"/>
  <c r="K37" i="6"/>
  <c r="K71" i="6" l="1"/>
  <c r="K68" i="6"/>
  <c r="K66" i="6"/>
  <c r="K25" i="6"/>
  <c r="I37" i="2" l="1"/>
  <c r="J37" i="2"/>
  <c r="K37" i="2"/>
  <c r="H37" i="2"/>
  <c r="I36" i="2"/>
  <c r="J36" i="2"/>
  <c r="K36" i="2"/>
  <c r="H36" i="2"/>
  <c r="H35" i="2"/>
  <c r="I35" i="2"/>
  <c r="J35" i="2"/>
  <c r="K35" i="2"/>
  <c r="I34" i="2"/>
  <c r="J34" i="2"/>
  <c r="K34" i="2"/>
  <c r="H34" i="2"/>
  <c r="H135" i="2"/>
  <c r="I135" i="2" s="1"/>
  <c r="J135" i="2" s="1"/>
  <c r="K135" i="2" s="1"/>
  <c r="L135" i="2" s="1"/>
  <c r="M135" i="2" s="1"/>
  <c r="N135" i="2" s="1"/>
  <c r="O135" i="2" s="1"/>
  <c r="P135" i="2" s="1"/>
  <c r="Q135" i="2" s="1"/>
  <c r="R135" i="2" s="1"/>
  <c r="S135" i="2" s="1"/>
  <c r="T135" i="2" s="1"/>
  <c r="C125" i="2"/>
  <c r="C37" i="2"/>
  <c r="H125" i="2" l="1"/>
  <c r="I38" i="2"/>
  <c r="J38" i="2"/>
  <c r="K38" i="2"/>
  <c r="H38" i="2"/>
  <c r="K18" i="2"/>
  <c r="J18" i="2"/>
  <c r="I18" i="2"/>
  <c r="H18" i="2"/>
  <c r="L16" i="2"/>
  <c r="L18" i="2" l="1"/>
  <c r="F88" i="2" s="1"/>
  <c r="C18" i="2"/>
  <c r="H88" i="2" l="1"/>
  <c r="I88" i="2" s="1"/>
  <c r="I98" i="2"/>
  <c r="J98" i="2" s="1"/>
  <c r="K98" i="2" s="1"/>
  <c r="L98" i="2" s="1"/>
  <c r="M98" i="2" s="1"/>
  <c r="N98" i="2" s="1"/>
  <c r="O98" i="2" s="1"/>
  <c r="P98" i="2" s="1"/>
  <c r="Q98" i="2" s="1"/>
  <c r="R98" i="2" s="1"/>
  <c r="S98" i="2" s="1"/>
  <c r="T98" i="2" s="1"/>
  <c r="U98" i="2" s="1"/>
  <c r="V98" i="2" s="1"/>
  <c r="H79" i="2"/>
  <c r="H98" i="2"/>
  <c r="G115" i="2"/>
  <c r="G114" i="2"/>
  <c r="F115" i="2"/>
  <c r="F114" i="2"/>
  <c r="C120" i="2"/>
  <c r="G25" i="11"/>
  <c r="H25" i="11" s="1"/>
  <c r="H95" i="2"/>
  <c r="I95" i="2" s="1"/>
  <c r="G95" i="2" s="1"/>
  <c r="B80" i="14" s="1"/>
  <c r="G76" i="2"/>
  <c r="I76" i="2" s="1"/>
  <c r="G79" i="2"/>
  <c r="I79" i="2" s="1"/>
  <c r="G78" i="2"/>
  <c r="I78" i="2" s="1"/>
  <c r="G77" i="2"/>
  <c r="I77" i="2" s="1"/>
  <c r="J77" i="2" s="1"/>
  <c r="K77" i="2" s="1"/>
  <c r="L77" i="2" s="1"/>
  <c r="M77" i="2" s="1"/>
  <c r="N77" i="2" s="1"/>
  <c r="O77" i="2" s="1"/>
  <c r="P77" i="2" s="1"/>
  <c r="Q77" i="2" s="1"/>
  <c r="R77" i="2" s="1"/>
  <c r="S77" i="2" s="1"/>
  <c r="T77" i="2" s="1"/>
  <c r="U77" i="2" s="1"/>
  <c r="V77" i="2" s="1"/>
  <c r="H77" i="2"/>
  <c r="K67" i="6"/>
  <c r="J88" i="2" l="1"/>
  <c r="C22" i="2"/>
  <c r="D97" i="6"/>
  <c r="G47" i="2" l="1"/>
  <c r="G53" i="2" s="1"/>
  <c r="G88" i="2"/>
  <c r="I23" i="6"/>
  <c r="I28" i="6"/>
  <c r="I37" i="6"/>
  <c r="I67" i="6"/>
  <c r="I86" i="6"/>
  <c r="Q66" i="6"/>
  <c r="Q65" i="6"/>
  <c r="Q64" i="6"/>
  <c r="Q63" i="6"/>
  <c r="Q62" i="6"/>
  <c r="Q61" i="6"/>
  <c r="Q60" i="6"/>
  <c r="Q59" i="6"/>
  <c r="Q58" i="6"/>
  <c r="Q57" i="6"/>
  <c r="Q56" i="6"/>
  <c r="Q55" i="6"/>
  <c r="Q54" i="6"/>
  <c r="Q53" i="6"/>
  <c r="Q52" i="6"/>
  <c r="Q51" i="6"/>
  <c r="Q50" i="6"/>
  <c r="Q49" i="6"/>
  <c r="Q48" i="6"/>
  <c r="Q47" i="6"/>
  <c r="Q46" i="6"/>
  <c r="Q45" i="6"/>
  <c r="Q94" i="6"/>
  <c r="P94" i="6"/>
  <c r="P93" i="6"/>
  <c r="Q93" i="6"/>
  <c r="Q92" i="6"/>
  <c r="Q91" i="6"/>
  <c r="Q90" i="6"/>
  <c r="P90" i="6"/>
  <c r="P89" i="6"/>
  <c r="Q89" i="6"/>
  <c r="Q88" i="6"/>
  <c r="Q87" i="6"/>
  <c r="Q85" i="6"/>
  <c r="Q84" i="6"/>
  <c r="Q83" i="6"/>
  <c r="Q82" i="6"/>
  <c r="Q80" i="6"/>
  <c r="Q81" i="6"/>
  <c r="Q79" i="6"/>
  <c r="Q78" i="6"/>
  <c r="Q77" i="6"/>
  <c r="Q76" i="6"/>
  <c r="Q75" i="6"/>
  <c r="Q74" i="6"/>
  <c r="P74" i="6"/>
  <c r="Q73" i="6"/>
  <c r="Q72" i="6"/>
  <c r="P72" i="6"/>
  <c r="Q71" i="6"/>
  <c r="Q70" i="6"/>
  <c r="Q69" i="6"/>
  <c r="Q44" i="6"/>
  <c r="Q43" i="6"/>
  <c r="Q42" i="6"/>
  <c r="Q41" i="6"/>
  <c r="Q36" i="6"/>
  <c r="Q34" i="6"/>
  <c r="Q33" i="6"/>
  <c r="Q32" i="6"/>
  <c r="Q31" i="6"/>
  <c r="Q30" i="6"/>
  <c r="Q29" i="6"/>
  <c r="Q27" i="6"/>
  <c r="Q26" i="6"/>
  <c r="P26" i="6"/>
  <c r="Q25" i="6"/>
  <c r="Q24" i="6"/>
  <c r="N22" i="6"/>
  <c r="M22" i="6"/>
  <c r="L22" i="6"/>
  <c r="J22" i="6"/>
  <c r="I22" i="6" s="1"/>
  <c r="Q22" i="6"/>
  <c r="Q21" i="6"/>
  <c r="Q20" i="6"/>
  <c r="P20" i="6"/>
  <c r="O20" i="6"/>
  <c r="Q19" i="6"/>
  <c r="Q18" i="6"/>
  <c r="Q17" i="6"/>
  <c r="P17" i="6"/>
  <c r="Q16" i="6"/>
  <c r="Q15" i="6"/>
  <c r="Q12" i="6"/>
  <c r="Q14" i="6"/>
  <c r="Q9" i="6"/>
  <c r="Q8" i="6"/>
  <c r="P16" i="6"/>
  <c r="N53" i="6"/>
  <c r="N54" i="6"/>
  <c r="N55" i="6"/>
  <c r="N56" i="6"/>
  <c r="N57" i="6"/>
  <c r="N58" i="6"/>
  <c r="M53" i="6"/>
  <c r="L53" i="6"/>
  <c r="J53" i="6"/>
  <c r="M54" i="6"/>
  <c r="L54" i="6"/>
  <c r="J54" i="6"/>
  <c r="I54" i="6" s="1"/>
  <c r="L55" i="6"/>
  <c r="M55" i="6"/>
  <c r="J55" i="6"/>
  <c r="I55" i="6" s="1"/>
  <c r="M56" i="6"/>
  <c r="L56" i="6"/>
  <c r="J56" i="6"/>
  <c r="M57" i="6"/>
  <c r="L57" i="6"/>
  <c r="J57" i="6"/>
  <c r="L58" i="6"/>
  <c r="M58" i="6"/>
  <c r="J58" i="6"/>
  <c r="I58" i="6" s="1"/>
  <c r="N59" i="6"/>
  <c r="M59" i="6"/>
  <c r="L59" i="6"/>
  <c r="J59" i="6"/>
  <c r="I59" i="6" s="1"/>
  <c r="N60" i="6"/>
  <c r="M60" i="6"/>
  <c r="L60" i="6"/>
  <c r="M61" i="6"/>
  <c r="N61" i="6"/>
  <c r="L61" i="6"/>
  <c r="N62" i="6"/>
  <c r="M62" i="6"/>
  <c r="L62" i="6"/>
  <c r="J62" i="6"/>
  <c r="J61" i="6"/>
  <c r="J60" i="6"/>
  <c r="I60" i="6" s="1"/>
  <c r="J63" i="6"/>
  <c r="L63" i="6"/>
  <c r="M63" i="6"/>
  <c r="N63" i="6"/>
  <c r="N64" i="6"/>
  <c r="M64" i="6"/>
  <c r="L64" i="6"/>
  <c r="J64" i="6"/>
  <c r="I64" i="6" s="1"/>
  <c r="N65" i="6"/>
  <c r="L65" i="6"/>
  <c r="M65" i="6"/>
  <c r="J65" i="6"/>
  <c r="N66" i="6"/>
  <c r="M66" i="6"/>
  <c r="L66" i="6"/>
  <c r="J66" i="6"/>
  <c r="I66" i="6" s="1"/>
  <c r="N71" i="6"/>
  <c r="M71" i="6"/>
  <c r="L71" i="6"/>
  <c r="J71" i="6"/>
  <c r="I71" i="6" s="1"/>
  <c r="O72" i="6"/>
  <c r="I72" i="6" s="1"/>
  <c r="N73" i="6"/>
  <c r="M73" i="6"/>
  <c r="L73" i="6"/>
  <c r="J73" i="6"/>
  <c r="O74" i="6"/>
  <c r="I74" i="6" s="1"/>
  <c r="O75" i="6"/>
  <c r="I75" i="6" s="1"/>
  <c r="N76" i="6"/>
  <c r="M76" i="6"/>
  <c r="L76" i="6"/>
  <c r="J76" i="6"/>
  <c r="N78" i="6"/>
  <c r="M78" i="6"/>
  <c r="L78" i="6"/>
  <c r="J78" i="6"/>
  <c r="L79" i="6"/>
  <c r="I79" i="6" s="1"/>
  <c r="M79" i="6"/>
  <c r="N81" i="6"/>
  <c r="M81" i="6"/>
  <c r="L81" i="6"/>
  <c r="J81" i="6"/>
  <c r="N82" i="6"/>
  <c r="M82" i="6"/>
  <c r="L82" i="6"/>
  <c r="J82" i="6"/>
  <c r="L83" i="6"/>
  <c r="M83" i="6"/>
  <c r="N80" i="6"/>
  <c r="M80" i="6"/>
  <c r="L80" i="6"/>
  <c r="J80" i="6"/>
  <c r="N84" i="6"/>
  <c r="M84" i="6"/>
  <c r="L84" i="6"/>
  <c r="J84" i="6"/>
  <c r="L85" i="6"/>
  <c r="M85" i="6"/>
  <c r="J85" i="6"/>
  <c r="N87" i="6"/>
  <c r="M87" i="6"/>
  <c r="L87" i="6"/>
  <c r="J87" i="6"/>
  <c r="M88" i="6"/>
  <c r="I88" i="6" s="1"/>
  <c r="G52" i="2" l="1"/>
  <c r="G54" i="2" s="1"/>
  <c r="I80" i="6"/>
  <c r="I78" i="6"/>
  <c r="I65" i="6"/>
  <c r="I87" i="6"/>
  <c r="I85" i="6"/>
  <c r="I83" i="6"/>
  <c r="I62" i="6"/>
  <c r="I56" i="6"/>
  <c r="I84" i="6"/>
  <c r="I82" i="6"/>
  <c r="I76" i="6"/>
  <c r="I61" i="6"/>
  <c r="I57" i="6"/>
  <c r="I53" i="6"/>
  <c r="I81" i="6"/>
  <c r="I73" i="6"/>
  <c r="I63" i="6"/>
  <c r="M91" i="6"/>
  <c r="L91" i="6"/>
  <c r="M77" i="6"/>
  <c r="L77" i="6"/>
  <c r="N77" i="6"/>
  <c r="J77" i="6"/>
  <c r="N92" i="6"/>
  <c r="M92" i="6"/>
  <c r="L92" i="6"/>
  <c r="J92" i="6"/>
  <c r="O90" i="6"/>
  <c r="I90" i="6" s="1"/>
  <c r="O89" i="6"/>
  <c r="I89" i="6" s="1"/>
  <c r="O94" i="6"/>
  <c r="I94" i="6" s="1"/>
  <c r="O93" i="6"/>
  <c r="I93" i="6" s="1"/>
  <c r="O70" i="6"/>
  <c r="I70" i="6" s="1"/>
  <c r="O69" i="6"/>
  <c r="I69" i="6" s="1"/>
  <c r="N52" i="6"/>
  <c r="M52" i="6"/>
  <c r="L52" i="6"/>
  <c r="J52" i="6"/>
  <c r="N51" i="6"/>
  <c r="M51" i="6"/>
  <c r="L51" i="6"/>
  <c r="J51" i="6"/>
  <c r="N50" i="6"/>
  <c r="M50" i="6"/>
  <c r="L50" i="6"/>
  <c r="J50" i="6"/>
  <c r="N49" i="6"/>
  <c r="M49" i="6"/>
  <c r="L49" i="6"/>
  <c r="J49" i="6"/>
  <c r="N48" i="6"/>
  <c r="M48" i="6"/>
  <c r="L48" i="6"/>
  <c r="J48" i="6"/>
  <c r="N47" i="6"/>
  <c r="M47" i="6"/>
  <c r="L47" i="6"/>
  <c r="J47" i="6"/>
  <c r="N46" i="6"/>
  <c r="M46" i="6"/>
  <c r="L46" i="6"/>
  <c r="J46" i="6"/>
  <c r="N45" i="6"/>
  <c r="M45" i="6"/>
  <c r="L45" i="6"/>
  <c r="J45" i="6"/>
  <c r="N44" i="6"/>
  <c r="L44" i="6"/>
  <c r="M44" i="6"/>
  <c r="J44" i="6"/>
  <c r="N43" i="6"/>
  <c r="M43" i="6"/>
  <c r="L43" i="6"/>
  <c r="J43" i="6"/>
  <c r="N42" i="6"/>
  <c r="M42" i="6"/>
  <c r="L42" i="6"/>
  <c r="J42" i="6"/>
  <c r="M34" i="6"/>
  <c r="L34" i="6"/>
  <c r="J34" i="6"/>
  <c r="N33" i="6"/>
  <c r="L33" i="6"/>
  <c r="M33" i="6"/>
  <c r="J33" i="6"/>
  <c r="N32" i="6"/>
  <c r="M32" i="6"/>
  <c r="L32" i="6"/>
  <c r="J32" i="6"/>
  <c r="N31" i="6"/>
  <c r="L31" i="6"/>
  <c r="M31" i="6"/>
  <c r="J31" i="6"/>
  <c r="N30" i="6"/>
  <c r="M30" i="6"/>
  <c r="L30" i="6"/>
  <c r="J30" i="6"/>
  <c r="N29" i="6"/>
  <c r="L29" i="6"/>
  <c r="M29" i="6"/>
  <c r="J29" i="6"/>
  <c r="N27" i="6"/>
  <c r="L27" i="6"/>
  <c r="M27" i="6"/>
  <c r="J27" i="6"/>
  <c r="O16" i="6"/>
  <c r="O17" i="6"/>
  <c r="O19" i="6"/>
  <c r="M19" i="6"/>
  <c r="O26" i="6"/>
  <c r="I26" i="6" s="1"/>
  <c r="J25" i="6"/>
  <c r="L25" i="6"/>
  <c r="M25" i="6"/>
  <c r="N25" i="6"/>
  <c r="N24" i="6"/>
  <c r="M24" i="6"/>
  <c r="L24" i="6"/>
  <c r="J24" i="6"/>
  <c r="L21" i="6"/>
  <c r="N21" i="6"/>
  <c r="M21" i="6"/>
  <c r="J21" i="6"/>
  <c r="L20" i="6"/>
  <c r="N20" i="6"/>
  <c r="M20" i="6"/>
  <c r="L19" i="6"/>
  <c r="I19" i="6" s="1"/>
  <c r="L18" i="6"/>
  <c r="N18" i="6"/>
  <c r="M18" i="6"/>
  <c r="J18" i="6"/>
  <c r="L17" i="6"/>
  <c r="N17" i="6"/>
  <c r="M17" i="6"/>
  <c r="M16" i="6"/>
  <c r="N16" i="6"/>
  <c r="L16" i="6"/>
  <c r="L15" i="6"/>
  <c r="N15" i="6"/>
  <c r="M15" i="6"/>
  <c r="J15" i="6"/>
  <c r="N12" i="6"/>
  <c r="M12" i="6"/>
  <c r="J12" i="6"/>
  <c r="L12" i="6"/>
  <c r="L14" i="6"/>
  <c r="N14" i="6"/>
  <c r="M14" i="6"/>
  <c r="J14" i="6"/>
  <c r="I18" i="6" l="1"/>
  <c r="I21" i="6"/>
  <c r="I24" i="6"/>
  <c r="I42" i="6"/>
  <c r="I43" i="6"/>
  <c r="I44" i="6"/>
  <c r="I45" i="6"/>
  <c r="I46" i="6"/>
  <c r="I47" i="6"/>
  <c r="I48" i="6"/>
  <c r="I49" i="6"/>
  <c r="I50" i="6"/>
  <c r="I51" i="6"/>
  <c r="I52" i="6"/>
  <c r="I91" i="6"/>
  <c r="I27" i="6"/>
  <c r="I29" i="6"/>
  <c r="I30" i="6"/>
  <c r="I31" i="6"/>
  <c r="I32" i="6"/>
  <c r="I33" i="6"/>
  <c r="I34" i="6"/>
  <c r="I14" i="6"/>
  <c r="I16" i="6"/>
  <c r="I92" i="6"/>
  <c r="I77" i="6"/>
  <c r="I15" i="6"/>
  <c r="I12" i="6"/>
  <c r="I17" i="6"/>
  <c r="I20" i="6"/>
  <c r="I25" i="6"/>
  <c r="J9" i="6"/>
  <c r="L9" i="6"/>
  <c r="M9" i="6"/>
  <c r="N9" i="6"/>
  <c r="N8" i="6"/>
  <c r="M8" i="6"/>
  <c r="L8" i="6"/>
  <c r="J8" i="6"/>
  <c r="J36" i="6"/>
  <c r="M41" i="6"/>
  <c r="J41" i="6"/>
  <c r="N41" i="6"/>
  <c r="L41" i="6"/>
  <c r="L36" i="6"/>
  <c r="M36" i="6"/>
  <c r="N36" i="6"/>
  <c r="I36" i="6" l="1"/>
  <c r="I8" i="6"/>
  <c r="I41" i="6"/>
  <c r="I9" i="6"/>
  <c r="B12" i="11"/>
  <c r="C25" i="11" l="1"/>
  <c r="C16" i="11"/>
  <c r="C26" i="11"/>
  <c r="C20" i="11"/>
  <c r="C33" i="11"/>
  <c r="C29" i="11"/>
  <c r="C19" i="11"/>
  <c r="C32" i="11"/>
  <c r="C28" i="11"/>
  <c r="C18" i="11"/>
  <c r="C31" i="11"/>
  <c r="C27" i="11"/>
  <c r="C17" i="11"/>
  <c r="C24" i="11"/>
  <c r="C30" i="11"/>
  <c r="B17" i="2"/>
  <c r="C17" i="2" l="1"/>
  <c r="G51" i="2"/>
  <c r="C15" i="2" l="1"/>
  <c r="B13" i="11" s="1"/>
  <c r="D61" i="11" l="1"/>
  <c r="D63" i="11" s="1"/>
  <c r="D25" i="11"/>
  <c r="I25" i="11" s="1"/>
  <c r="D26" i="11"/>
  <c r="I26" i="11" s="1"/>
  <c r="D20" i="11"/>
  <c r="I20" i="11" s="1"/>
  <c r="D30" i="11"/>
  <c r="I30" i="11" s="1"/>
  <c r="D19" i="11"/>
  <c r="I19" i="11" s="1"/>
  <c r="D33" i="11"/>
  <c r="D28" i="11"/>
  <c r="I28" i="11" s="1"/>
  <c r="D29" i="11"/>
  <c r="I29" i="11" s="1"/>
  <c r="D16" i="11"/>
  <c r="I16" i="11" s="1"/>
  <c r="D32" i="11"/>
  <c r="D17" i="11"/>
  <c r="I17" i="11" s="1"/>
  <c r="D31" i="11"/>
  <c r="I31" i="11" s="1"/>
  <c r="D27" i="11"/>
  <c r="I27" i="11" s="1"/>
  <c r="D24" i="11"/>
  <c r="D18" i="11"/>
  <c r="I18" i="11" s="1"/>
  <c r="D66" i="11" l="1"/>
  <c r="D68" i="11"/>
  <c r="D67" i="11"/>
  <c r="D64" i="11"/>
  <c r="D65" i="11"/>
  <c r="D62" i="11"/>
  <c r="H28" i="11"/>
  <c r="H26" i="11"/>
  <c r="H24" i="11"/>
  <c r="C34" i="11"/>
  <c r="H18" i="11"/>
  <c r="C19" i="2"/>
  <c r="B21" i="11"/>
  <c r="C21" i="11"/>
  <c r="J26" i="2" l="1"/>
  <c r="I26" i="2"/>
  <c r="I28" i="2" s="1"/>
  <c r="K26" i="2"/>
  <c r="K28" i="2" s="1"/>
  <c r="H26" i="2"/>
  <c r="H28" i="2" s="1"/>
  <c r="D21" i="11"/>
  <c r="B60" i="2" s="1"/>
  <c r="C37" i="11"/>
  <c r="B19" i="2"/>
  <c r="D46" i="11"/>
  <c r="D47" i="11"/>
  <c r="D49" i="11"/>
  <c r="D50" i="11"/>
  <c r="D51" i="11"/>
  <c r="D53" i="11"/>
  <c r="D54" i="11"/>
  <c r="D55" i="11"/>
  <c r="D45" i="11"/>
  <c r="B29" i="11"/>
  <c r="B31" i="11"/>
  <c r="B34" i="11"/>
  <c r="H17" i="11"/>
  <c r="H16" i="11"/>
  <c r="H27" i="11"/>
  <c r="H29" i="11"/>
  <c r="H30" i="11"/>
  <c r="H31" i="11"/>
  <c r="H32" i="11"/>
  <c r="H33" i="11"/>
  <c r="J28" i="2" l="1"/>
  <c r="J40" i="2"/>
  <c r="H40" i="2"/>
  <c r="I25" i="2"/>
  <c r="H25" i="2"/>
  <c r="H27" i="2" s="1"/>
  <c r="I40" i="2"/>
  <c r="K40" i="2"/>
  <c r="L26" i="2"/>
  <c r="J25" i="2"/>
  <c r="K25" i="2"/>
  <c r="D3" i="1"/>
  <c r="F105" i="2"/>
  <c r="H105" i="2" s="1"/>
  <c r="H131" i="2"/>
  <c r="I131" i="2" s="1"/>
  <c r="J131" i="2" s="1"/>
  <c r="K131" i="2" s="1"/>
  <c r="L131" i="2" s="1"/>
  <c r="M131" i="2" s="1"/>
  <c r="N131" i="2" s="1"/>
  <c r="O131" i="2" s="1"/>
  <c r="P131" i="2" s="1"/>
  <c r="Q131" i="2" s="1"/>
  <c r="R131" i="2" s="1"/>
  <c r="S131" i="2" s="1"/>
  <c r="T131" i="2" s="1"/>
  <c r="H132" i="2"/>
  <c r="H133" i="2"/>
  <c r="I133" i="2" s="1"/>
  <c r="J133" i="2" s="1"/>
  <c r="K133" i="2" s="1"/>
  <c r="L133" i="2" s="1"/>
  <c r="M133" i="2" s="1"/>
  <c r="N133" i="2" s="1"/>
  <c r="O133" i="2" s="1"/>
  <c r="P133" i="2" s="1"/>
  <c r="Q133" i="2" s="1"/>
  <c r="R133" i="2" s="1"/>
  <c r="S133" i="2" s="1"/>
  <c r="T133" i="2" s="1"/>
  <c r="H134" i="2"/>
  <c r="I134" i="2" s="1"/>
  <c r="J134" i="2" s="1"/>
  <c r="K134" i="2" s="1"/>
  <c r="L134" i="2" s="1"/>
  <c r="M134" i="2" s="1"/>
  <c r="N134" i="2" s="1"/>
  <c r="O134" i="2" s="1"/>
  <c r="P134" i="2" s="1"/>
  <c r="Q134" i="2" s="1"/>
  <c r="R134" i="2" s="1"/>
  <c r="S134" i="2" s="1"/>
  <c r="T134" i="2" s="1"/>
  <c r="H136" i="2"/>
  <c r="I136" i="2" s="1"/>
  <c r="J136" i="2" s="1"/>
  <c r="K136" i="2" s="1"/>
  <c r="L136" i="2" s="1"/>
  <c r="M136" i="2" s="1"/>
  <c r="N136" i="2" s="1"/>
  <c r="O136" i="2" s="1"/>
  <c r="P136" i="2" s="1"/>
  <c r="Q136" i="2" s="1"/>
  <c r="R136" i="2" s="1"/>
  <c r="S136" i="2" s="1"/>
  <c r="T136" i="2" s="1"/>
  <c r="H137" i="2"/>
  <c r="I137" i="2" s="1"/>
  <c r="J137" i="2" s="1"/>
  <c r="K137" i="2" s="1"/>
  <c r="L137" i="2" s="1"/>
  <c r="M137" i="2" s="1"/>
  <c r="N137" i="2" s="1"/>
  <c r="O137" i="2" s="1"/>
  <c r="P137" i="2" s="1"/>
  <c r="Q137" i="2" s="1"/>
  <c r="R137" i="2" s="1"/>
  <c r="S137" i="2" s="1"/>
  <c r="T137" i="2" s="1"/>
  <c r="H138" i="2"/>
  <c r="I138" i="2" s="1"/>
  <c r="J138" i="2" s="1"/>
  <c r="K138" i="2" s="1"/>
  <c r="L138" i="2" s="1"/>
  <c r="M138" i="2" s="1"/>
  <c r="N138" i="2" s="1"/>
  <c r="O138" i="2" s="1"/>
  <c r="P138" i="2" s="1"/>
  <c r="Q138" i="2" s="1"/>
  <c r="R138" i="2" s="1"/>
  <c r="S138" i="2" s="1"/>
  <c r="T138" i="2" s="1"/>
  <c r="H130" i="2"/>
  <c r="C123" i="2"/>
  <c r="E4" i="10"/>
  <c r="F4" i="10"/>
  <c r="H4" i="10" s="1"/>
  <c r="G4" i="10"/>
  <c r="O4" i="10"/>
  <c r="P4" i="10"/>
  <c r="R4" i="10" s="1"/>
  <c r="Q4" i="10"/>
  <c r="Y4" i="10"/>
  <c r="Z4" i="10"/>
  <c r="AB4" i="10" s="1"/>
  <c r="AC5" i="10" s="1"/>
  <c r="AA4" i="10"/>
  <c r="E5" i="10"/>
  <c r="F5" i="10"/>
  <c r="H5" i="10" s="1"/>
  <c r="I5" i="10" s="1"/>
  <c r="G5" i="10"/>
  <c r="O5" i="10"/>
  <c r="P5" i="10"/>
  <c r="R5" i="10" s="1"/>
  <c r="S5" i="10" s="1"/>
  <c r="Q5" i="10"/>
  <c r="Y5" i="10"/>
  <c r="Z5" i="10"/>
  <c r="AA5" i="10"/>
  <c r="AB5" i="10"/>
  <c r="E6" i="10"/>
  <c r="F6" i="10"/>
  <c r="G6" i="10"/>
  <c r="H6" i="10"/>
  <c r="O6" i="10"/>
  <c r="P6" i="10"/>
  <c r="Q6" i="10"/>
  <c r="R6" i="10"/>
  <c r="Y6" i="10"/>
  <c r="Z6" i="10"/>
  <c r="AA6" i="10"/>
  <c r="AB6" i="10"/>
  <c r="E7" i="10"/>
  <c r="F7" i="10"/>
  <c r="G7" i="10"/>
  <c r="H7" i="10"/>
  <c r="O7" i="10"/>
  <c r="P7" i="10"/>
  <c r="Q7" i="10"/>
  <c r="R7" i="10"/>
  <c r="Y7" i="10"/>
  <c r="Z7" i="10"/>
  <c r="AA7" i="10"/>
  <c r="AB7" i="10"/>
  <c r="F13" i="10"/>
  <c r="G13" i="10"/>
  <c r="H13" i="10"/>
  <c r="I13" i="10"/>
  <c r="Q13" i="10"/>
  <c r="R13" i="10"/>
  <c r="S13" i="10"/>
  <c r="T13" i="10"/>
  <c r="AB13" i="10"/>
  <c r="AC13" i="10"/>
  <c r="AD13" i="10"/>
  <c r="AE13" i="10"/>
  <c r="F14" i="10"/>
  <c r="G14" i="10"/>
  <c r="H14" i="10"/>
  <c r="I14" i="10"/>
  <c r="J14" i="10" s="1"/>
  <c r="Q14" i="10"/>
  <c r="R14" i="10"/>
  <c r="T14" i="10" s="1"/>
  <c r="U14" i="10" s="1"/>
  <c r="S14" i="10"/>
  <c r="AB14" i="10"/>
  <c r="AC14" i="10"/>
  <c r="AE14" i="10" s="1"/>
  <c r="AF14" i="10" s="1"/>
  <c r="AD14" i="10"/>
  <c r="F15" i="10"/>
  <c r="G15" i="10"/>
  <c r="H15" i="10"/>
  <c r="I15" i="10"/>
  <c r="Q15" i="10"/>
  <c r="R15" i="10"/>
  <c r="S15" i="10"/>
  <c r="T15" i="10"/>
  <c r="AB15" i="10"/>
  <c r="AC15" i="10"/>
  <c r="AD15" i="10"/>
  <c r="AE15" i="10"/>
  <c r="F16" i="10"/>
  <c r="G16" i="10"/>
  <c r="H16" i="10"/>
  <c r="I16" i="10"/>
  <c r="Q16" i="10"/>
  <c r="R16" i="10"/>
  <c r="S16" i="10"/>
  <c r="T16" i="10"/>
  <c r="AB16" i="10"/>
  <c r="AC16" i="10"/>
  <c r="AD16" i="10"/>
  <c r="AE16" i="10"/>
  <c r="F21" i="10"/>
  <c r="G21" i="10"/>
  <c r="H21" i="10"/>
  <c r="I21" i="10"/>
  <c r="Q21" i="10"/>
  <c r="R21" i="10"/>
  <c r="S21" i="10"/>
  <c r="T21" i="10"/>
  <c r="AB21" i="10"/>
  <c r="AC21" i="10"/>
  <c r="AD21" i="10"/>
  <c r="AE21" i="10"/>
  <c r="F22" i="10"/>
  <c r="G22" i="10"/>
  <c r="H22" i="10"/>
  <c r="J22" i="10"/>
  <c r="Q22" i="10"/>
  <c r="R22" i="10"/>
  <c r="S22" i="10"/>
  <c r="U22" i="10"/>
  <c r="AB22" i="10"/>
  <c r="AC22" i="10"/>
  <c r="AD22" i="10"/>
  <c r="AF22" i="10"/>
  <c r="F23" i="10"/>
  <c r="G23" i="10"/>
  <c r="H23" i="10"/>
  <c r="J23" i="10"/>
  <c r="Q23" i="10"/>
  <c r="R23" i="10"/>
  <c r="S23" i="10"/>
  <c r="U23" i="10"/>
  <c r="AB23" i="10"/>
  <c r="AC23" i="10"/>
  <c r="AD23" i="10"/>
  <c r="AF23" i="10"/>
  <c r="F24" i="10"/>
  <c r="G24" i="10"/>
  <c r="H24" i="10"/>
  <c r="J24" i="10"/>
  <c r="Q24" i="10"/>
  <c r="R24" i="10"/>
  <c r="S24" i="10"/>
  <c r="U24" i="10"/>
  <c r="AB24" i="10"/>
  <c r="AC24" i="10"/>
  <c r="AD24" i="10"/>
  <c r="AF24" i="10"/>
  <c r="F30" i="10"/>
  <c r="G30" i="10"/>
  <c r="H30" i="10"/>
  <c r="I30" i="10"/>
  <c r="Q30" i="10"/>
  <c r="R30" i="10"/>
  <c r="S30" i="10"/>
  <c r="T30" i="10"/>
  <c r="AB30" i="10"/>
  <c r="AC30" i="10"/>
  <c r="AD30" i="10"/>
  <c r="AE30" i="10"/>
  <c r="F31" i="10"/>
  <c r="G31" i="10"/>
  <c r="H31" i="10"/>
  <c r="J31" i="10"/>
  <c r="Q31" i="10"/>
  <c r="R31" i="10"/>
  <c r="S31" i="10"/>
  <c r="U31" i="10"/>
  <c r="AB31" i="10"/>
  <c r="AC31" i="10"/>
  <c r="AD31" i="10"/>
  <c r="AF31" i="10"/>
  <c r="F32" i="10"/>
  <c r="G32" i="10"/>
  <c r="H32" i="10"/>
  <c r="J32" i="10"/>
  <c r="Q32" i="10"/>
  <c r="R32" i="10"/>
  <c r="S32" i="10"/>
  <c r="U32" i="10"/>
  <c r="AB32" i="10"/>
  <c r="AC32" i="10"/>
  <c r="AD32" i="10"/>
  <c r="AF32" i="10"/>
  <c r="F33" i="10"/>
  <c r="G33" i="10"/>
  <c r="H33" i="10"/>
  <c r="J33" i="10"/>
  <c r="Q33" i="10"/>
  <c r="R33" i="10"/>
  <c r="S33" i="10"/>
  <c r="U33" i="10"/>
  <c r="AB33" i="10"/>
  <c r="AC33" i="10"/>
  <c r="AD33" i="10"/>
  <c r="AF33" i="10"/>
  <c r="I132" i="2" l="1"/>
  <c r="H140" i="2"/>
  <c r="K30" i="2"/>
  <c r="K32" i="2" s="1"/>
  <c r="M71" i="2"/>
  <c r="Q71" i="2"/>
  <c r="U71" i="2"/>
  <c r="N71" i="2"/>
  <c r="R71" i="2"/>
  <c r="V71" i="2"/>
  <c r="J71" i="2"/>
  <c r="K71" i="2"/>
  <c r="O71" i="2"/>
  <c r="S71" i="2"/>
  <c r="G71" i="2"/>
  <c r="I71" i="2"/>
  <c r="L71" i="2"/>
  <c r="P71" i="2"/>
  <c r="T71" i="2"/>
  <c r="L68" i="2"/>
  <c r="P68" i="2"/>
  <c r="T68" i="2"/>
  <c r="M68" i="2"/>
  <c r="Q68" i="2"/>
  <c r="U68" i="2"/>
  <c r="R68" i="2"/>
  <c r="V68" i="2"/>
  <c r="G68" i="2"/>
  <c r="I68" i="2"/>
  <c r="N68" i="2"/>
  <c r="K68" i="2"/>
  <c r="O68" i="2"/>
  <c r="S68" i="2"/>
  <c r="J68" i="2"/>
  <c r="L40" i="2"/>
  <c r="I30" i="2"/>
  <c r="I32" i="2" s="1"/>
  <c r="L69" i="2"/>
  <c r="P69" i="2"/>
  <c r="T69" i="2"/>
  <c r="M69" i="2"/>
  <c r="Q69" i="2"/>
  <c r="U69" i="2"/>
  <c r="G69" i="2"/>
  <c r="I69" i="2"/>
  <c r="N69" i="2"/>
  <c r="R69" i="2"/>
  <c r="V69" i="2"/>
  <c r="K69" i="2"/>
  <c r="O69" i="2"/>
  <c r="S69" i="2"/>
  <c r="J69" i="2"/>
  <c r="J30" i="2"/>
  <c r="J32" i="2" s="1"/>
  <c r="L70" i="2"/>
  <c r="P70" i="2"/>
  <c r="T70" i="2"/>
  <c r="M70" i="2"/>
  <c r="Q70" i="2"/>
  <c r="U70" i="2"/>
  <c r="J70" i="2"/>
  <c r="N70" i="2"/>
  <c r="R70" i="2"/>
  <c r="V70" i="2"/>
  <c r="K70" i="2"/>
  <c r="O70" i="2"/>
  <c r="S70" i="2"/>
  <c r="G70" i="2"/>
  <c r="I70" i="2"/>
  <c r="I130" i="2"/>
  <c r="H30" i="2"/>
  <c r="H32" i="2" s="1"/>
  <c r="J27" i="2"/>
  <c r="I27" i="2"/>
  <c r="K27" i="2"/>
  <c r="K39" i="2"/>
  <c r="I39" i="2"/>
  <c r="J39" i="2"/>
  <c r="H39" i="2"/>
  <c r="L25" i="2"/>
  <c r="L28" i="2"/>
  <c r="D14" i="1"/>
  <c r="I33" i="11"/>
  <c r="I32" i="11"/>
  <c r="G105" i="2"/>
  <c r="J130" i="2"/>
  <c r="C126" i="2"/>
  <c r="H126" i="2" s="1"/>
  <c r="C124" i="2"/>
  <c r="H123" i="2"/>
  <c r="C122" i="2"/>
  <c r="H122" i="2" s="1"/>
  <c r="C121" i="2"/>
  <c r="I121" i="2" s="1"/>
  <c r="J121" i="2" s="1"/>
  <c r="K121" i="2" s="1"/>
  <c r="L121" i="2" s="1"/>
  <c r="M121" i="2" s="1"/>
  <c r="N121" i="2" s="1"/>
  <c r="O121" i="2" s="1"/>
  <c r="P121" i="2" s="1"/>
  <c r="Q121" i="2" s="1"/>
  <c r="R121" i="2" s="1"/>
  <c r="S121" i="2" s="1"/>
  <c r="T121" i="2" s="1"/>
  <c r="U121" i="2" s="1"/>
  <c r="V121" i="2" s="1"/>
  <c r="H120" i="2"/>
  <c r="C115" i="2"/>
  <c r="C114" i="2"/>
  <c r="H114" i="2" s="1"/>
  <c r="H89" i="2"/>
  <c r="G89" i="2" s="1"/>
  <c r="J79" i="2"/>
  <c r="H78" i="2"/>
  <c r="H76" i="2"/>
  <c r="J76" i="2" s="1"/>
  <c r="K76" i="2" s="1"/>
  <c r="L76" i="2" s="1"/>
  <c r="M76" i="2" s="1"/>
  <c r="N76" i="2" s="1"/>
  <c r="O76" i="2" s="1"/>
  <c r="P76" i="2" s="1"/>
  <c r="Q76" i="2" s="1"/>
  <c r="R76" i="2" s="1"/>
  <c r="S76" i="2" s="1"/>
  <c r="T76" i="2" s="1"/>
  <c r="U76" i="2" s="1"/>
  <c r="V76" i="2" s="1"/>
  <c r="J132" i="2" l="1"/>
  <c r="I140" i="2"/>
  <c r="R72" i="2"/>
  <c r="T72" i="2"/>
  <c r="I46" i="2"/>
  <c r="K46" i="2" s="1"/>
  <c r="U72" i="2"/>
  <c r="S72" i="2"/>
  <c r="P72" i="2"/>
  <c r="L72" i="2"/>
  <c r="O72" i="2"/>
  <c r="N72" i="2"/>
  <c r="G46" i="2"/>
  <c r="I52" i="2" s="1"/>
  <c r="K52" i="2" s="1"/>
  <c r="M72" i="2"/>
  <c r="I72" i="2"/>
  <c r="Q72" i="2"/>
  <c r="J72" i="2"/>
  <c r="K72" i="2"/>
  <c r="I47" i="2"/>
  <c r="K47" i="2" s="1"/>
  <c r="C25" i="2"/>
  <c r="K29" i="2"/>
  <c r="K41" i="2" s="1"/>
  <c r="K42" i="2" s="1"/>
  <c r="F71" i="2"/>
  <c r="H71" i="2" s="1"/>
  <c r="H29" i="2"/>
  <c r="H31" i="2" s="1"/>
  <c r="F68" i="2"/>
  <c r="F86" i="2" s="1"/>
  <c r="H86" i="2" s="1"/>
  <c r="V72" i="2"/>
  <c r="J29" i="2"/>
  <c r="J41" i="2" s="1"/>
  <c r="J42" i="2" s="1"/>
  <c r="F70" i="2"/>
  <c r="I29" i="2"/>
  <c r="I41" i="2" s="1"/>
  <c r="I42" i="2" s="1"/>
  <c r="F69" i="2"/>
  <c r="H69" i="2" s="1"/>
  <c r="G72" i="2"/>
  <c r="C26" i="2" s="1"/>
  <c r="G86" i="2"/>
  <c r="H41" i="2"/>
  <c r="H42" i="2" s="1"/>
  <c r="K130" i="2"/>
  <c r="L30" i="2"/>
  <c r="G55" i="2"/>
  <c r="I55" i="2" s="1"/>
  <c r="K55" i="2" s="1"/>
  <c r="G87" i="2"/>
  <c r="I87" i="2" s="1"/>
  <c r="J87" i="2" s="1"/>
  <c r="H124" i="2"/>
  <c r="I124" i="2"/>
  <c r="J124" i="2" s="1"/>
  <c r="K124" i="2" s="1"/>
  <c r="L124" i="2" s="1"/>
  <c r="M124" i="2" s="1"/>
  <c r="N124" i="2" s="1"/>
  <c r="O124" i="2" s="1"/>
  <c r="P124" i="2" s="1"/>
  <c r="Q124" i="2" s="1"/>
  <c r="R124" i="2" s="1"/>
  <c r="S124" i="2" s="1"/>
  <c r="T124" i="2" s="1"/>
  <c r="U124" i="2" s="1"/>
  <c r="V124" i="2" s="1"/>
  <c r="H70" i="2"/>
  <c r="L27" i="2"/>
  <c r="K104" i="2"/>
  <c r="L104" i="2" s="1"/>
  <c r="M104" i="2" s="1"/>
  <c r="N104" i="2" s="1"/>
  <c r="G104" i="2"/>
  <c r="E14" i="1"/>
  <c r="I24" i="11"/>
  <c r="I34" i="11" s="1"/>
  <c r="D34" i="11"/>
  <c r="B61" i="2" s="1"/>
  <c r="J78" i="2"/>
  <c r="K78" i="2" s="1"/>
  <c r="L78" i="2" s="1"/>
  <c r="M78" i="2" s="1"/>
  <c r="N78" i="2" s="1"/>
  <c r="O78" i="2" s="1"/>
  <c r="P78" i="2" s="1"/>
  <c r="Q78" i="2" s="1"/>
  <c r="R78" i="2" s="1"/>
  <c r="S78" i="2" s="1"/>
  <c r="T78" i="2" s="1"/>
  <c r="U78" i="2" s="1"/>
  <c r="V78" i="2" s="1"/>
  <c r="I105" i="2"/>
  <c r="J105" i="2" s="1"/>
  <c r="D15" i="1"/>
  <c r="J95" i="2"/>
  <c r="K79" i="2"/>
  <c r="L79" i="2" s="1"/>
  <c r="M79" i="2" s="1"/>
  <c r="N79" i="2" s="1"/>
  <c r="O79" i="2" s="1"/>
  <c r="P79" i="2" s="1"/>
  <c r="Q79" i="2" s="1"/>
  <c r="R79" i="2" s="1"/>
  <c r="S79" i="2" s="1"/>
  <c r="T79" i="2" s="1"/>
  <c r="U79" i="2" s="1"/>
  <c r="V79" i="2" s="1"/>
  <c r="I115" i="2"/>
  <c r="J115" i="2" s="1"/>
  <c r="K115" i="2" s="1"/>
  <c r="L115" i="2" s="1"/>
  <c r="M115" i="2" s="1"/>
  <c r="N115" i="2" s="1"/>
  <c r="O115" i="2" s="1"/>
  <c r="P115" i="2" s="1"/>
  <c r="Q115" i="2" s="1"/>
  <c r="R115" i="2" s="1"/>
  <c r="S115" i="2" s="1"/>
  <c r="T115" i="2" s="1"/>
  <c r="U115" i="2" s="1"/>
  <c r="V115" i="2" s="1"/>
  <c r="H115" i="2"/>
  <c r="H117" i="2" s="1"/>
  <c r="I114" i="2"/>
  <c r="J114" i="2" s="1"/>
  <c r="I122" i="2"/>
  <c r="J122" i="2" s="1"/>
  <c r="K122" i="2" s="1"/>
  <c r="L122" i="2" s="1"/>
  <c r="M122" i="2" s="1"/>
  <c r="N122" i="2" s="1"/>
  <c r="O122" i="2" s="1"/>
  <c r="P122" i="2" s="1"/>
  <c r="Q122" i="2" s="1"/>
  <c r="R122" i="2" s="1"/>
  <c r="S122" i="2" s="1"/>
  <c r="T122" i="2" s="1"/>
  <c r="U122" i="2" s="1"/>
  <c r="V122" i="2" s="1"/>
  <c r="K89" i="2"/>
  <c r="L89" i="2" s="1"/>
  <c r="M89" i="2" s="1"/>
  <c r="N89" i="2" s="1"/>
  <c r="O89" i="2" s="1"/>
  <c r="P89" i="2" s="1"/>
  <c r="Q89" i="2" s="1"/>
  <c r="R89" i="2" s="1"/>
  <c r="S89" i="2" s="1"/>
  <c r="T89" i="2" s="1"/>
  <c r="U89" i="2" s="1"/>
  <c r="V89" i="2" s="1"/>
  <c r="I123" i="2"/>
  <c r="J123" i="2" s="1"/>
  <c r="K123" i="2" s="1"/>
  <c r="L123" i="2" s="1"/>
  <c r="M123" i="2" s="1"/>
  <c r="N123" i="2" s="1"/>
  <c r="O123" i="2" s="1"/>
  <c r="P123" i="2" s="1"/>
  <c r="Q123" i="2" s="1"/>
  <c r="R123" i="2" s="1"/>
  <c r="S123" i="2" s="1"/>
  <c r="T123" i="2" s="1"/>
  <c r="U123" i="2" s="1"/>
  <c r="V123" i="2" s="1"/>
  <c r="I126" i="2"/>
  <c r="J126" i="2" s="1"/>
  <c r="K126" i="2" s="1"/>
  <c r="L126" i="2" s="1"/>
  <c r="M126" i="2" s="1"/>
  <c r="N126" i="2" s="1"/>
  <c r="O126" i="2" s="1"/>
  <c r="P126" i="2" s="1"/>
  <c r="Q126" i="2" s="1"/>
  <c r="R126" i="2" s="1"/>
  <c r="S126" i="2" s="1"/>
  <c r="T126" i="2" s="1"/>
  <c r="U126" i="2" s="1"/>
  <c r="V126" i="2" s="1"/>
  <c r="I120" i="2"/>
  <c r="J120" i="2" s="1"/>
  <c r="H121" i="2"/>
  <c r="I49" i="2" l="1"/>
  <c r="K49" i="2" s="1"/>
  <c r="K31" i="2"/>
  <c r="I53" i="2"/>
  <c r="K53" i="2" s="1"/>
  <c r="I51" i="2"/>
  <c r="K51" i="2" s="1"/>
  <c r="I48" i="2"/>
  <c r="K48" i="2" s="1"/>
  <c r="K132" i="2"/>
  <c r="J140" i="2"/>
  <c r="I50" i="2"/>
  <c r="K50" i="2" s="1"/>
  <c r="I54" i="2"/>
  <c r="K54" i="2" s="1"/>
  <c r="I31" i="2"/>
  <c r="B25" i="2"/>
  <c r="J31" i="2"/>
  <c r="G75" i="2"/>
  <c r="G81" i="2" s="1"/>
  <c r="H68" i="2"/>
  <c r="H72" i="2" s="1"/>
  <c r="H75" i="2" s="1"/>
  <c r="F72" i="2"/>
  <c r="B26" i="2" s="1"/>
  <c r="L130" i="2"/>
  <c r="H127" i="2"/>
  <c r="F127" i="2" s="1"/>
  <c r="L29" i="2"/>
  <c r="I14" i="1"/>
  <c r="G14" i="1"/>
  <c r="H14" i="1"/>
  <c r="F14" i="1"/>
  <c r="F3" i="1"/>
  <c r="H3" i="1" s="1"/>
  <c r="F117" i="2"/>
  <c r="F84" i="2" s="1"/>
  <c r="I75" i="2"/>
  <c r="O104" i="2"/>
  <c r="J14" i="1"/>
  <c r="D37" i="11"/>
  <c r="E37" i="11" s="1"/>
  <c r="I21" i="11"/>
  <c r="I37" i="11" s="1"/>
  <c r="C16" i="1" s="1"/>
  <c r="E15" i="1"/>
  <c r="K120" i="2"/>
  <c r="J127" i="2"/>
  <c r="K114" i="2"/>
  <c r="J117" i="2"/>
  <c r="K95" i="2"/>
  <c r="I117" i="2"/>
  <c r="G84" i="2" s="1"/>
  <c r="K87" i="2"/>
  <c r="L87" i="2" s="1"/>
  <c r="M87" i="2" s="1"/>
  <c r="N87" i="2" s="1"/>
  <c r="O87" i="2" s="1"/>
  <c r="P87" i="2" s="1"/>
  <c r="Q87" i="2" s="1"/>
  <c r="R87" i="2" s="1"/>
  <c r="S87" i="2" s="1"/>
  <c r="T87" i="2" s="1"/>
  <c r="U87" i="2" s="1"/>
  <c r="V87" i="2" s="1"/>
  <c r="H84" i="2"/>
  <c r="I127" i="2"/>
  <c r="I96" i="2" s="1"/>
  <c r="H97" i="2" l="1"/>
  <c r="F96" i="2"/>
  <c r="F97" i="2"/>
  <c r="H33" i="2"/>
  <c r="J33" i="2"/>
  <c r="L132" i="2"/>
  <c r="K140" i="2"/>
  <c r="B62" i="2"/>
  <c r="B63" i="2" s="1"/>
  <c r="F87" i="2"/>
  <c r="H87" i="2" s="1"/>
  <c r="F75" i="2"/>
  <c r="F85" i="2" s="1"/>
  <c r="I81" i="2"/>
  <c r="E6" i="1" s="1"/>
  <c r="H96" i="2"/>
  <c r="M130" i="2"/>
  <c r="I33" i="2"/>
  <c r="R16" i="1"/>
  <c r="N16" i="1"/>
  <c r="J16" i="1"/>
  <c r="F16" i="1"/>
  <c r="E16" i="1"/>
  <c r="O16" i="1"/>
  <c r="G16" i="1"/>
  <c r="Q16" i="1"/>
  <c r="M16" i="1"/>
  <c r="I16" i="1"/>
  <c r="K16" i="1"/>
  <c r="I107" i="2"/>
  <c r="G107" i="2" s="1"/>
  <c r="P16" i="1"/>
  <c r="L16" i="1"/>
  <c r="H16" i="1"/>
  <c r="G127" i="2"/>
  <c r="G96" i="2"/>
  <c r="G117" i="2"/>
  <c r="J107" i="2"/>
  <c r="J75" i="2"/>
  <c r="J81" i="2" s="1"/>
  <c r="F6" i="1" s="1"/>
  <c r="H81" i="2"/>
  <c r="D6" i="1" s="1"/>
  <c r="P104" i="2"/>
  <c r="K14" i="1"/>
  <c r="Q107" i="2"/>
  <c r="S107" i="2"/>
  <c r="O107" i="2"/>
  <c r="V107" i="2"/>
  <c r="U107" i="2"/>
  <c r="M107" i="2"/>
  <c r="R107" i="2"/>
  <c r="T107" i="2"/>
  <c r="N107" i="2"/>
  <c r="P107" i="2"/>
  <c r="K107" i="2"/>
  <c r="L107" i="2"/>
  <c r="E17" i="11"/>
  <c r="E34" i="11"/>
  <c r="E19" i="11"/>
  <c r="E24" i="11"/>
  <c r="E28" i="11"/>
  <c r="E32" i="11"/>
  <c r="E25" i="11"/>
  <c r="E29" i="11"/>
  <c r="E33" i="11"/>
  <c r="E26" i="11"/>
  <c r="E16" i="11"/>
  <c r="E27" i="11"/>
  <c r="E31" i="11"/>
  <c r="E30" i="11"/>
  <c r="E20" i="11"/>
  <c r="E18" i="11"/>
  <c r="E21" i="11"/>
  <c r="K105" i="2"/>
  <c r="F15" i="1"/>
  <c r="L95" i="2"/>
  <c r="L120" i="2"/>
  <c r="K127" i="2"/>
  <c r="L114" i="2"/>
  <c r="K117" i="2"/>
  <c r="N130" i="2"/>
  <c r="H100" i="2"/>
  <c r="D10" i="1" s="1"/>
  <c r="I97" i="2"/>
  <c r="M132" i="2" l="1"/>
  <c r="L140" i="2"/>
  <c r="F100" i="2"/>
  <c r="C10" i="1" s="1"/>
  <c r="D16" i="1"/>
  <c r="J97" i="2"/>
  <c r="K97" i="2" s="1"/>
  <c r="L97" i="2" s="1"/>
  <c r="M97" i="2" s="1"/>
  <c r="N97" i="2" s="1"/>
  <c r="O97" i="2" s="1"/>
  <c r="P97" i="2" s="1"/>
  <c r="Q97" i="2" s="1"/>
  <c r="R97" i="2" s="1"/>
  <c r="S97" i="2" s="1"/>
  <c r="T97" i="2" s="1"/>
  <c r="U97" i="2" s="1"/>
  <c r="V97" i="2" s="1"/>
  <c r="G97" i="2"/>
  <c r="G100" i="2" s="1"/>
  <c r="K75" i="2"/>
  <c r="K81" i="2" s="1"/>
  <c r="G6" i="1" s="1"/>
  <c r="F81" i="2"/>
  <c r="C6" i="1" s="1"/>
  <c r="F90" i="2"/>
  <c r="Q104" i="2"/>
  <c r="L14" i="1"/>
  <c r="L105" i="2"/>
  <c r="G15" i="1"/>
  <c r="J96" i="2"/>
  <c r="J100" i="2" s="1"/>
  <c r="I100" i="2"/>
  <c r="M114" i="2"/>
  <c r="L117" i="2"/>
  <c r="M95" i="2"/>
  <c r="L127" i="2"/>
  <c r="M120" i="2"/>
  <c r="O130" i="2"/>
  <c r="N132" i="2" l="1"/>
  <c r="M140" i="2"/>
  <c r="K33" i="2"/>
  <c r="F92" i="2"/>
  <c r="L75" i="2"/>
  <c r="L81" i="2" s="1"/>
  <c r="H6" i="1" s="1"/>
  <c r="H85" i="2"/>
  <c r="I85" i="2" s="1"/>
  <c r="G85" i="2" s="1"/>
  <c r="R104" i="2"/>
  <c r="M14" i="1"/>
  <c r="M105" i="2"/>
  <c r="H15" i="1"/>
  <c r="N95" i="2"/>
  <c r="K96" i="2"/>
  <c r="F10" i="1"/>
  <c r="M127" i="2"/>
  <c r="N120" i="2"/>
  <c r="M117" i="2"/>
  <c r="N114" i="2"/>
  <c r="P130" i="2"/>
  <c r="E10" i="1"/>
  <c r="O132" i="2" l="1"/>
  <c r="N140" i="2"/>
  <c r="M75" i="2"/>
  <c r="M81" i="2" s="1"/>
  <c r="I6" i="1" s="1"/>
  <c r="C7" i="1"/>
  <c r="F102" i="2"/>
  <c r="F109" i="2" s="1"/>
  <c r="H90" i="2"/>
  <c r="S104" i="2"/>
  <c r="N14" i="1"/>
  <c r="N105" i="2"/>
  <c r="I15" i="1"/>
  <c r="O120" i="2"/>
  <c r="N127" i="2"/>
  <c r="O95" i="2"/>
  <c r="N117" i="2"/>
  <c r="O114" i="2"/>
  <c r="L96" i="2"/>
  <c r="K100" i="2"/>
  <c r="G10" i="1" s="1"/>
  <c r="Q130" i="2"/>
  <c r="P132" i="2" l="1"/>
  <c r="O140" i="2"/>
  <c r="N75" i="2"/>
  <c r="N81" i="2" s="1"/>
  <c r="J6" i="1" s="1"/>
  <c r="D7" i="1"/>
  <c r="H92" i="2"/>
  <c r="H102" i="2" s="1"/>
  <c r="J85" i="2"/>
  <c r="C8" i="1"/>
  <c r="T104" i="2"/>
  <c r="O14" i="1"/>
  <c r="O105" i="2"/>
  <c r="J15" i="1"/>
  <c r="O117" i="2"/>
  <c r="P114" i="2"/>
  <c r="P120" i="2"/>
  <c r="O127" i="2"/>
  <c r="M96" i="2"/>
  <c r="L100" i="2"/>
  <c r="H10" i="1" s="1"/>
  <c r="P95" i="2"/>
  <c r="R130" i="2"/>
  <c r="Q132" i="2" l="1"/>
  <c r="P140" i="2"/>
  <c r="C26" i="1"/>
  <c r="O75" i="2"/>
  <c r="O81" i="2" s="1"/>
  <c r="K6" i="1" s="1"/>
  <c r="K85" i="2"/>
  <c r="D8" i="1"/>
  <c r="C12" i="1"/>
  <c r="C18" i="1" s="1"/>
  <c r="U104" i="2"/>
  <c r="P14" i="1"/>
  <c r="P105" i="2"/>
  <c r="K15" i="1"/>
  <c r="Q95" i="2"/>
  <c r="N96" i="2"/>
  <c r="M100" i="2"/>
  <c r="I10" i="1" s="1"/>
  <c r="P127" i="2"/>
  <c r="Q120" i="2"/>
  <c r="Q114" i="2"/>
  <c r="P117" i="2"/>
  <c r="S130" i="2"/>
  <c r="R132" i="2" l="1"/>
  <c r="Q140" i="2"/>
  <c r="P75" i="2"/>
  <c r="H106" i="2"/>
  <c r="D12" i="1"/>
  <c r="D19" i="1" s="1"/>
  <c r="L85" i="2"/>
  <c r="V104" i="2"/>
  <c r="R14" i="1" s="1"/>
  <c r="Q14" i="1"/>
  <c r="Q105" i="2"/>
  <c r="L15" i="1"/>
  <c r="Q127" i="2"/>
  <c r="R120" i="2"/>
  <c r="R95" i="2"/>
  <c r="R114" i="2"/>
  <c r="Q117" i="2"/>
  <c r="O96" i="2"/>
  <c r="N100" i="2"/>
  <c r="J10" i="1" s="1"/>
  <c r="T130" i="2"/>
  <c r="S132" i="2" l="1"/>
  <c r="R140" i="2"/>
  <c r="D18" i="1"/>
  <c r="D21" i="1" s="1"/>
  <c r="P81" i="2"/>
  <c r="L6" i="1" s="1"/>
  <c r="Q75" i="2"/>
  <c r="Q81" i="2" s="1"/>
  <c r="M6" i="1" s="1"/>
  <c r="M85" i="2"/>
  <c r="R105" i="2"/>
  <c r="M15" i="1"/>
  <c r="P96" i="2"/>
  <c r="O100" i="2"/>
  <c r="K10" i="1" s="1"/>
  <c r="S95" i="2"/>
  <c r="R127" i="2"/>
  <c r="S120" i="2"/>
  <c r="S114" i="2"/>
  <c r="R117" i="2"/>
  <c r="T132" i="2" l="1"/>
  <c r="T140" i="2" s="1"/>
  <c r="S140" i="2"/>
  <c r="R75" i="2"/>
  <c r="R81" i="2" s="1"/>
  <c r="N6" i="1" s="1"/>
  <c r="N85" i="2"/>
  <c r="S105" i="2"/>
  <c r="N15" i="1"/>
  <c r="T114" i="2"/>
  <c r="S117" i="2"/>
  <c r="T95" i="2"/>
  <c r="T120" i="2"/>
  <c r="S127" i="2"/>
  <c r="Q96" i="2"/>
  <c r="P100" i="2"/>
  <c r="L10" i="1" s="1"/>
  <c r="S75" i="2" l="1"/>
  <c r="O85" i="2"/>
  <c r="T105" i="2"/>
  <c r="O15" i="1"/>
  <c r="T127" i="2"/>
  <c r="U120" i="2"/>
  <c r="U114" i="2"/>
  <c r="T117" i="2"/>
  <c r="R96" i="2"/>
  <c r="Q100" i="2"/>
  <c r="M10" i="1" s="1"/>
  <c r="U95" i="2"/>
  <c r="S81" i="2" l="1"/>
  <c r="O6" i="1" s="1"/>
  <c r="T75" i="2"/>
  <c r="T81" i="2" s="1"/>
  <c r="P6" i="1" s="1"/>
  <c r="P85" i="2"/>
  <c r="U105" i="2"/>
  <c r="P15" i="1"/>
  <c r="V95" i="2"/>
  <c r="V114" i="2"/>
  <c r="V117" i="2" s="1"/>
  <c r="U117" i="2"/>
  <c r="V120" i="2"/>
  <c r="V127" i="2" s="1"/>
  <c r="U127" i="2"/>
  <c r="S96" i="2"/>
  <c r="R100" i="2"/>
  <c r="N10" i="1" s="1"/>
  <c r="C28" i="1" l="1"/>
  <c r="U75" i="2"/>
  <c r="U81" i="2" s="1"/>
  <c r="Q6" i="1" s="1"/>
  <c r="V75" i="2"/>
  <c r="V81" i="2" s="1"/>
  <c r="R6" i="1" s="1"/>
  <c r="Q85" i="2"/>
  <c r="V105" i="2"/>
  <c r="R15" i="1" s="1"/>
  <c r="Q15" i="1"/>
  <c r="T96" i="2"/>
  <c r="S100" i="2"/>
  <c r="O10" i="1" s="1"/>
  <c r="R85" i="2" l="1"/>
  <c r="U96" i="2"/>
  <c r="T100" i="2"/>
  <c r="P10" i="1" s="1"/>
  <c r="S85" i="2" l="1"/>
  <c r="V96" i="2"/>
  <c r="V100" i="2" s="1"/>
  <c r="R10" i="1" s="1"/>
  <c r="U100" i="2"/>
  <c r="Q10" i="1" s="1"/>
  <c r="T85" i="2" l="1"/>
  <c r="U85" i="2" l="1"/>
  <c r="V85" i="2" l="1"/>
  <c r="H109" i="2" l="1"/>
  <c r="I90" i="2"/>
  <c r="I92" i="2" s="1"/>
  <c r="I102" i="2" s="1"/>
  <c r="G90" i="2"/>
  <c r="G92" i="2" s="1"/>
  <c r="G102" i="2" s="1"/>
  <c r="G109" i="2" s="1"/>
  <c r="K88" i="2"/>
  <c r="L88" i="2" l="1"/>
  <c r="K90" i="2"/>
  <c r="E8" i="1"/>
  <c r="E7" i="1"/>
  <c r="J90" i="2"/>
  <c r="I106" i="2" l="1"/>
  <c r="I109" i="2" s="1"/>
  <c r="E12" i="1"/>
  <c r="J92" i="2"/>
  <c r="F7" i="1"/>
  <c r="K92" i="2"/>
  <c r="G7" i="1"/>
  <c r="L90" i="2"/>
  <c r="M88" i="2"/>
  <c r="E18" i="1" l="1"/>
  <c r="E21" i="1" s="1"/>
  <c r="E19" i="1"/>
  <c r="H7" i="1"/>
  <c r="L92" i="2"/>
  <c r="F8" i="1"/>
  <c r="J102" i="2"/>
  <c r="G8" i="1"/>
  <c r="K102" i="2"/>
  <c r="M90" i="2"/>
  <c r="N88" i="2"/>
  <c r="J106" i="2" l="1"/>
  <c r="J109" i="2" s="1"/>
  <c r="F12" i="1"/>
  <c r="F19" i="1" s="1"/>
  <c r="O88" i="2"/>
  <c r="N90" i="2"/>
  <c r="G12" i="1"/>
  <c r="K106" i="2"/>
  <c r="K109" i="2" s="1"/>
  <c r="L102" i="2"/>
  <c r="H8" i="1"/>
  <c r="M92" i="2"/>
  <c r="I7" i="1"/>
  <c r="G18" i="1" l="1"/>
  <c r="G21" i="1" s="1"/>
  <c r="G19" i="1"/>
  <c r="F18" i="1"/>
  <c r="F21" i="1" s="1"/>
  <c r="J7" i="1"/>
  <c r="N92" i="2"/>
  <c r="H12" i="1"/>
  <c r="L106" i="2"/>
  <c r="L109" i="2" s="1"/>
  <c r="P88" i="2"/>
  <c r="O90" i="2"/>
  <c r="M102" i="2"/>
  <c r="I8" i="1"/>
  <c r="H19" i="1" l="1"/>
  <c r="C23" i="1" s="1"/>
  <c r="H18" i="1"/>
  <c r="H21" i="1" s="1"/>
  <c r="K7" i="1"/>
  <c r="O92" i="2"/>
  <c r="P90" i="2"/>
  <c r="Q88" i="2"/>
  <c r="J8" i="1"/>
  <c r="N102" i="2"/>
  <c r="I12" i="1"/>
  <c r="M106" i="2"/>
  <c r="M109" i="2" s="1"/>
  <c r="I18" i="1" l="1"/>
  <c r="I21" i="1" s="1"/>
  <c r="R88" i="2"/>
  <c r="Q90" i="2"/>
  <c r="N106" i="2"/>
  <c r="N109" i="2" s="1"/>
  <c r="J12" i="1"/>
  <c r="P92" i="2"/>
  <c r="L7" i="1"/>
  <c r="K8" i="1"/>
  <c r="O102" i="2"/>
  <c r="I19" i="1"/>
  <c r="J18" i="1" l="1"/>
  <c r="J21" i="1" s="1"/>
  <c r="J19" i="1"/>
  <c r="L8" i="1"/>
  <c r="P102" i="2"/>
  <c r="M7" i="1"/>
  <c r="Q92" i="2"/>
  <c r="K12" i="1"/>
  <c r="O106" i="2"/>
  <c r="O109" i="2" s="1"/>
  <c r="S88" i="2"/>
  <c r="R90" i="2"/>
  <c r="K19" i="1" l="1"/>
  <c r="K18" i="1"/>
  <c r="K21" i="1" s="1"/>
  <c r="P106" i="2"/>
  <c r="P109" i="2" s="1"/>
  <c r="L12" i="1"/>
  <c r="R92" i="2"/>
  <c r="N7" i="1"/>
  <c r="T88" i="2"/>
  <c r="S90" i="2"/>
  <c r="M8" i="1"/>
  <c r="Q102" i="2"/>
  <c r="L19" i="1" l="1"/>
  <c r="L18" i="1"/>
  <c r="L21" i="1" s="1"/>
  <c r="U88" i="2"/>
  <c r="T90" i="2"/>
  <c r="Q106" i="2"/>
  <c r="Q109" i="2" s="1"/>
  <c r="M12" i="1"/>
  <c r="N8" i="1"/>
  <c r="R102" i="2"/>
  <c r="S92" i="2"/>
  <c r="O7" i="1"/>
  <c r="M19" i="1" l="1"/>
  <c r="M18" i="1"/>
  <c r="M21" i="1" s="1"/>
  <c r="S102" i="2"/>
  <c r="O8" i="1"/>
  <c r="R106" i="2"/>
  <c r="R109" i="2" s="1"/>
  <c r="N12" i="1"/>
  <c r="P7" i="1"/>
  <c r="T92" i="2"/>
  <c r="U90" i="2"/>
  <c r="V88" i="2"/>
  <c r="V90" i="2" s="1"/>
  <c r="N19" i="1" l="1"/>
  <c r="N18" i="1"/>
  <c r="N21" i="1" s="1"/>
  <c r="T102" i="2"/>
  <c r="P8" i="1"/>
  <c r="Q7" i="1"/>
  <c r="U92" i="2"/>
  <c r="V92" i="2"/>
  <c r="R7" i="1"/>
  <c r="O12" i="1"/>
  <c r="S106" i="2"/>
  <c r="S109" i="2" s="1"/>
  <c r="O19" i="1" l="1"/>
  <c r="O18" i="1"/>
  <c r="O21" i="1" s="1"/>
  <c r="R8" i="1"/>
  <c r="V102" i="2"/>
  <c r="U102" i="2"/>
  <c r="Q8" i="1"/>
  <c r="P12" i="1"/>
  <c r="T106" i="2"/>
  <c r="T109" i="2" s="1"/>
  <c r="P19" i="1" l="1"/>
  <c r="P18" i="1"/>
  <c r="P21" i="1" s="1"/>
  <c r="Q12" i="1"/>
  <c r="U106" i="2"/>
  <c r="U109" i="2" s="1"/>
  <c r="V106" i="2"/>
  <c r="V109" i="2" s="1"/>
  <c r="R12" i="1"/>
  <c r="Q19" i="1" l="1"/>
  <c r="R19" i="1" s="1"/>
  <c r="R18" i="1"/>
  <c r="R21" i="1" s="1"/>
  <c r="Q18" i="1"/>
  <c r="Q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A4" authorId="0" shapeId="0" xr:uid="{6B25B9DB-C54B-1648-A4CA-8F23393C06E3}">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A5" authorId="0" shapeId="0" xr:uid="{F1E1C080-5934-5141-8691-3292D641D5EC}">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5" authorId="0" shapeId="0" xr:uid="{64B37CE5-A6C4-214A-A5AC-7E1835313D6A}">
      <text>
        <r>
          <rPr>
            <sz val="10"/>
            <color rgb="FF000000"/>
            <rFont val="Tahoma"/>
            <family val="2"/>
          </rPr>
          <t>For each metre of cieling, 2.5 grow levels can be used</t>
        </r>
      </text>
    </comment>
    <comment ref="A7" authorId="0" shapeId="0" xr:uid="{89D2CC2F-D2BC-A842-9380-BB16B507830B}">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16" authorId="0" shapeId="0" xr:uid="{CAAF25F1-D54C-4548-B3AE-DD66323D0359}">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 xml:space="preserve">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
</t>
        </r>
        <r>
          <rPr>
            <sz val="9"/>
            <color rgb="FF000000"/>
            <rFont val="Arial"/>
            <family val="2"/>
          </rPr>
          <t xml:space="preserve">(Agritecture Designer)
</t>
        </r>
      </text>
    </comment>
    <comment ref="A17" authorId="0" shapeId="0" xr:uid="{E134BAD2-831B-B04B-9BF6-25403F4D213D}">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26" authorId="0" shapeId="0" xr:uid="{A0BC04A6-4E1A-2745-9332-4A7A776B3D3F}">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27" authorId="0" shapeId="0" xr:uid="{7D9672CA-A14F-7A40-AB3E-723046133BA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30" authorId="0" shapeId="0" xr:uid="{29A44B24-1C02-EA46-A806-19C1161775FF}">
      <text>
        <r>
          <rPr>
            <sz val="10"/>
            <color rgb="FF000000"/>
            <rFont val="Tahoma"/>
            <family val="2"/>
          </rPr>
          <t xml:space="preserve">Default 5% reduction from year 3 onwards
</t>
        </r>
      </text>
    </comment>
    <comment ref="A32" authorId="0" shapeId="0" xr:uid="{C59FD406-4A90-BA4E-8AF1-06EDBD443739}">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39" authorId="0" shapeId="0" xr:uid="{56BC84F2-394F-7341-B8FD-3E30989293B0}">
      <text>
        <r>
          <rPr>
            <sz val="10"/>
            <color rgb="FF000000"/>
            <rFont val="Tahoma"/>
            <family val="2"/>
          </rPr>
          <t xml:space="preserve">Fraction of bedspace allocated to crop (%)
</t>
        </r>
        <r>
          <rPr>
            <sz val="10"/>
            <color rgb="FF000000"/>
            <rFont val="Tahoma"/>
            <family val="2"/>
          </rPr>
          <t xml:space="preserve">
</t>
        </r>
      </text>
    </comment>
    <comment ref="A40" authorId="0" shapeId="0" xr:uid="{6966DA80-8496-1A49-AD0F-2093654E5011}">
      <text>
        <r>
          <rPr>
            <sz val="10"/>
            <color rgb="FF000000"/>
            <rFont val="Arial"/>
            <family val="2"/>
          </rPr>
          <t xml:space="preserve">The options presented are the grow systems you can use for your operation. If it is incompatible with the crop type then the expected yield (kg) per month will be zero.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26" authorId="0" shapeId="0" xr:uid="{C610837D-3E5A-B843-B5CD-37B5BC4673B0}">
      <text>
        <r>
          <rPr>
            <sz val="10"/>
            <color rgb="FF000000"/>
            <rFont val="Arial"/>
            <family val="2"/>
          </rPr>
          <t xml:space="preserve">This is the maximum number of people your operation could feed on a daily basis, assuming each individual consumes 3 servings of your produce at an average of 67 grams per serving.
</t>
        </r>
        <r>
          <rPr>
            <sz val="10"/>
            <color rgb="FF000000"/>
            <rFont val="Tahoma"/>
            <family val="2"/>
          </rPr>
          <t>[Agritecture]</t>
        </r>
      </text>
    </comment>
    <comment ref="B27" authorId="0" shapeId="0" xr:uid="{70CBE15F-5F7D-7942-833F-0310E8247225}">
      <text>
        <r>
          <rPr>
            <sz val="10"/>
            <color rgb="FF000000"/>
            <rFont val="Arial"/>
            <family val="2"/>
          </rPr>
          <t>This is an estimated range of full-time farm jobs needed. Note that additional factors such as level of automation used within your operation will affect this estimate.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14" authorId="0" shapeId="0" xr:uid="{B4A82264-5230-FD4B-8ED1-E7456DD85493}">
      <text>
        <r>
          <rPr>
            <sz val="10"/>
            <color rgb="FF000000"/>
            <rFont val="Tahoma"/>
            <family val="2"/>
          </rPr>
          <t xml:space="preserve">If you would like to assess your pilot farm, or your full-scale farm only, just change your Growing area multiplier to 1 (G25)
</t>
        </r>
      </text>
    </comment>
    <comment ref="A16" authorId="0" shapeId="0" xr:uid="{A5A4F97F-D77D-BE4E-A123-83A4309B7F06}">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G16" authorId="0" shapeId="0" xr:uid="{E688F44B-CC84-AB4F-89DD-7AF7C9AE38C2}">
      <text>
        <r>
          <rPr>
            <sz val="10"/>
            <color rgb="FF000000"/>
            <rFont val="Tahoma"/>
            <family val="2"/>
          </rPr>
          <t xml:space="preserve">Fraction of bedspace allocated to crop (%)
</t>
        </r>
        <r>
          <rPr>
            <sz val="10"/>
            <color rgb="FF000000"/>
            <rFont val="Tahoma"/>
            <family val="2"/>
          </rPr>
          <t xml:space="preserve">
</t>
        </r>
      </text>
    </comment>
    <comment ref="G17" authorId="0" shapeId="0" xr:uid="{104D085D-2497-5942-ADD2-170B109401A8}">
      <text>
        <r>
          <rPr>
            <sz val="10"/>
            <color rgb="FF000000"/>
            <rFont val="Arial"/>
            <family val="2"/>
          </rPr>
          <t xml:space="preserve">The options presented are the grow systems you can use for your operation. If it is incompatible with the crop type then the expected yield (kg) per month will be zero.
</t>
        </r>
      </text>
    </comment>
    <comment ref="A18" authorId="0" shapeId="0" xr:uid="{D70F928E-F411-FA44-8D0D-A80A6BA8D4C5}">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18" authorId="0" shapeId="0" xr:uid="{BCEAB5DC-B8E9-134B-818B-6CE03AD003FA}">
      <text>
        <r>
          <rPr>
            <sz val="10"/>
            <color rgb="FF000000"/>
            <rFont val="Tahoma"/>
            <family val="2"/>
          </rPr>
          <t>For each metre of cieling, 2.5 grow levels can be used</t>
        </r>
      </text>
    </comment>
    <comment ref="A21" authorId="0" shapeId="0" xr:uid="{3B94F5A9-0BCA-BE48-925A-CD326427921A}">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25" authorId="0" shapeId="0" xr:uid="{76941A42-E662-6D43-ABCE-2F159B7C3FE3}">
      <text>
        <r>
          <rPr>
            <b/>
            <sz val="10"/>
            <color rgb="FF000000"/>
            <rFont val="Tahoma"/>
            <family val="2"/>
          </rPr>
          <t>See Breakdown of yields of each crop type in Crop Information</t>
        </r>
        <r>
          <rPr>
            <sz val="10"/>
            <color rgb="FF000000"/>
            <rFont val="Tahoma"/>
            <family val="2"/>
          </rPr>
          <t xml:space="preserve">
</t>
        </r>
      </text>
    </comment>
    <comment ref="A33" authorId="0" shapeId="0" xr:uid="{AB5589A8-B074-CD4F-9315-8EE45769A591}">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 xml:space="preserve">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
</t>
        </r>
        <r>
          <rPr>
            <sz val="9"/>
            <color rgb="FF000000"/>
            <rFont val="Arial"/>
            <family val="2"/>
          </rPr>
          <t xml:space="preserve">(Agritecture Designer)
</t>
        </r>
      </text>
    </comment>
    <comment ref="A34" authorId="0" shapeId="0" xr:uid="{044E5B67-CA17-764C-9FF5-1F83E17A0D6E}">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43" authorId="0" shapeId="0" xr:uid="{B3C5374A-3F8F-5544-99E8-19937F1CCE08}">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44" authorId="0" shapeId="0" xr:uid="{ABD6BED8-FB9E-8A4D-8F6F-D16E2D0ADBC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47" authorId="0" shapeId="0" xr:uid="{4210DC5F-FAEF-114B-BD24-15BFAF390F24}">
      <text>
        <r>
          <rPr>
            <sz val="10"/>
            <color rgb="FF000000"/>
            <rFont val="Tahoma"/>
            <family val="2"/>
          </rPr>
          <t xml:space="preserve">Default 5% reduction from year 3 onwards
</t>
        </r>
      </text>
    </comment>
    <comment ref="A49" authorId="0" shapeId="0" xr:uid="{93BAE8FC-8CF8-2B40-ACF6-F8268666D4E2}">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68" authorId="0" shapeId="0" xr:uid="{3C84137F-EFFE-E44D-B779-DE64EDB6C7EC}">
      <text>
        <r>
          <rPr>
            <sz val="10"/>
            <color rgb="FF000000"/>
            <rFont val="Arial"/>
            <family val="2"/>
          </rPr>
          <t>The adjusted plant yield (</t>
        </r>
        <r>
          <rPr>
            <sz val="10"/>
            <color rgb="FF000000"/>
            <rFont val="Cambria Math"/>
            <family val="1"/>
          </rPr>
          <t>𝑌</t>
        </r>
        <r>
          <rPr>
            <sz val="10"/>
            <color rgb="FF000000"/>
            <rFont val="Arial"/>
            <family val="2"/>
          </rPr>
          <t xml:space="preserve"> ) for a plant is calculated from the standard yield (</t>
        </r>
        <r>
          <rPr>
            <sz val="10"/>
            <color rgb="FF000000"/>
            <rFont val="Cambria Math"/>
            <family val="1"/>
          </rPr>
          <t>𝑌</t>
        </r>
        <r>
          <rPr>
            <sz val="10"/>
            <color rgb="FF000000"/>
            <rFont val="Arial"/>
            <family val="2"/>
          </rPr>
          <t xml:space="preserve"> ) which is a </t>
        </r>
        <r>
          <rPr>
            <sz val="10"/>
            <color rgb="FF000000"/>
            <rFont val="Cambria Math"/>
            <family val="1"/>
          </rPr>
          <t>𝑎</t>
        </r>
        <r>
          <rPr>
            <sz val="10"/>
            <color rgb="FF000000"/>
            <rFont val="Cambria Math"/>
            <family val="1"/>
          </rPr>
          <t>𝑠</t>
        </r>
        <r>
          <rPr>
            <sz val="10"/>
            <color rgb="FF000000"/>
            <rFont val="Arial"/>
            <family val="2"/>
          </rPr>
          <t xml:space="preserve">  value validated from the literature, multiplied by the number of plants (</t>
        </r>
        <r>
          <rPr>
            <sz val="10"/>
            <color rgb="FF000000"/>
            <rFont val="Cambria Math"/>
            <family val="1"/>
          </rPr>
          <t>𝑁</t>
        </r>
        <r>
          <rPr>
            <sz val="10"/>
            <color rgb="FF000000"/>
            <rFont val="Cambria Math"/>
            <family val="1"/>
          </rPr>
          <t>𝑝</t>
        </r>
        <r>
          <rPr>
            <sz val="10"/>
            <color rgb="FF000000"/>
            <rFont val="Arial"/>
            <family val="2"/>
          </rPr>
          <t xml:space="preserve">), and various factors influencing its value (Shao et al., 2016). 
</t>
        </r>
        <r>
          <rPr>
            <sz val="10"/>
            <color rgb="FF000000"/>
            <rFont val="Arial"/>
            <family val="2"/>
          </rPr>
          <t xml:space="preserve">
</t>
        </r>
        <r>
          <rPr>
            <sz val="10"/>
            <color rgb="FF000000"/>
            <rFont val="Arial"/>
            <family val="2"/>
          </rPr>
          <t xml:space="preserve">Adjustments for:
</t>
        </r>
        <r>
          <rPr>
            <sz val="10"/>
            <color rgb="FF000000"/>
            <rFont val="Arial"/>
            <family val="2"/>
          </rPr>
          <t xml:space="preserve">Waste adjustment - depndant on growers level 
</t>
        </r>
        <r>
          <rPr>
            <sz val="10"/>
            <color rgb="FF000000"/>
            <rFont val="Arial"/>
            <family val="2"/>
          </rPr>
          <t xml:space="preserve">CO2 enrichment - dependant on CO2 injection
</t>
        </r>
      </text>
    </comment>
    <comment ref="F68" authorId="0" shapeId="0" xr:uid="{048CD979-8F28-9E49-B718-50ACFC469DF1}">
      <text/>
    </comment>
    <comment ref="A72" authorId="0" shapeId="0" xr:uid="{408A653F-DDFE-D246-8813-08DCA8AE914C}">
      <text>
        <r>
          <rPr>
            <sz val="10"/>
            <color rgb="FF000000"/>
            <rFont val="Tahoma"/>
            <family val="2"/>
          </rPr>
          <t xml:space="preserve">Sales calculated from:
</t>
        </r>
        <r>
          <rPr>
            <sz val="10"/>
            <color rgb="FF000000"/>
            <rFont val="Tahoma"/>
            <family val="2"/>
          </rPr>
          <t xml:space="preserve">Adjusted Yield x Price Point for Crop Type
</t>
        </r>
      </text>
    </comment>
    <comment ref="C74" authorId="0" shapeId="0" xr:uid="{23A469D4-E3DE-9E43-9C07-826B7671CCFE}">
      <text>
        <r>
          <rPr>
            <sz val="10"/>
            <color rgb="FF000000"/>
            <rFont val="Tahoma"/>
            <family val="2"/>
          </rPr>
          <t xml:space="preserve">The amont by which you plan to grow this revenue stream each year.
</t>
        </r>
        <r>
          <rPr>
            <sz val="10"/>
            <color rgb="FF000000"/>
            <rFont val="Tahoma"/>
            <family val="2"/>
          </rPr>
          <t xml:space="preserve">State '1' if no growth expected
</t>
        </r>
      </text>
    </comment>
    <comment ref="A86" authorId="0" shapeId="0" xr:uid="{4CF6E050-5108-F74B-8DD8-DBB546B7B270}">
      <text>
        <r>
          <rPr>
            <sz val="10"/>
            <color rgb="FF000000"/>
            <rFont val="Tahoma"/>
            <family val="2"/>
          </rPr>
          <t xml:space="preserve">Packaging and delivery typically account for 6-8% of production cost when near city. 12% when outside city.
</t>
        </r>
      </text>
    </comment>
    <comment ref="A88" authorId="0" shapeId="0" xr:uid="{D915B662-284A-B54B-BF35-8090A4EE6424}">
      <text>
        <r>
          <rPr>
            <b/>
            <sz val="10"/>
            <color rgb="FF000000"/>
            <rFont val="Tahoma"/>
            <family val="2"/>
          </rPr>
          <t xml:space="preserve">80% of electricity is covered by Lighting.
</t>
        </r>
        <r>
          <rPr>
            <b/>
            <sz val="10"/>
            <color rgb="FF000000"/>
            <rFont val="Tahoma"/>
            <family val="2"/>
          </rPr>
          <t xml:space="preserve">x1.25 to include other costs (pump and HVAC)
</t>
        </r>
        <r>
          <rPr>
            <sz val="10"/>
            <color rgb="FF000000"/>
            <rFont val="Arial"/>
            <family val="2"/>
          </rPr>
          <t xml:space="preserve">https://www.researchgate.net/publication/336689846_Optimization_of_Photoperiod_and_Quality_Assessment_of_Basil_Plants_Grown_in_a_Small-Scale_Indoor_Cultivation_System_for_Reduction_of_Energy_Demand
</t>
        </r>
        <r>
          <rPr>
            <b/>
            <sz val="10"/>
            <color rgb="FF000000"/>
            <rFont val="Tahoma"/>
            <family val="2"/>
          </rPr>
          <t xml:space="preserve">
</t>
        </r>
        <r>
          <rPr>
            <b/>
            <sz val="10"/>
            <color rgb="FF000000"/>
            <rFont val="Tahoma"/>
            <family val="2"/>
          </rPr>
          <t xml:space="preserve">
</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K7" authorId="0" shapeId="0" xr:uid="{936DDAB4-0929-8340-A36C-A5F0E190AB27}">
      <text>
        <r>
          <rPr>
            <sz val="10"/>
            <color rgb="FF000000"/>
            <rFont val="Tahoma"/>
            <family val="2"/>
          </rPr>
          <t xml:space="preserve">From Nate Storey's Thesis and Laurence/Sams Yield collection
</t>
        </r>
      </text>
    </comment>
    <comment ref="D10" authorId="0" shapeId="0" xr:uid="{5C3E3144-9B60-A545-84E5-226832E87068}">
      <text>
        <r>
          <rPr>
            <sz val="10"/>
            <color rgb="FF000000"/>
            <rFont val="Arial"/>
            <family val="2"/>
          </rPr>
          <t xml:space="preserve">14 hours showed positive effects on the chlorophyll content and thus physiological development of basil plants 17 days after plants were transplanted
</t>
        </r>
        <r>
          <rPr>
            <sz val="10"/>
            <color rgb="FF000000"/>
            <rFont val="Arial"/>
            <family val="2"/>
          </rPr>
          <t xml:space="preserve">
</t>
        </r>
        <r>
          <rPr>
            <sz val="10"/>
            <color rgb="FF000000"/>
            <rFont val="Arial"/>
            <family val="2"/>
          </rPr>
          <t>https://www.researchgate.net/publication/336689846_Optimization_of_Photoperiod_and_Quality_Assessment_of_Basil_Plants_Grown_in_a_Small-Scale_Indoor_Cultivation_System_for_Reduction_of_Energy_Demand</t>
        </r>
      </text>
    </comment>
    <comment ref="H109" authorId="0" shapeId="0" xr:uid="{FD40423D-AAD2-3747-A0C4-12A39D1D512C}">
      <text>
        <r>
          <rPr>
            <b/>
            <sz val="10"/>
            <color rgb="FF000000"/>
            <rFont val="Tahoma"/>
            <family val="2"/>
          </rPr>
          <t>LED efficiency default is 40%, HID efficiency default is 20%</t>
        </r>
        <r>
          <rPr>
            <sz val="10"/>
            <color rgb="FF000000"/>
            <rFont val="Tahoma"/>
            <family val="2"/>
          </rPr>
          <t xml:space="preserve">
</t>
        </r>
      </text>
    </comment>
    <comment ref="D113" authorId="0" shapeId="0" xr:uid="{28204A8C-A596-0D4C-8246-63CED65CB4C6}">
      <text>
        <r>
          <rPr>
            <sz val="10"/>
            <color rgb="FF000000"/>
            <rFont val="Tahoma"/>
            <family val="2"/>
          </rPr>
          <t>@ 25cm</t>
        </r>
      </text>
    </comment>
  </commentList>
</comments>
</file>

<file path=xl/sharedStrings.xml><?xml version="1.0" encoding="utf-8"?>
<sst xmlns="http://schemas.openxmlformats.org/spreadsheetml/2006/main" count="1803" uniqueCount="871">
  <si>
    <t>Packaging types &amp; ROUGH Cost per package</t>
  </si>
  <si>
    <t>Initial CapEx</t>
  </si>
  <si>
    <t>Assumptions</t>
  </si>
  <si>
    <t>Construction (X)</t>
  </si>
  <si>
    <t>0.25oz</t>
  </si>
  <si>
    <t>0.5oz</t>
  </si>
  <si>
    <t>1oz</t>
  </si>
  <si>
    <t>2oz</t>
  </si>
  <si>
    <t>4oz</t>
  </si>
  <si>
    <t>8oz</t>
  </si>
  <si>
    <t>16oz/1lb</t>
  </si>
  <si>
    <t>Live Plant</t>
  </si>
  <si>
    <t>Case</t>
  </si>
  <si>
    <t>Wholesale - Basic</t>
  </si>
  <si>
    <t>Wholesale - Premium</t>
  </si>
  <si>
    <t>Retail - Basic</t>
  </si>
  <si>
    <t>Retail - Premium</t>
  </si>
  <si>
    <t xml:space="preserve">Use these figures to plug into your packaging </t>
  </si>
  <si>
    <t>Packaging cost per unit (from Packaging Sheet)</t>
  </si>
  <si>
    <t>Other cost as a % of Salaries</t>
  </si>
  <si>
    <t>Notes</t>
  </si>
  <si>
    <t>Monthly Y1 Avg</t>
  </si>
  <si>
    <t>Year 1 Total</t>
  </si>
  <si>
    <t>Year 2 Total</t>
  </si>
  <si>
    <t>Produce Sales</t>
  </si>
  <si>
    <t>Calculated above</t>
  </si>
  <si>
    <t>Value-Added Products</t>
  </si>
  <si>
    <t>Optional</t>
  </si>
  <si>
    <t>Education</t>
  </si>
  <si>
    <t>Tourism</t>
  </si>
  <si>
    <t>Hospitality</t>
  </si>
  <si>
    <t>Equipment (Y)</t>
  </si>
  <si>
    <t>TOTAL (X+Y)</t>
  </si>
  <si>
    <t>Monthly, end of Y1</t>
  </si>
  <si>
    <t>Y1 TOTAL</t>
  </si>
  <si>
    <t>Y2 TOTAL</t>
  </si>
  <si>
    <t>Y3 TOTAL</t>
  </si>
  <si>
    <t>Gross Revenue (A)</t>
  </si>
  <si>
    <t>Cost of Goods Sold (B)</t>
  </si>
  <si>
    <t>Gross Profit (C) = (A-B)</t>
  </si>
  <si>
    <t>Total Operating Expense (D)</t>
  </si>
  <si>
    <t>Payback Period (Years)</t>
  </si>
  <si>
    <t>Note this is not an exact calculation</t>
  </si>
  <si>
    <t>Total Revenue</t>
  </si>
  <si>
    <t>Direct Labor</t>
  </si>
  <si>
    <t>From Staff Calculations below</t>
  </si>
  <si>
    <t>Growing Media</t>
  </si>
  <si>
    <t>Ask for Guidance</t>
  </si>
  <si>
    <t>Packaging</t>
  </si>
  <si>
    <t>Use sheet "Packaging" for guide</t>
  </si>
  <si>
    <t>Seeds &amp; Nutrients</t>
  </si>
  <si>
    <t>Based on your crop type</t>
  </si>
  <si>
    <t>Utilities: Electricity</t>
  </si>
  <si>
    <t>Based on your chosen space</t>
  </si>
  <si>
    <t>Utilities: Water</t>
  </si>
  <si>
    <t>Total COGS</t>
  </si>
  <si>
    <t>Gross Profit (Total Revenue - Total COGS)</t>
  </si>
  <si>
    <t>Rent</t>
  </si>
  <si>
    <t>Total Operating Expense</t>
  </si>
  <si>
    <t>Staff Calculations</t>
  </si>
  <si>
    <t>Monthly Salary</t>
  </si>
  <si>
    <t>Yearly Salary</t>
  </si>
  <si>
    <t>Delivery</t>
  </si>
  <si>
    <t>Farm Hand</t>
  </si>
  <si>
    <t>Total</t>
  </si>
  <si>
    <t>CEO</t>
  </si>
  <si>
    <t>Head Grower</t>
  </si>
  <si>
    <t>Marketer</t>
  </si>
  <si>
    <t>Scientist/Engineer</t>
  </si>
  <si>
    <t>Salesperson</t>
  </si>
  <si>
    <t>Total Headcount</t>
  </si>
  <si>
    <t>Roof type</t>
  </si>
  <si>
    <t>Tax rate</t>
  </si>
  <si>
    <t>Insulation level</t>
  </si>
  <si>
    <t>System Type</t>
  </si>
  <si>
    <t>Climate Control</t>
  </si>
  <si>
    <t>Automation Level</t>
  </si>
  <si>
    <t>Grower experience</t>
  </si>
  <si>
    <t># of tiers/Grow levels</t>
  </si>
  <si>
    <t>Plant Factory</t>
  </si>
  <si>
    <t>Farm Type</t>
  </si>
  <si>
    <t>Farm Characteristics</t>
  </si>
  <si>
    <t>Return on Investment</t>
  </si>
  <si>
    <t>Wholesale</t>
  </si>
  <si>
    <t>Restaurants</t>
  </si>
  <si>
    <t>Retail</t>
  </si>
  <si>
    <t>Direct to Consumer</t>
  </si>
  <si>
    <t>Price Multiplier</t>
  </si>
  <si>
    <t>Market Type</t>
  </si>
  <si>
    <t>Marginal cost (average)</t>
  </si>
  <si>
    <t>Average total costs</t>
  </si>
  <si>
    <t>Average variable costs</t>
  </si>
  <si>
    <t>Average fixed costs</t>
  </si>
  <si>
    <t>Total costs</t>
  </si>
  <si>
    <t>Variable costs</t>
  </si>
  <si>
    <t>Fixed costs</t>
  </si>
  <si>
    <t>Orders made per month</t>
  </si>
  <si>
    <t>No. of machines</t>
  </si>
  <si>
    <t>No of workers</t>
  </si>
  <si>
    <t>Production Technology #2</t>
  </si>
  <si>
    <t>Production Technology #1</t>
  </si>
  <si>
    <t>Sales &amp; Marketing</t>
  </si>
  <si>
    <t>-</t>
  </si>
  <si>
    <t>Marginal Product  of Labour</t>
  </si>
  <si>
    <t>Deliveries made per hour</t>
  </si>
  <si>
    <t>Low labour, High automation</t>
  </si>
  <si>
    <t>Production technology #3</t>
  </si>
  <si>
    <t>Med labour, Med automation</t>
  </si>
  <si>
    <t>High labour, low automation</t>
  </si>
  <si>
    <t>Crops packaged</t>
  </si>
  <si>
    <t>Low labour, High machinery</t>
  </si>
  <si>
    <t>Production Technology #3</t>
  </si>
  <si>
    <t>Med labour, some machinery</t>
  </si>
  <si>
    <t>Crop kg harvested per week</t>
  </si>
  <si>
    <t>Harvesting</t>
  </si>
  <si>
    <t>Crops grown to harvest</t>
  </si>
  <si>
    <t>Per kg</t>
  </si>
  <si>
    <t>High labour, no machinery</t>
  </si>
  <si>
    <t xml:space="preserve">Growing </t>
  </si>
  <si>
    <t>Seeds propogated per week</t>
  </si>
  <si>
    <t>Sowing &amp; Propogation</t>
  </si>
  <si>
    <t>Seeds purchased</t>
  </si>
  <si>
    <t>Orders made per year</t>
  </si>
  <si>
    <t>Med labour, Med machinery</t>
  </si>
  <si>
    <t>Purchasing Consumables</t>
  </si>
  <si>
    <t>Revenue (per year)</t>
  </si>
  <si>
    <t>15g</t>
  </si>
  <si>
    <t>7.5g</t>
  </si>
  <si>
    <t>30g</t>
  </si>
  <si>
    <t>60g</t>
  </si>
  <si>
    <t>120g</t>
  </si>
  <si>
    <t>240g</t>
  </si>
  <si>
    <t>450g</t>
  </si>
  <si>
    <t>Replace with your own numbers. Highlight green when replaced</t>
  </si>
  <si>
    <t>Y4 TOTAL</t>
  </si>
  <si>
    <t>Y5 TOTAL</t>
  </si>
  <si>
    <t>Y6 TOTAL</t>
  </si>
  <si>
    <t>Y7 TOTAL</t>
  </si>
  <si>
    <t>Y8 TOTAL</t>
  </si>
  <si>
    <t>Y9 TOTAL</t>
  </si>
  <si>
    <t>Y10 TOTAL</t>
  </si>
  <si>
    <t>Y11 TOTAL</t>
  </si>
  <si>
    <t>Y12 TOTAL</t>
  </si>
  <si>
    <t>Y13 TOTAL</t>
  </si>
  <si>
    <t>Y14 TOTAL</t>
  </si>
  <si>
    <t>Y15 TOTAL</t>
  </si>
  <si>
    <t>Year 3 Total</t>
  </si>
  <si>
    <t>Year 4 Total</t>
  </si>
  <si>
    <t>Year 5 Total</t>
  </si>
  <si>
    <t>Year 6 Total</t>
  </si>
  <si>
    <t>Year 7 Total</t>
  </si>
  <si>
    <t>Year 8 Total</t>
  </si>
  <si>
    <t>Year 9 Total</t>
  </si>
  <si>
    <t>Year 10 Total</t>
  </si>
  <si>
    <t>Year 11 Total</t>
  </si>
  <si>
    <t>Year 12 Total</t>
  </si>
  <si>
    <t>Year 13 Total</t>
  </si>
  <si>
    <t>Year 14 Total</t>
  </si>
  <si>
    <t>Year 15 Total</t>
  </si>
  <si>
    <t>Lighting Control</t>
  </si>
  <si>
    <t>EDIT BLUE CELLS</t>
  </si>
  <si>
    <t>SOURCE DATA FOR PINK CELLS</t>
  </si>
  <si>
    <t>DEPENDANT ON GROWTH PLANS</t>
  </si>
  <si>
    <t>High</t>
  </si>
  <si>
    <t>Low</t>
  </si>
  <si>
    <t>Medium</t>
  </si>
  <si>
    <t>Flat roof</t>
  </si>
  <si>
    <t>ADDED BUT NOT USED (YET)</t>
  </si>
  <si>
    <t>GUIDELINES:</t>
  </si>
  <si>
    <t>Year 1 (PILOT)</t>
  </si>
  <si>
    <t>Year 2 (FULL-SCALE)</t>
  </si>
  <si>
    <t>Use these figures to plug into 'Overview'</t>
  </si>
  <si>
    <t>Seeds</t>
  </si>
  <si>
    <t>CONSUMABLES</t>
  </si>
  <si>
    <t>Plants</t>
  </si>
  <si>
    <t>Lettuce (butterhead)</t>
  </si>
  <si>
    <t>Cucumber</t>
  </si>
  <si>
    <t>Broccoli</t>
  </si>
  <si>
    <t>Eggplant</t>
  </si>
  <si>
    <t>Lettuce (iceberg)</t>
  </si>
  <si>
    <t>Sweet Pepper</t>
  </si>
  <si>
    <t>Bok-Choy</t>
  </si>
  <si>
    <t>Strawberry</t>
  </si>
  <si>
    <t>Chinese Leaf</t>
  </si>
  <si>
    <t>PPFD μmol / mol/ m2/s</t>
  </si>
  <si>
    <t>PAR mol/m2/day</t>
  </si>
  <si>
    <t>Photoperiod hours</t>
  </si>
  <si>
    <t>Days before harvest</t>
  </si>
  <si>
    <t>Dry Mass/plant/kg</t>
  </si>
  <si>
    <t>DM-FM</t>
  </si>
  <si>
    <t>Plants/m2</t>
  </si>
  <si>
    <t>Gross yield kg/m2/year</t>
  </si>
  <si>
    <t>Water L/DM kg plant</t>
  </si>
  <si>
    <t>FM per plant kg</t>
  </si>
  <si>
    <t>Water Use L/M2/year</t>
  </si>
  <si>
    <t>Plant spacing m</t>
  </si>
  <si>
    <t>Height of shoot m</t>
  </si>
  <si>
    <t>Depth of root m</t>
  </si>
  <si>
    <t>Light Use Efficiency kg/mol/m2</t>
  </si>
  <si>
    <t>Harvest index</t>
  </si>
  <si>
    <t>Spinach</t>
  </si>
  <si>
    <t>Values have been sourced from literature</t>
  </si>
  <si>
    <t>Investment left.</t>
  </si>
  <si>
    <t>Requires correction</t>
  </si>
  <si>
    <t>Years</t>
  </si>
  <si>
    <t>Net Profit (EDITBA - Tax - Loan Interest - Depreciation - Amortization)</t>
  </si>
  <si>
    <t>EBITDA (Gross Profit - Operating Expense)</t>
  </si>
  <si>
    <t>EBITDA Profit/Loss (E) (C-D)</t>
  </si>
  <si>
    <t>Net Profit/Loss (E) - Tax - Interest</t>
  </si>
  <si>
    <t>Company Info</t>
  </si>
  <si>
    <t>Loan interest</t>
  </si>
  <si>
    <t>Loan amount</t>
  </si>
  <si>
    <t>Loan tenure (years)</t>
  </si>
  <si>
    <t>Loan repayments</t>
  </si>
  <si>
    <t>Loan balance</t>
  </si>
  <si>
    <t>NEEDS CORRECTING</t>
  </si>
  <si>
    <t>Ensure a real number is returned if loan tenture is less than 15</t>
  </si>
  <si>
    <t>Loan type</t>
  </si>
  <si>
    <t>Standard</t>
  </si>
  <si>
    <t>Wastage Rates</t>
  </si>
  <si>
    <t>Grower Experience</t>
  </si>
  <si>
    <t>Taxes</t>
  </si>
  <si>
    <t>Capital Expenditure</t>
  </si>
  <si>
    <t>Business Model</t>
  </si>
  <si>
    <t>Facility size (sq-m)</t>
  </si>
  <si>
    <t>DEFAULT VALUES (OVERIDE IF KNOWN)</t>
  </si>
  <si>
    <t>VARIABLE PARAMETERS</t>
  </si>
  <si>
    <t>Live Plant x2</t>
  </si>
  <si>
    <t>Live Plant x4</t>
  </si>
  <si>
    <t>Vertical Farming Growing Systems</t>
  </si>
  <si>
    <t>ZipRack</t>
  </si>
  <si>
    <t>V-Farm</t>
  </si>
  <si>
    <t>Yes</t>
  </si>
  <si>
    <t>CO2 Enrichment</t>
  </si>
  <si>
    <t>Germination &amp; clean area</t>
  </si>
  <si>
    <t>Processing plant cost</t>
  </si>
  <si>
    <t>Waste management cost</t>
  </si>
  <si>
    <t>Renewable energy implementation</t>
  </si>
  <si>
    <t>Total Capital Expense</t>
  </si>
  <si>
    <t>Total construction cost</t>
  </si>
  <si>
    <t>Total system cost</t>
  </si>
  <si>
    <t>Depreciation/year (%)</t>
  </si>
  <si>
    <t>Depreciation/year (£)</t>
  </si>
  <si>
    <t>Construction Cost</t>
  </si>
  <si>
    <t>Pilot Farm</t>
  </si>
  <si>
    <t>Life-span (years)</t>
  </si>
  <si>
    <t>Lifetime (hours)</t>
  </si>
  <si>
    <t>Irrigation and Nutrient System cost</t>
  </si>
  <si>
    <t>Predicted cost/sq-m</t>
  </si>
  <si>
    <t>Equipment Cost</t>
  </si>
  <si>
    <t>Management cost</t>
  </si>
  <si>
    <t>Construction Cost Cross Validation with Cost Models from Turner &amp; Townsend (2012)</t>
  </si>
  <si>
    <t>China (Shanghai)</t>
  </si>
  <si>
    <t>Cost model</t>
  </si>
  <si>
    <t>Office - business park</t>
  </si>
  <si>
    <t>Warehouse/factory unit - basic</t>
  </si>
  <si>
    <t>High-tech facility/laboratory</t>
  </si>
  <si>
    <t>UK (London)</t>
  </si>
  <si>
    <t>US (Washington DC)</t>
  </si>
  <si>
    <t>Average cost USD/m^2</t>
  </si>
  <si>
    <t>Predicted Cost (USD/m^2)</t>
  </si>
  <si>
    <t>Error Rate</t>
  </si>
  <si>
    <t>Depreciation Calculator</t>
  </si>
  <si>
    <t>% of Total</t>
  </si>
  <si>
    <t>Cold storage</t>
  </si>
  <si>
    <t>Lighting systems</t>
  </si>
  <si>
    <t>HVAC system</t>
  </si>
  <si>
    <t>Growing system</t>
  </si>
  <si>
    <t>Racking</t>
  </si>
  <si>
    <t>Real estate</t>
  </si>
  <si>
    <t>Structure</t>
  </si>
  <si>
    <t>Finishing</t>
  </si>
  <si>
    <t>Appliance</t>
  </si>
  <si>
    <t xml:space="preserve"> N/A </t>
  </si>
  <si>
    <t xml:space="preserve"> $          0.05</t>
  </si>
  <si>
    <t xml:space="preserve"> $          0.06</t>
  </si>
  <si>
    <t xml:space="preserve"> $          0.13</t>
  </si>
  <si>
    <t xml:space="preserve"> $          0.25</t>
  </si>
  <si>
    <t xml:space="preserve"> $          0.02</t>
  </si>
  <si>
    <t xml:space="preserve"> $         2.00</t>
  </si>
  <si>
    <t xml:space="preserve"> $          0.15</t>
  </si>
  <si>
    <t xml:space="preserve"> $          0.14</t>
  </si>
  <si>
    <t xml:space="preserve"> $          0.28</t>
  </si>
  <si>
    <t xml:space="preserve"> $          0.55</t>
  </si>
  <si>
    <t xml:space="preserve"> $          0.10</t>
  </si>
  <si>
    <t xml:space="preserve"> $         4.00</t>
  </si>
  <si>
    <t xml:space="preserve"> $          0.09</t>
  </si>
  <si>
    <t xml:space="preserve"> $          0.18</t>
  </si>
  <si>
    <t xml:space="preserve"> $          0.35</t>
  </si>
  <si>
    <t xml:space="preserve"> $          0.19</t>
  </si>
  <si>
    <t xml:space="preserve"> $          0.38</t>
  </si>
  <si>
    <t xml:space="preserve"> $          0.75</t>
  </si>
  <si>
    <t>Full Scale Cost</t>
  </si>
  <si>
    <t>Pilot Farm Cost</t>
  </si>
  <si>
    <t>Total Cost</t>
  </si>
  <si>
    <t>Depreciation Cost per year</t>
  </si>
  <si>
    <t>Depreciation &amp; Amortisation</t>
  </si>
  <si>
    <t>Cost of Goods Sold (COGS) - Variable Costs</t>
  </si>
  <si>
    <t>Operating Expense - Fixed Costs</t>
  </si>
  <si>
    <t>Staff (Non-Direct Labor)</t>
  </si>
  <si>
    <t>Other costs (as % of salaries)</t>
  </si>
  <si>
    <t>Insurance</t>
  </si>
  <si>
    <t>Distribution</t>
  </si>
  <si>
    <t>Asssumption</t>
  </si>
  <si>
    <t>Average</t>
  </si>
  <si>
    <t>Horizontal Growing Area (sq-m)</t>
  </si>
  <si>
    <t>Total Stacked Growing Area (sq-m)</t>
  </si>
  <si>
    <t>Crop Type 1</t>
  </si>
  <si>
    <t>Crop Type 2</t>
  </si>
  <si>
    <t>Crop Type 3</t>
  </si>
  <si>
    <t>Crop Type 4</t>
  </si>
  <si>
    <t>Grow System</t>
  </si>
  <si>
    <t>None</t>
  </si>
  <si>
    <t>Photoperiod (Hours)</t>
  </si>
  <si>
    <t>Pilot</t>
  </si>
  <si>
    <t>Full-Scale</t>
  </si>
  <si>
    <t>£ per unit of yield</t>
  </si>
  <si>
    <t>Grow Percentage Total</t>
  </si>
  <si>
    <t>Yield</t>
  </si>
  <si>
    <t>Needs correcting</t>
  </si>
  <si>
    <t>Growing area multiplier (for year 2 full-scale)</t>
  </si>
  <si>
    <t>Lighting System</t>
  </si>
  <si>
    <t xml:space="preserve">CROP &amp; SYSTEM DATABASE </t>
  </si>
  <si>
    <t>GROWING SYSTEM</t>
  </si>
  <si>
    <t>LIGHTING SYSTEM</t>
  </si>
  <si>
    <t>Folio Novia</t>
  </si>
  <si>
    <t>Light source</t>
  </si>
  <si>
    <t>LED</t>
  </si>
  <si>
    <t>Spectrum</t>
  </si>
  <si>
    <t>FOLIO - early to vegetative</t>
  </si>
  <si>
    <t>Input Voltage</t>
  </si>
  <si>
    <t>Autosensing 100-277 VAC</t>
  </si>
  <si>
    <t>320W</t>
  </si>
  <si>
    <t>Efficiency (μm/J)</t>
  </si>
  <si>
    <t>Mounting Height</t>
  </si>
  <si>
    <t>15cm above canopy</t>
  </si>
  <si>
    <t>Thermal Management</t>
  </si>
  <si>
    <t>Passive/Active</t>
  </si>
  <si>
    <t>Coverage @ 220 μm</t>
  </si>
  <si>
    <t>2m x 1m</t>
  </si>
  <si>
    <t>Dimmable</t>
  </si>
  <si>
    <t>Dimming</t>
  </si>
  <si>
    <t>1-10V</t>
  </si>
  <si>
    <t>LED Lifetime (L90) (hours)</t>
  </si>
  <si>
    <t xml:space="preserve">Mercucery/Lead content </t>
  </si>
  <si>
    <t>Warranty</t>
  </si>
  <si>
    <t>5-year limited</t>
  </si>
  <si>
    <t>Certification</t>
  </si>
  <si>
    <t>C.E. RoHS compliant</t>
  </si>
  <si>
    <t>Website</t>
  </si>
  <si>
    <t>www.liberty-produce.com</t>
  </si>
  <si>
    <t>1.6-3.2</t>
  </si>
  <si>
    <t>32-37.5 (Vdc)</t>
  </si>
  <si>
    <t>64-75 (Vdc))</t>
  </si>
  <si>
    <t>Passive Air Cooling</t>
  </si>
  <si>
    <t>Max Dimensions (LxBxH)</t>
  </si>
  <si>
    <t>Unit Weight (kg)</t>
  </si>
  <si>
    <t>2.39m x 112mm x 36mm</t>
  </si>
  <si>
    <t>Light Distribution</t>
  </si>
  <si>
    <t>150 degree coverage</t>
  </si>
  <si>
    <t>300 degree coverage</t>
  </si>
  <si>
    <t>Cable Length</t>
  </si>
  <si>
    <t>3m +-0.2m</t>
  </si>
  <si>
    <t>3-year std</t>
  </si>
  <si>
    <t>3-year stf</t>
  </si>
  <si>
    <t>1.6-3.3</t>
  </si>
  <si>
    <t>151 degree coverage</t>
  </si>
  <si>
    <t>1.6-3.4</t>
  </si>
  <si>
    <t>152 degree coverage</t>
  </si>
  <si>
    <t>301 degree coverage</t>
  </si>
  <si>
    <t>302 degree coverage</t>
  </si>
  <si>
    <t>Spectra B</t>
  </si>
  <si>
    <t>Spectra G</t>
  </si>
  <si>
    <t>Spectra J</t>
  </si>
  <si>
    <t>100W</t>
  </si>
  <si>
    <t>150W</t>
  </si>
  <si>
    <t>PPF (μmol/s)</t>
  </si>
  <si>
    <t>Efficacy Spectrum (μmol/J)</t>
  </si>
  <si>
    <t>Input Power (Lamp)</t>
  </si>
  <si>
    <t>Intravision Spectra Blade Single Sided - B</t>
  </si>
  <si>
    <t>Intravision Spectra Blade Single Sided - G</t>
  </si>
  <si>
    <t>Intravision Spectra Blade Single Sided - J</t>
  </si>
  <si>
    <t>Intravision Spectra Blade Double Sided - B</t>
  </si>
  <si>
    <t>Intravision Spectra Blade Double Sided - G</t>
  </si>
  <si>
    <t>Intravision Spectra Blade Double Sided - J</t>
  </si>
  <si>
    <t>Ceiling height (m)</t>
  </si>
  <si>
    <t>Seed Cost</t>
  </si>
  <si>
    <t>Media</t>
  </si>
  <si>
    <t>Plugs</t>
  </si>
  <si>
    <t>Chemicals</t>
  </si>
  <si>
    <t>Watercress</t>
  </si>
  <si>
    <t>Amaranth</t>
  </si>
  <si>
    <t>Arugula</t>
  </si>
  <si>
    <t>Basil - Thai</t>
  </si>
  <si>
    <t>Cabbage</t>
  </si>
  <si>
    <t>Cai Xin</t>
  </si>
  <si>
    <t>Chard Swiss</t>
  </si>
  <si>
    <t>Choy Sum</t>
  </si>
  <si>
    <t>Cilantro</t>
  </si>
  <si>
    <t>Dill</t>
  </si>
  <si>
    <t>Escarole</t>
  </si>
  <si>
    <t>Fennel</t>
  </si>
  <si>
    <t>Gai Choi</t>
  </si>
  <si>
    <t>Gailan</t>
  </si>
  <si>
    <t>Lettuce Romaine</t>
  </si>
  <si>
    <t>Mesclun</t>
  </si>
  <si>
    <t>Microgreens - Arugula</t>
  </si>
  <si>
    <t>Microgreens - Broccoli</t>
  </si>
  <si>
    <t>Microgreens - Bull's Blood Beet</t>
  </si>
  <si>
    <t>Microgreens - Buttercrunch Lettuce</t>
  </si>
  <si>
    <t>Microgreens - Carrot</t>
  </si>
  <si>
    <t>Microgreens - Daikon Radish</t>
  </si>
  <si>
    <t>Microgreens - Dwarf Blue Curled Skotch kale</t>
  </si>
  <si>
    <t>Microgreens - Kale</t>
  </si>
  <si>
    <t>Microgreens - Radish</t>
  </si>
  <si>
    <t>Microgreens - Peashoots</t>
  </si>
  <si>
    <t>Microgreens - Parsley</t>
  </si>
  <si>
    <t>Microgreens - Lacinato Kale</t>
  </si>
  <si>
    <t>Microgreens - Mustard greens</t>
  </si>
  <si>
    <t>Microgreens - Red acre cabbage</t>
  </si>
  <si>
    <t>Microgreens - Mizuna</t>
  </si>
  <si>
    <t>Microgreens - Mustard</t>
  </si>
  <si>
    <t>Microgreens - Red Russian Kale</t>
  </si>
  <si>
    <t>Microgreens - Scallion</t>
  </si>
  <si>
    <t>Microgreens - Red Velvet Lettuce</t>
  </si>
  <si>
    <t>Microgreens - Sorrell</t>
  </si>
  <si>
    <t>Microgreens - Swiss Chard</t>
  </si>
  <si>
    <t>Microgreens - Tatsoi</t>
  </si>
  <si>
    <t>Microgreens - Watercress</t>
  </si>
  <si>
    <t>Parsley</t>
  </si>
  <si>
    <t>Peppermint</t>
  </si>
  <si>
    <t>Mustard Greens</t>
  </si>
  <si>
    <t>Rosemary</t>
  </si>
  <si>
    <t>Sage</t>
  </si>
  <si>
    <t>Scallion</t>
  </si>
  <si>
    <t>Salad Mix - Baby Greens</t>
  </si>
  <si>
    <t>Spearmint</t>
  </si>
  <si>
    <t>Spring Onion</t>
  </si>
  <si>
    <t>Sorrel -Green</t>
  </si>
  <si>
    <t>Stevia</t>
  </si>
  <si>
    <t>Tarragon</t>
  </si>
  <si>
    <t>Thyme</t>
  </si>
  <si>
    <t>Carrot</t>
  </si>
  <si>
    <t>Watermelon - mini</t>
  </si>
  <si>
    <t>Tomato - Cherry</t>
  </si>
  <si>
    <t>Cauliflower</t>
  </si>
  <si>
    <t>Kale</t>
  </si>
  <si>
    <t>Leeks</t>
  </si>
  <si>
    <t>Papaya - Hawaiian</t>
  </si>
  <si>
    <t>Papaya - Maradol</t>
  </si>
  <si>
    <t>Pepperbell</t>
  </si>
  <si>
    <t>Raspberry</t>
  </si>
  <si>
    <t>Shallot</t>
  </si>
  <si>
    <t>% of Site Area Dedicated to Production</t>
  </si>
  <si>
    <t>Structure Type</t>
  </si>
  <si>
    <t>Potential Population Fed (Daily)</t>
  </si>
  <si>
    <t>Estimated Jobs Created</t>
  </si>
  <si>
    <t>Max Annual Yield (kg)</t>
  </si>
  <si>
    <t>Full-Scale Farm</t>
  </si>
  <si>
    <t>Scale-up cost</t>
  </si>
  <si>
    <t>Area (m^2)</t>
  </si>
  <si>
    <t>Lettuce - heads</t>
  </si>
  <si>
    <t>NFT</t>
  </si>
  <si>
    <t>Aeroponic</t>
  </si>
  <si>
    <t>Ebb/Flow</t>
  </si>
  <si>
    <t>Max annual yield kg/m2/year - Agritecture (Greenhouse with heating, supplemental lighting, and CO2)</t>
  </si>
  <si>
    <t>Bucket</t>
  </si>
  <si>
    <t>Watermelon - standard</t>
  </si>
  <si>
    <t>Tomatoes Salad</t>
  </si>
  <si>
    <t>Turnips</t>
  </si>
  <si>
    <t>Soil</t>
  </si>
  <si>
    <t>Slab</t>
  </si>
  <si>
    <t>Basil - Genovese</t>
  </si>
  <si>
    <t>Chives</t>
  </si>
  <si>
    <t>DWC</t>
  </si>
  <si>
    <t>Hydroponic Average</t>
  </si>
  <si>
    <t>Pounds</t>
  </si>
  <si>
    <t>1-100</t>
  </si>
  <si>
    <t>100-1000</t>
  </si>
  <si>
    <t>1000-10000</t>
  </si>
  <si>
    <t>10000-100000</t>
  </si>
  <si>
    <t>Prices for Quantities</t>
  </si>
  <si>
    <t>No. of Plants (Pilot)</t>
  </si>
  <si>
    <t>No. of Plants (Full)</t>
  </si>
  <si>
    <t>System Multiplier</t>
  </si>
  <si>
    <t>Dimensions</t>
  </si>
  <si>
    <t>Area</t>
  </si>
  <si>
    <t>Plant sites</t>
  </si>
  <si>
    <t>Cost</t>
  </si>
  <si>
    <t>Qty</t>
  </si>
  <si>
    <t>Max Power (W)</t>
  </si>
  <si>
    <t>Electricity price (£/kWh)</t>
  </si>
  <si>
    <t xml:space="preserve">Water price (£/L) </t>
  </si>
  <si>
    <t>Number of Lights required</t>
  </si>
  <si>
    <t>Drip Tower</t>
  </si>
  <si>
    <t>Labour effiency improvement rate (%/year)</t>
  </si>
  <si>
    <t>Monthly Y2 AVG</t>
  </si>
  <si>
    <t>Monthly Y1 AVG</t>
  </si>
  <si>
    <t>Monthly Y1 AVG (Pilot)</t>
  </si>
  <si>
    <t>Monthly Y2 AVG (Full)</t>
  </si>
  <si>
    <t>Growth Multiplier/year</t>
  </si>
  <si>
    <t>Monthly Y2 avg</t>
  </si>
  <si>
    <t>Monthly Y2 Avg</t>
  </si>
  <si>
    <t>Staff Headcount - Team Expansion Plans</t>
  </si>
  <si>
    <t>Direct Labor Staff - Wages</t>
  </si>
  <si>
    <t>Other Staff - Salaries</t>
  </si>
  <si>
    <t>Hemp</t>
  </si>
  <si>
    <t>Jute</t>
  </si>
  <si>
    <t>Peat</t>
  </si>
  <si>
    <t>Plant</t>
  </si>
  <si>
    <t>Energy (kg/kWh)</t>
  </si>
  <si>
    <t>Space (kg/m^2)</t>
  </si>
  <si>
    <t>Water (kg/L)</t>
  </si>
  <si>
    <t>per plant</t>
  </si>
  <si>
    <t>Propogation</t>
  </si>
  <si>
    <t>Avg Total £ Revenue per Month (100% capacity)</t>
  </si>
  <si>
    <t>Avg Total Yield per Month</t>
  </si>
  <si>
    <t>SOURCE YOUR DATA FOR PINK CELLS</t>
  </si>
  <si>
    <t>Economic Model</t>
  </si>
  <si>
    <t>Productivity Metrics</t>
  </si>
  <si>
    <t>Energy use (kWh)</t>
  </si>
  <si>
    <t>Nutrient (kg/kg)</t>
  </si>
  <si>
    <t>Labour (kg/man-hour)</t>
  </si>
  <si>
    <t>Growing volume (kg/m3)</t>
  </si>
  <si>
    <t>Marketer - Paul</t>
  </si>
  <si>
    <t>Admin</t>
  </si>
  <si>
    <t>Scientist/Engineer - Jens</t>
  </si>
  <si>
    <t>Manager</t>
  </si>
  <si>
    <t>Manager Jayne</t>
  </si>
  <si>
    <t>Add manually per year</t>
  </si>
  <si>
    <t>Grants and Crowdfunding</t>
  </si>
  <si>
    <t>Cost of Seeds per month</t>
  </si>
  <si>
    <t>Temperature Factor</t>
  </si>
  <si>
    <t>Nutrient Factor</t>
  </si>
  <si>
    <t>Light Factor</t>
  </si>
  <si>
    <t>CO2 Factor</t>
  </si>
  <si>
    <t>Product Quality</t>
  </si>
  <si>
    <t>Nutrient Control</t>
  </si>
  <si>
    <t>Factors</t>
  </si>
  <si>
    <t>Air Conditioning</t>
  </si>
  <si>
    <t>No</t>
  </si>
  <si>
    <t>Light Control</t>
  </si>
  <si>
    <t>Best Case Yield kg per month</t>
  </si>
  <si>
    <t>CALCULATED OR DEFAULT VALUES (OVERIDE IF EXACT VALUES KNOWN)</t>
  </si>
  <si>
    <t>Waste Adjusted yield (Crop 1) (kg)</t>
  </si>
  <si>
    <t>Waste Adjusted yield (Crop 2) (kg)</t>
  </si>
  <si>
    <t>Waste Adjusted yield (Crop 3) (kg)</t>
  </si>
  <si>
    <t>Waste Adjusted yield (Crop 4) (kg)</t>
  </si>
  <si>
    <t>Wasted Adusted Sales</t>
  </si>
  <si>
    <t>Adjusted yield estimate taking into account learning curve</t>
  </si>
  <si>
    <t>Percentage of energy renewably sourced</t>
  </si>
  <si>
    <t>Crop productivity per metric</t>
  </si>
  <si>
    <t>Cost per full-grown plant</t>
  </si>
  <si>
    <t xml:space="preserve">Crop and System Selection </t>
  </si>
  <si>
    <t>CO2 emitted (tonnes CO2e)</t>
  </si>
  <si>
    <t>CO2 mitigated (tonnes CO2e)</t>
  </si>
  <si>
    <t>Growing Media type</t>
  </si>
  <si>
    <t>Basil - Lemon</t>
  </si>
  <si>
    <t>Basil - Sweet</t>
  </si>
  <si>
    <t>Basil - Dwarf</t>
  </si>
  <si>
    <t>Oregano</t>
  </si>
  <si>
    <t>Lettuce (little-gem)</t>
  </si>
  <si>
    <t>Lettuce (loose leaf)</t>
  </si>
  <si>
    <t>Space Breakdown</t>
  </si>
  <si>
    <t>Total area</t>
  </si>
  <si>
    <t>Biosecurity</t>
  </si>
  <si>
    <t>Walkways/Circulation</t>
  </si>
  <si>
    <t>Seeding and Germination</t>
  </si>
  <si>
    <t>Nursey</t>
  </si>
  <si>
    <t>Production Area</t>
  </si>
  <si>
    <t>with processing and cold storage</t>
  </si>
  <si>
    <t>Processing</t>
  </si>
  <si>
    <t>Cold Storage</t>
  </si>
  <si>
    <t>%</t>
  </si>
  <si>
    <t>sq-m</t>
  </si>
  <si>
    <t>Capex Breakout</t>
  </si>
  <si>
    <t>Grow system</t>
  </si>
  <si>
    <t>Lighting</t>
  </si>
  <si>
    <t>HVAC</t>
  </si>
  <si>
    <t>Seeding</t>
  </si>
  <si>
    <t>Real Estate</t>
  </si>
  <si>
    <t>Building Renovations</t>
  </si>
  <si>
    <t>Agritecture Values</t>
  </si>
  <si>
    <t>Depreciation for PFAL building 10 years for facilities, 5 years for LEDs, 15 years for building</t>
  </si>
  <si>
    <t>Typically accounts for 21% of production costs</t>
  </si>
  <si>
    <t>Time to harvest (in main system)</t>
  </si>
  <si>
    <t>Harvest weight (kg)</t>
  </si>
  <si>
    <t>No of plants per month harvested</t>
  </si>
  <si>
    <t>Best Case Revenue per Month</t>
  </si>
  <si>
    <t>Adjusted Yield per month (kg)</t>
  </si>
  <si>
    <t>Lettuce (Farm Urban Mix)</t>
  </si>
  <si>
    <t xml:space="preserve">Unit of Packaged Yield </t>
  </si>
  <si>
    <t>kg</t>
  </si>
  <si>
    <t>CO2e emitted kg/kg</t>
  </si>
  <si>
    <t>CO2e omitted kg/kg</t>
  </si>
  <si>
    <t>Price 1 (rename to customer market)</t>
  </si>
  <si>
    <t>Price 2 (rename to customer market 2)</t>
  </si>
  <si>
    <t>Customer segment ratio</t>
  </si>
  <si>
    <t>% to Customer (Price 1)</t>
  </si>
  <si>
    <t>Biosecurity Level</t>
  </si>
  <si>
    <t>Net CO2e kg/kg</t>
  </si>
  <si>
    <t>Germination Rate</t>
  </si>
  <si>
    <t>Annual Values</t>
  </si>
  <si>
    <t>Full scale farm</t>
  </si>
  <si>
    <t>Yield (kg)</t>
  </si>
  <si>
    <t>Direct labour (man-hours)</t>
  </si>
  <si>
    <t>Water use (L)</t>
  </si>
  <si>
    <t>Nutrient use (kg)</t>
  </si>
  <si>
    <t>Growing volume (m3)</t>
  </si>
  <si>
    <t>Net CO2e (tonnes of CO2e)</t>
  </si>
  <si>
    <t>Targets</t>
  </si>
  <si>
    <t>Farm Hand - Sam</t>
  </si>
  <si>
    <t>Product Weight (not inc. pack)</t>
  </si>
  <si>
    <t>Racks to Harvest each week</t>
  </si>
  <si>
    <t>Full-scale</t>
  </si>
  <si>
    <t>Adjustment Factors</t>
  </si>
  <si>
    <t>Crop types</t>
  </si>
  <si>
    <t>System Values</t>
  </si>
  <si>
    <t>Crop requirements</t>
  </si>
  <si>
    <t>Product attributes</t>
  </si>
  <si>
    <t>Sowing (hours)</t>
  </si>
  <si>
    <t>Transplanting (hours)</t>
  </si>
  <si>
    <t>Harvesting (hours)</t>
  </si>
  <si>
    <t>Packaging (hours)</t>
  </si>
  <si>
    <t>Maintenance (hours)</t>
  </si>
  <si>
    <t>Delivery (hours)</t>
  </si>
  <si>
    <t>Part-time Farm work (wages/hour)</t>
  </si>
  <si>
    <t>Total man hours</t>
  </si>
  <si>
    <t>Labour  (people)</t>
  </si>
  <si>
    <t>Hours on Farm</t>
  </si>
  <si>
    <t>Wages</t>
  </si>
  <si>
    <t>Per month</t>
  </si>
  <si>
    <t>Pilot Per week</t>
  </si>
  <si>
    <t>Full-Scale Per week</t>
  </si>
  <si>
    <t>Reserve Fund</t>
  </si>
  <si>
    <t>Voltage</t>
  </si>
  <si>
    <t>Amps Drawn</t>
  </si>
  <si>
    <t># of Motors</t>
  </si>
  <si>
    <t>Calculated Wattage</t>
  </si>
  <si>
    <t>Efficiency</t>
  </si>
  <si>
    <t>Heat Produced BTU/Hr</t>
  </si>
  <si>
    <t>Motor 1</t>
  </si>
  <si>
    <t>Motor 2</t>
  </si>
  <si>
    <t>Motor 3</t>
  </si>
  <si>
    <t>Lighting Brand</t>
  </si>
  <si>
    <t>Lighting Type</t>
  </si>
  <si>
    <t>Light Name</t>
  </si>
  <si>
    <t>Wattage</t>
  </si>
  <si>
    <t># of Lights</t>
  </si>
  <si>
    <t>BTUs Produced/Hr</t>
  </si>
  <si>
    <t>HID</t>
  </si>
  <si>
    <t>*LED efficiency default is 40%, HID efficiency default is 20%</t>
  </si>
  <si>
    <t>Ballast Brand</t>
  </si>
  <si>
    <t>Ballast Name</t>
  </si>
  <si>
    <t># of Ballasts</t>
  </si>
  <si>
    <t>BTUs Produced/hr</t>
  </si>
  <si>
    <t>*LED efficiency default is 90%, HID efficiency default is 85%</t>
  </si>
  <si>
    <t>CO2 Source</t>
  </si>
  <si>
    <t>Brand Name</t>
  </si>
  <si>
    <t>Size</t>
  </si>
  <si>
    <t>BTUs Produced/day</t>
  </si>
  <si>
    <t>Natural Gas</t>
  </si>
  <si>
    <t>Propane</t>
  </si>
  <si>
    <t>Bottled CO2</t>
  </si>
  <si>
    <t>Total BTUs Produced:</t>
  </si>
  <si>
    <t>*Formula in B30 assumes you are using Natural Gas. If you are using Propane, you will need to change the D25 in the formula to D26</t>
  </si>
  <si>
    <t>Part-time workers</t>
  </si>
  <si>
    <t>DLC Technical Requirements</t>
  </si>
  <si>
    <t>Photosynthetic Photon Efficacy</t>
  </si>
  <si>
    <t>Photosynthetic Photon Flux Maintenance</t>
  </si>
  <si>
    <t>Driver Lifetime</t>
  </si>
  <si>
    <t>Fan Lifetime</t>
  </si>
  <si>
    <t>Power Factor</t>
  </si>
  <si>
    <t>Total Harmonic Distortion, Current (THDi)</t>
  </si>
  <si>
    <t>Safety certification</t>
  </si>
  <si>
    <t>≥2.1 +5% μmol/J</t>
  </si>
  <si>
    <t>Q90≥36000 hours</t>
  </si>
  <si>
    <t>≥50000 hours</t>
  </si>
  <si>
    <t>≥5 years</t>
  </si>
  <si>
    <t>≥0.9</t>
  </si>
  <si>
    <t>≤20%</t>
  </si>
  <si>
    <t>Appropiate horticultural lightng designation by OSHA NRTL OR SCC-recognised body</t>
  </si>
  <si>
    <t>≥1.9 +5% μmol/J</t>
  </si>
  <si>
    <t>≥0.10</t>
  </si>
  <si>
    <t>Fluence RAZR3 PhysioSpec LED, W+R</t>
  </si>
  <si>
    <t>Fluence SPYDR2x 40", W+R (6-fixture array)</t>
  </si>
  <si>
    <t>Fluence SPYDR2i 40", W+R (6-fixture array)</t>
  </si>
  <si>
    <t>GE Current Ariza Lynk GEHL48HPKB1, R+W</t>
  </si>
  <si>
    <t>Lumigrow Barlight, hybrid spec. W+R+B (8-fixture array)</t>
  </si>
  <si>
    <t>MaxiLite PhotonMAX Horticulture LED LI200UBPBX, W+B+R</t>
  </si>
  <si>
    <t>MaxiLite PhotonMAX Horticulture LED LI200UFSRX, R+W</t>
  </si>
  <si>
    <t>To Date</t>
  </si>
  <si>
    <t>Philips GreenPower LED Production Module 3.0, R+Blow</t>
  </si>
  <si>
    <t>Philips GreenPower LED Production Module 3.0, R+Blow+FR</t>
  </si>
  <si>
    <t>Philips GreenPower LED Production Module 3.0, R+Bhigh</t>
  </si>
  <si>
    <t>Philips GreenPower LED Production Module 3.0, R+Wlow</t>
  </si>
  <si>
    <t>White, Red</t>
  </si>
  <si>
    <t>Red, Blue</t>
  </si>
  <si>
    <t>White, Red Blue,</t>
  </si>
  <si>
    <t>Red, White</t>
  </si>
  <si>
    <t>Red, Low Blue</t>
  </si>
  <si>
    <t>Red, Low Blue, FR</t>
  </si>
  <si>
    <t>Red, High Blue</t>
  </si>
  <si>
    <t>Red, Low White</t>
  </si>
  <si>
    <t>DLC Approved</t>
  </si>
  <si>
    <t>YES</t>
  </si>
  <si>
    <t>NO</t>
  </si>
  <si>
    <t>5 years</t>
  </si>
  <si>
    <t>6 years</t>
  </si>
  <si>
    <t>Montel Racking Systems</t>
  </si>
  <si>
    <t>LettusGrow Aeroponics</t>
  </si>
  <si>
    <t>Urban Crop Solutions</t>
  </si>
  <si>
    <t>Intravision Gravity Flow</t>
  </si>
  <si>
    <t>Freight Farms</t>
  </si>
  <si>
    <t>Mirai</t>
  </si>
  <si>
    <t>Vera by Netled</t>
  </si>
  <si>
    <t>Bespoke (add your own)</t>
  </si>
  <si>
    <t>Illumitex</t>
  </si>
  <si>
    <t>Normalised to target</t>
  </si>
  <si>
    <t>Normal</t>
  </si>
  <si>
    <t>No. of Plants per sq-m</t>
  </si>
  <si>
    <t>No. of Plants</t>
  </si>
  <si>
    <t>N/A</t>
  </si>
  <si>
    <t>Typical percentages of working hour components for PFAL for lettuce production In Japan</t>
  </si>
  <si>
    <t>First transplanting</t>
  </si>
  <si>
    <t>Second transplanting</t>
  </si>
  <si>
    <t>Harvesting and trimming</t>
  </si>
  <si>
    <t>Packaging into bags</t>
  </si>
  <si>
    <t>Packing the bags in boxes</t>
  </si>
  <si>
    <t>Cultivation panel cleaning</t>
  </si>
  <si>
    <t>Cultivation room cleaning</t>
  </si>
  <si>
    <t>Component</t>
  </si>
  <si>
    <t>https://fluence.science/products/razr-series/</t>
  </si>
  <si>
    <t>https://fluence.science/products/spydr-series/</t>
  </si>
  <si>
    <t>https://products.gecurrent.com/eu/horticulture-led-grow-lights?src=homepage-tile-eu</t>
  </si>
  <si>
    <t>https://illumitex.com/</t>
  </si>
  <si>
    <t>https://www.intravisiongroup.com/spectra-blades</t>
  </si>
  <si>
    <t>https://www.lumigrow.com/</t>
  </si>
  <si>
    <t>https://www.maxlite.com/products/led-solutions/list/</t>
  </si>
  <si>
    <t>https://www.lighting.philips.co.uk/products/horticulture/products/greenpower-led-production-module</t>
  </si>
  <si>
    <t>https://zipgrow.com/</t>
  </si>
  <si>
    <t>https://v-farm.co.uk/</t>
  </si>
  <si>
    <t>https://www.intravisiongroup.com/gravity-flow</t>
  </si>
  <si>
    <t>https://www.montel.com/en/markets/vertical-farming-systems</t>
  </si>
  <si>
    <t>https://www.lettusgrow.com/</t>
  </si>
  <si>
    <t>https://urbancropsolutions.com/</t>
  </si>
  <si>
    <t>https://www.freightfarms.com/</t>
  </si>
  <si>
    <t>https://miraigroup.jp/en/</t>
  </si>
  <si>
    <t>https://netled.fi/vertical-farming-vera/</t>
  </si>
  <si>
    <t>Max number of trays/towers</t>
  </si>
  <si>
    <t>Number of levels</t>
  </si>
  <si>
    <t>facility_size_pilot</t>
  </si>
  <si>
    <t>percent_production_area_pilot</t>
  </si>
  <si>
    <t>growing_levels_pilot</t>
  </si>
  <si>
    <t>weight_unit</t>
  </si>
  <si>
    <t>growing_area_mulitplier</t>
  </si>
  <si>
    <t>no_lights_pilot</t>
  </si>
  <si>
    <t>packaging_cost_pilot</t>
  </si>
  <si>
    <t>other_costs_pilot</t>
  </si>
  <si>
    <t>farm_type</t>
  </si>
  <si>
    <t>business_model</t>
  </si>
  <si>
    <t>grower_exp</t>
  </si>
  <si>
    <t>automation_level</t>
  </si>
  <si>
    <t>lighting_control</t>
  </si>
  <si>
    <t>nutrient_control</t>
  </si>
  <si>
    <t>system_type</t>
  </si>
  <si>
    <t>system_quantity</t>
  </si>
  <si>
    <t>light_system</t>
  </si>
  <si>
    <t>growing_media</t>
  </si>
  <si>
    <t>ceiling_height</t>
  </si>
  <si>
    <t>insultation_level</t>
  </si>
  <si>
    <t>roof_type</t>
  </si>
  <si>
    <t>co2_enrichment</t>
  </si>
  <si>
    <t>structure_type</t>
  </si>
  <si>
    <t>water_price</t>
  </si>
  <si>
    <t>electricity_price</t>
  </si>
  <si>
    <t>labour_improvement</t>
  </si>
  <si>
    <t>percentage_renewable_energy</t>
  </si>
  <si>
    <t>biosecurity_level</t>
  </si>
  <si>
    <t>loan_amount</t>
  </si>
  <si>
    <t>tax_rate</t>
  </si>
  <si>
    <t>loan_interest</t>
  </si>
  <si>
    <t>loan_tenure</t>
  </si>
  <si>
    <t>loan_type</t>
  </si>
  <si>
    <t>crop_typ1</t>
  </si>
  <si>
    <t>crop1_percent</t>
  </si>
  <si>
    <t>crop1_system</t>
  </si>
  <si>
    <t>crop1_harvest_weight</t>
  </si>
  <si>
    <t>crop1_product_weight</t>
  </si>
  <si>
    <t>crop1_customer_percent</t>
  </si>
  <si>
    <t>crop1_price1</t>
  </si>
  <si>
    <t>crop1_price2</t>
  </si>
  <si>
    <t>crop_typ2</t>
  </si>
  <si>
    <t>crop2_percent</t>
  </si>
  <si>
    <t>crop2_system</t>
  </si>
  <si>
    <t>crop2_harvest_weight</t>
  </si>
  <si>
    <t>crop2_product_weight</t>
  </si>
  <si>
    <t>crop2_customer_percent</t>
  </si>
  <si>
    <t>crop2_price1</t>
  </si>
  <si>
    <t>crop2_price2</t>
  </si>
  <si>
    <t>crop_typ3</t>
  </si>
  <si>
    <t>crop3_percent</t>
  </si>
  <si>
    <t>crop3_system</t>
  </si>
  <si>
    <t>crop3_harvest_weight</t>
  </si>
  <si>
    <t>crop3_product_weight</t>
  </si>
  <si>
    <t>crop3_customer_percent</t>
  </si>
  <si>
    <t>crop3_price1</t>
  </si>
  <si>
    <t>crop3_price2</t>
  </si>
  <si>
    <t>crop_typ4</t>
  </si>
  <si>
    <t>crop4_percent</t>
  </si>
  <si>
    <t>crop4_system</t>
  </si>
  <si>
    <t>crop4_harvest_weight</t>
  </si>
  <si>
    <t>crop4_product_weight</t>
  </si>
  <si>
    <t>crop4_customer_percent</t>
  </si>
  <si>
    <t>crop4_price1</t>
  </si>
  <si>
    <t>crop4_price2</t>
  </si>
  <si>
    <t>vadded_products_multiplier</t>
  </si>
  <si>
    <t>education_multiplier</t>
  </si>
  <si>
    <t>tourism_multiplier</t>
  </si>
  <si>
    <t>hospitality_multiplier</t>
  </si>
  <si>
    <t>vadded_avg_revenue_y1</t>
  </si>
  <si>
    <t>education_avg_revenue_y1</t>
  </si>
  <si>
    <t>tourism_avg_revenue_y1</t>
  </si>
  <si>
    <t>hospitality_avg_revenue_y1</t>
  </si>
  <si>
    <t>monthly_rent_y1</t>
  </si>
  <si>
    <t>monthly_distribution_y1</t>
  </si>
  <si>
    <t>monthly_rent_y2</t>
  </si>
  <si>
    <t>monthly_distribution_y2</t>
  </si>
  <si>
    <t>delivery_msalary</t>
  </si>
  <si>
    <t>farmhand_msalary</t>
  </si>
  <si>
    <t>parttime_wage</t>
  </si>
  <si>
    <t>ceo_msalary</t>
  </si>
  <si>
    <t>hgrower_msalary</t>
  </si>
  <si>
    <t>marketer_msalary</t>
  </si>
  <si>
    <t>scientist_msalary</t>
  </si>
  <si>
    <t>salesperson_msalary</t>
  </si>
  <si>
    <t>manager_msalary</t>
  </si>
  <si>
    <t>admin_msalary</t>
  </si>
  <si>
    <t>ceo_count_y1</t>
  </si>
  <si>
    <t>hgrower_count_y1</t>
  </si>
  <si>
    <t>marketer_count_y1</t>
  </si>
  <si>
    <t>scientist_count_y1</t>
  </si>
  <si>
    <t>salesperson_count_y1</t>
  </si>
  <si>
    <t>manager_count_y1</t>
  </si>
  <si>
    <t>delivery_count_y1</t>
  </si>
  <si>
    <t>farmhand_count_y1</t>
  </si>
  <si>
    <t>admin_count_y1</t>
  </si>
  <si>
    <t>parttime_count_y1</t>
  </si>
  <si>
    <t>ceo_count_y2</t>
  </si>
  <si>
    <t>hgrower_count_y2</t>
  </si>
  <si>
    <t>marketer_count_y2</t>
  </si>
  <si>
    <t>scientist_count_y2</t>
  </si>
  <si>
    <t>salesperson_count_y2</t>
  </si>
  <si>
    <t>manager_count_y2</t>
  </si>
  <si>
    <t>delivery_count_y2</t>
  </si>
  <si>
    <t>farmhand_count_y2</t>
  </si>
  <si>
    <t>admin_count_y2</t>
  </si>
  <si>
    <t>parttime_count_y2</t>
  </si>
  <si>
    <t>Inputs</t>
  </si>
  <si>
    <t>climate_control</t>
  </si>
  <si>
    <t>start_date</t>
  </si>
  <si>
    <t>Start Date:</t>
  </si>
  <si>
    <t>insurance_pilot</t>
  </si>
  <si>
    <t>insurance_full</t>
  </si>
  <si>
    <t>packaging_cost_full</t>
  </si>
  <si>
    <t>Hybrid</t>
  </si>
  <si>
    <t>capex_pilot</t>
  </si>
  <si>
    <t>capex_lights</t>
  </si>
  <si>
    <t>capex_facilities</t>
  </si>
  <si>
    <t>capex_building</t>
  </si>
  <si>
    <t>capex_full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</si>
</sst>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_(&quot;$&quot;* #,##0.00_);_(&quot;$&quot;* \(#,##0.00\);_(&quot;$&quot;* &quot;-&quot;??_);_(@_)"/>
    <numFmt numFmtId="165" formatCode="0.0"/>
    <numFmt numFmtId="166" formatCode="0.0%"/>
    <numFmt numFmtId="167" formatCode="&quot;$&quot;#,##0"/>
    <numFmt numFmtId="168" formatCode="_-[$£-809]* #,##0.00_-;\-[$£-809]* #,##0.00_-;_-[$£-809]* &quot;-&quot;??_-;_-@_-"/>
    <numFmt numFmtId="169" formatCode="&quot;£&quot;#,##0.000_);[Red]\(&quot;£&quot;#,##0.000\)"/>
  </numFmts>
  <fonts count="65">
    <font>
      <sz val="10"/>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8"/>
      <name val="Arial"/>
      <family val="2"/>
    </font>
    <font>
      <sz val="10"/>
      <name val="Arial"/>
      <family val="2"/>
    </font>
    <font>
      <b/>
      <sz val="12"/>
      <name val="Arial"/>
      <family val="2"/>
    </font>
    <font>
      <b/>
      <sz val="10"/>
      <name val="Arial"/>
      <family val="2"/>
    </font>
    <font>
      <b/>
      <sz val="10"/>
      <name val="Arial"/>
      <family val="2"/>
    </font>
    <font>
      <sz val="10"/>
      <color rgb="FFCCCCCC"/>
      <name val="Arial"/>
      <family val="2"/>
    </font>
    <font>
      <b/>
      <sz val="10"/>
      <color rgb="FFCCCCCC"/>
      <name val="Arial"/>
      <family val="2"/>
    </font>
    <font>
      <i/>
      <sz val="9"/>
      <color rgb="FF666666"/>
      <name val="Arial"/>
      <family val="2"/>
    </font>
    <font>
      <sz val="10"/>
      <color rgb="FFFFFFFF"/>
      <name val="Arial"/>
      <family val="2"/>
    </font>
    <font>
      <b/>
      <sz val="10"/>
      <color rgb="FFFFFFFF"/>
      <name val="Arial"/>
      <family val="2"/>
    </font>
    <font>
      <sz val="10"/>
      <color rgb="FFFFFFFF"/>
      <name val="Arial"/>
      <family val="2"/>
    </font>
    <font>
      <sz val="10"/>
      <color rgb="FF000000"/>
      <name val="Arial"/>
      <family val="2"/>
    </font>
    <font>
      <b/>
      <sz val="12"/>
      <color theme="1"/>
      <name val="Calibri"/>
      <family val="2"/>
      <scheme val="minor"/>
    </font>
    <font>
      <sz val="10"/>
      <color theme="1"/>
      <name val="Arial"/>
      <family val="2"/>
    </font>
    <font>
      <sz val="12"/>
      <color rgb="FF000000"/>
      <name val="Calibri"/>
      <family val="2"/>
      <scheme val="minor"/>
    </font>
    <font>
      <sz val="8"/>
      <name val="Arial"/>
      <family val="2"/>
    </font>
    <font>
      <b/>
      <sz val="10"/>
      <color rgb="FF000000"/>
      <name val="Arial"/>
      <family val="2"/>
    </font>
    <font>
      <sz val="10"/>
      <color theme="1" tint="0.499984740745262"/>
      <name val="Arial"/>
      <family val="2"/>
    </font>
    <font>
      <sz val="12"/>
      <color theme="1" tint="0.499984740745262"/>
      <name val="Calibri"/>
      <family val="2"/>
      <scheme val="minor"/>
    </font>
    <font>
      <sz val="12"/>
      <name val="Arial"/>
      <family val="2"/>
    </font>
    <font>
      <b/>
      <u/>
      <sz val="10"/>
      <color rgb="FF000000"/>
      <name val="Arial"/>
      <family val="2"/>
    </font>
    <font>
      <sz val="7"/>
      <color rgb="FF000000"/>
      <name val="STIXGeneral"/>
    </font>
    <font>
      <sz val="12"/>
      <color rgb="FF000000"/>
      <name val="Arial"/>
      <family val="2"/>
    </font>
    <font>
      <sz val="12"/>
      <color theme="1"/>
      <name val="Arial"/>
      <family val="2"/>
    </font>
    <font>
      <b/>
      <sz val="12"/>
      <color rgb="FF000000"/>
      <name val="Arial"/>
      <family val="2"/>
    </font>
    <font>
      <sz val="10"/>
      <color theme="2" tint="-0.499984740745262"/>
      <name val="Arial"/>
      <family val="2"/>
    </font>
    <font>
      <sz val="10"/>
      <color theme="2" tint="-0.249977111117893"/>
      <name val="Arial"/>
      <family val="2"/>
    </font>
    <font>
      <sz val="10"/>
      <color rgb="FFC00000"/>
      <name val="Arial"/>
      <family val="2"/>
    </font>
    <font>
      <sz val="16"/>
      <color theme="1"/>
      <name val="MarkOT"/>
    </font>
    <font>
      <sz val="10"/>
      <color rgb="FF000000"/>
      <name val="Tahoma"/>
      <family val="2"/>
    </font>
    <font>
      <sz val="12"/>
      <name val="Calibri"/>
      <family val="2"/>
      <scheme val="minor"/>
    </font>
    <font>
      <sz val="10"/>
      <color rgb="FF000000"/>
      <name val="Cambria Math"/>
      <family val="1"/>
    </font>
    <font>
      <sz val="10"/>
      <color rgb="FFFF0000"/>
      <name val="Arial"/>
      <family val="2"/>
    </font>
    <font>
      <b/>
      <sz val="10"/>
      <color theme="1"/>
      <name val="Arial"/>
      <family val="2"/>
    </font>
    <font>
      <i/>
      <sz val="10"/>
      <color rgb="FF000000"/>
      <name val="Arial"/>
      <family val="2"/>
    </font>
    <font>
      <b/>
      <sz val="10"/>
      <color rgb="FF000000"/>
      <name val="Tahoma"/>
      <family val="2"/>
    </font>
    <font>
      <u/>
      <sz val="10"/>
      <color theme="10"/>
      <name val="Arial"/>
      <family val="2"/>
    </font>
    <font>
      <sz val="10"/>
      <color theme="1"/>
      <name val="Calibri"/>
      <family val="2"/>
      <scheme val="minor"/>
    </font>
    <font>
      <sz val="12"/>
      <color rgb="FFFF0000"/>
      <name val="Arial"/>
      <family val="2"/>
    </font>
    <font>
      <sz val="12"/>
      <color rgb="FFFF0000"/>
      <name val="Calibri"/>
      <family val="2"/>
      <scheme val="minor"/>
    </font>
    <font>
      <sz val="10"/>
      <color theme="6"/>
      <name val="Arial"/>
      <family val="2"/>
    </font>
    <font>
      <sz val="10"/>
      <color rgb="FFFFD6FD"/>
      <name val="Arial"/>
      <family val="2"/>
    </font>
    <font>
      <sz val="10"/>
      <color rgb="FF000000"/>
      <name val="Courier New"/>
      <family val="1"/>
    </font>
    <font>
      <sz val="12"/>
      <color rgb="FF000000"/>
      <name val="Calibri"/>
      <family val="2"/>
    </font>
    <font>
      <b/>
      <sz val="12"/>
      <color theme="1"/>
      <name val="Arial"/>
      <family val="2"/>
    </font>
    <font>
      <sz val="12"/>
      <color rgb="FF222222"/>
      <name val="Arial"/>
      <family val="2"/>
    </font>
    <font>
      <sz val="9"/>
      <color rgb="FF000000"/>
      <name val="Arial"/>
      <family val="2"/>
    </font>
    <font>
      <sz val="10"/>
      <color theme="1"/>
      <name val="Arial"/>
      <family val="2"/>
    </font>
  </fonts>
  <fills count="38">
    <fill>
      <patternFill patternType="none"/>
    </fill>
    <fill>
      <patternFill patternType="gray125"/>
    </fill>
    <fill>
      <patternFill patternType="solid">
        <fgColor rgb="FFFFFFFF"/>
        <bgColor rgb="FFFFFFFF"/>
      </patternFill>
    </fill>
    <fill>
      <patternFill patternType="solid">
        <fgColor rgb="FFD5A6BD"/>
        <bgColor rgb="FFD5A6BD"/>
      </patternFill>
    </fill>
    <fill>
      <patternFill patternType="solid">
        <fgColor rgb="FFA4C2F4"/>
        <bgColor rgb="FFA4C2F4"/>
      </patternFill>
    </fill>
    <fill>
      <patternFill patternType="solid">
        <fgColor rgb="FFB6D7A8"/>
        <bgColor rgb="FFB6D7A8"/>
      </patternFill>
    </fill>
    <fill>
      <patternFill patternType="solid">
        <fgColor rgb="FF000000"/>
        <bgColor rgb="FF000000"/>
      </patternFill>
    </fill>
    <fill>
      <patternFill patternType="solid">
        <fgColor rgb="FFA4C2F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A4C2F4"/>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rgb="FFA4C2F4"/>
      </patternFill>
    </fill>
    <fill>
      <patternFill patternType="solid">
        <fgColor theme="7" tint="0.59999389629810485"/>
        <bgColor indexed="64"/>
      </patternFill>
    </fill>
    <fill>
      <patternFill patternType="solid">
        <fgColor rgb="FFFFD6FD"/>
        <bgColor rgb="FFB6D7A8"/>
      </patternFill>
    </fill>
    <fill>
      <patternFill patternType="solid">
        <fgColor rgb="FFFFD6FD"/>
        <bgColor indexed="64"/>
      </patternFill>
    </fill>
    <fill>
      <patternFill patternType="solid">
        <fgColor rgb="FFFCE4D6"/>
        <bgColor rgb="FF000000"/>
      </patternFill>
    </fill>
    <fill>
      <patternFill patternType="solid">
        <fgColor theme="1"/>
        <bgColor indexed="64"/>
      </patternFill>
    </fill>
    <fill>
      <patternFill patternType="solid">
        <fgColor theme="8" tint="0.39997558519241921"/>
        <bgColor indexed="64"/>
      </patternFill>
    </fill>
    <fill>
      <patternFill patternType="solid">
        <fgColor theme="8" tint="0.39997558519241921"/>
        <bgColor rgb="FFA4C2F4"/>
      </patternFill>
    </fill>
    <fill>
      <patternFill patternType="solid">
        <fgColor theme="9" tint="0.39997558519241921"/>
        <bgColor indexed="64"/>
      </patternFill>
    </fill>
    <fill>
      <patternFill patternType="solid">
        <fgColor theme="9" tint="0.39997558519241921"/>
        <bgColor rgb="FFB6D7A8"/>
      </patternFill>
    </fill>
    <fill>
      <patternFill patternType="solid">
        <fgColor rgb="FFA4C2F4"/>
        <bgColor rgb="FFB6D7A8"/>
      </patternFill>
    </fill>
    <fill>
      <patternFill patternType="solid">
        <fgColor theme="4" tint="0.39997558519241921"/>
        <bgColor indexed="64"/>
      </patternFill>
    </fill>
    <fill>
      <patternFill patternType="solid">
        <fgColor theme="5" tint="0.39997558519241921"/>
        <bgColor indexed="64"/>
      </patternFill>
    </fill>
    <fill>
      <patternFill patternType="solid">
        <fgColor theme="1"/>
        <bgColor rgb="FFB6D7A8"/>
      </patternFill>
    </fill>
    <fill>
      <patternFill patternType="solid">
        <fgColor theme="7" tint="0.39997558519241921"/>
        <bgColor indexed="64"/>
      </patternFill>
    </fill>
    <fill>
      <patternFill patternType="solid">
        <fgColor rgb="FFD5A7BE"/>
        <bgColor indexed="64"/>
      </patternFill>
    </fill>
    <fill>
      <patternFill patternType="solid">
        <fgColor theme="7" tint="0.59999389629810485"/>
        <bgColor rgb="FFD5A6BD"/>
      </patternFill>
    </fill>
    <fill>
      <patternFill patternType="solid">
        <fgColor theme="9" tint="0.59999389629810485"/>
        <bgColor indexed="64"/>
      </patternFill>
    </fill>
    <fill>
      <patternFill patternType="solid">
        <fgColor theme="4" tint="0.59999389629810485"/>
        <bgColor rgb="FFD5A6BD"/>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9900"/>
        <bgColor rgb="FFFF9900"/>
      </patternFill>
    </fill>
  </fills>
  <borders count="14">
    <border>
      <left/>
      <right/>
      <top/>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4" fontId="28" fillId="0" borderId="0" applyFont="0" applyFill="0" applyBorder="0" applyAlignment="0" applyProtection="0"/>
    <xf numFmtId="9" fontId="28" fillId="0" borderId="0" applyFont="0" applyFill="0" applyBorder="0" applyAlignment="0" applyProtection="0"/>
    <xf numFmtId="0" fontId="15" fillId="0" borderId="0"/>
    <xf numFmtId="0" fontId="53" fillId="0" borderId="0" applyNumberFormat="0" applyFill="0" applyBorder="0" applyAlignment="0" applyProtection="0"/>
  </cellStyleXfs>
  <cellXfs count="388">
    <xf numFmtId="0" fontId="0" fillId="0" borderId="0" xfId="0" applyFont="1" applyAlignment="1"/>
    <xf numFmtId="0" fontId="16" fillId="0" borderId="0" xfId="0" applyFont="1"/>
    <xf numFmtId="0" fontId="19" fillId="0" borderId="0" xfId="0" applyFont="1" applyAlignment="1"/>
    <xf numFmtId="0" fontId="21" fillId="0" borderId="0" xfId="0" applyFont="1" applyAlignment="1"/>
    <xf numFmtId="0" fontId="18" fillId="0" borderId="0" xfId="0" applyFont="1" applyAlignment="1"/>
    <xf numFmtId="0" fontId="20" fillId="0" borderId="0" xfId="0" applyFont="1" applyAlignment="1">
      <alignment horizontal="right"/>
    </xf>
    <xf numFmtId="0" fontId="21" fillId="0" borderId="0" xfId="0" applyFont="1" applyAlignment="1"/>
    <xf numFmtId="167" fontId="16" fillId="0" borderId="0" xfId="0" applyNumberFormat="1" applyFont="1"/>
    <xf numFmtId="0" fontId="21" fillId="0" borderId="0" xfId="0" applyFont="1" applyAlignment="1">
      <alignment horizontal="right"/>
    </xf>
    <xf numFmtId="0" fontId="21" fillId="0" borderId="0" xfId="0" applyFont="1" applyAlignment="1">
      <alignment horizontal="right"/>
    </xf>
    <xf numFmtId="0" fontId="16" fillId="0" borderId="0" xfId="0" applyFont="1" applyAlignment="1"/>
    <xf numFmtId="0" fontId="16" fillId="0" borderId="0" xfId="0" applyFont="1" applyAlignment="1"/>
    <xf numFmtId="0" fontId="16" fillId="0" borderId="1" xfId="0" applyFont="1" applyBorder="1" applyAlignment="1"/>
    <xf numFmtId="0" fontId="22" fillId="0" borderId="0" xfId="0" applyFont="1"/>
    <xf numFmtId="0" fontId="23" fillId="0" borderId="0" xfId="0" applyFont="1" applyAlignment="1"/>
    <xf numFmtId="165" fontId="23" fillId="0" borderId="0" xfId="0" applyNumberFormat="1" applyFont="1"/>
    <xf numFmtId="0" fontId="22" fillId="0" borderId="0" xfId="0" applyFont="1" applyAlignment="1"/>
    <xf numFmtId="165" fontId="21" fillId="0" borderId="0" xfId="0" applyNumberFormat="1" applyFont="1"/>
    <xf numFmtId="0" fontId="24" fillId="0" borderId="0" xfId="0" applyFont="1" applyAlignment="1">
      <alignment vertical="top"/>
    </xf>
    <xf numFmtId="0" fontId="25" fillId="0" borderId="0" xfId="0" applyFont="1" applyAlignment="1">
      <alignment horizontal="center" vertical="center"/>
    </xf>
    <xf numFmtId="0" fontId="20" fillId="0" borderId="1" xfId="0" applyFont="1" applyBorder="1" applyAlignment="1"/>
    <xf numFmtId="0" fontId="20" fillId="0" borderId="1" xfId="0" applyFont="1" applyBorder="1"/>
    <xf numFmtId="164" fontId="20" fillId="0" borderId="0" xfId="0" applyNumberFormat="1" applyFont="1" applyAlignment="1"/>
    <xf numFmtId="0" fontId="26" fillId="6" borderId="0" xfId="0" applyFont="1" applyFill="1" applyAlignment="1"/>
    <xf numFmtId="0" fontId="27" fillId="6" borderId="0" xfId="0" applyFont="1" applyFill="1"/>
    <xf numFmtId="0" fontId="18" fillId="5" borderId="1" xfId="0" applyFont="1" applyFill="1" applyBorder="1"/>
    <xf numFmtId="0" fontId="0" fillId="0" borderId="0" xfId="0" applyFont="1" applyAlignment="1"/>
    <xf numFmtId="0" fontId="18" fillId="5" borderId="0" xfId="0" applyFont="1" applyFill="1" applyAlignment="1"/>
    <xf numFmtId="0" fontId="0" fillId="0" borderId="0" xfId="0" applyFont="1" applyAlignment="1"/>
    <xf numFmtId="0" fontId="20" fillId="0" borderId="0" xfId="0" applyFont="1" applyAlignment="1"/>
    <xf numFmtId="0" fontId="15" fillId="0" borderId="0" xfId="3"/>
    <xf numFmtId="0" fontId="29" fillId="0" borderId="0" xfId="3" applyFont="1"/>
    <xf numFmtId="0" fontId="31" fillId="0" borderId="0" xfId="3" applyFont="1"/>
    <xf numFmtId="0" fontId="31" fillId="0" borderId="0" xfId="3" applyFont="1" applyAlignment="1">
      <alignment wrapText="1"/>
    </xf>
    <xf numFmtId="0" fontId="15" fillId="0" borderId="0" xfId="3" applyAlignment="1">
      <alignment wrapText="1"/>
    </xf>
    <xf numFmtId="168" fontId="18" fillId="0" borderId="0" xfId="0" applyNumberFormat="1" applyFont="1"/>
    <xf numFmtId="168" fontId="18" fillId="5" borderId="0" xfId="0" applyNumberFormat="1" applyFont="1" applyFill="1"/>
    <xf numFmtId="168" fontId="18" fillId="4" borderId="0" xfId="0" applyNumberFormat="1" applyFont="1" applyFill="1" applyAlignment="1">
      <alignment horizontal="right"/>
    </xf>
    <xf numFmtId="168" fontId="20" fillId="0" borderId="1" xfId="0" applyNumberFormat="1" applyFont="1" applyBorder="1"/>
    <xf numFmtId="44" fontId="18" fillId="0" borderId="0" xfId="1" applyFont="1"/>
    <xf numFmtId="168" fontId="18" fillId="0" borderId="0" xfId="1" applyNumberFormat="1" applyFont="1"/>
    <xf numFmtId="168" fontId="18" fillId="3" borderId="0" xfId="0" applyNumberFormat="1" applyFont="1" applyFill="1" applyAlignment="1"/>
    <xf numFmtId="168" fontId="20" fillId="0" borderId="0" xfId="0" applyNumberFormat="1" applyFont="1" applyAlignment="1"/>
    <xf numFmtId="168" fontId="20" fillId="0" borderId="1" xfId="0" applyNumberFormat="1" applyFont="1" applyBorder="1" applyAlignment="1"/>
    <xf numFmtId="168" fontId="18" fillId="4" borderId="0" xfId="0" applyNumberFormat="1" applyFont="1" applyFill="1" applyAlignment="1"/>
    <xf numFmtId="168" fontId="18" fillId="0" borderId="1" xfId="0" applyNumberFormat="1" applyFont="1" applyBorder="1"/>
    <xf numFmtId="168" fontId="20" fillId="5" borderId="1" xfId="0" applyNumberFormat="1" applyFont="1" applyFill="1" applyBorder="1"/>
    <xf numFmtId="0" fontId="28" fillId="0" borderId="0" xfId="0" applyFont="1" applyAlignment="1"/>
    <xf numFmtId="44" fontId="16" fillId="0" borderId="0" xfId="1" applyFont="1" applyAlignment="1"/>
    <xf numFmtId="44" fontId="16" fillId="0" borderId="0" xfId="1" applyFont="1"/>
    <xf numFmtId="44" fontId="16" fillId="0" borderId="1" xfId="1" applyFont="1" applyBorder="1" applyAlignment="1"/>
    <xf numFmtId="44" fontId="22" fillId="0" borderId="0" xfId="1" applyFont="1"/>
    <xf numFmtId="0" fontId="20" fillId="0" borderId="0" xfId="0" applyFont="1"/>
    <xf numFmtId="0" fontId="33" fillId="0" borderId="0" xfId="0" applyFont="1" applyAlignment="1"/>
    <xf numFmtId="166" fontId="18" fillId="0" borderId="0" xfId="0" applyNumberFormat="1" applyFont="1" applyFill="1" applyAlignment="1"/>
    <xf numFmtId="0" fontId="0" fillId="0" borderId="0" xfId="0" applyFont="1" applyFill="1" applyAlignment="1"/>
    <xf numFmtId="0" fontId="34" fillId="0" borderId="0" xfId="0" applyFont="1" applyFill="1" applyAlignment="1"/>
    <xf numFmtId="0" fontId="36" fillId="0" borderId="0" xfId="0" applyFont="1" applyAlignment="1"/>
    <xf numFmtId="0" fontId="16" fillId="10" borderId="0" xfId="0" applyFont="1" applyFill="1" applyAlignment="1"/>
    <xf numFmtId="0" fontId="37" fillId="0" borderId="0" xfId="0" applyFont="1" applyAlignment="1"/>
    <xf numFmtId="0" fontId="20" fillId="0" borderId="0" xfId="0" applyFont="1" applyFill="1" applyAlignment="1"/>
    <xf numFmtId="0" fontId="0" fillId="12" borderId="0" xfId="0" applyFont="1" applyFill="1" applyAlignment="1"/>
    <xf numFmtId="0" fontId="16" fillId="8" borderId="0" xfId="0" applyFont="1" applyFill="1" applyAlignment="1"/>
    <xf numFmtId="0" fontId="0" fillId="8" borderId="0" xfId="0" applyFont="1" applyFill="1" applyAlignment="1"/>
    <xf numFmtId="0" fontId="16" fillId="13" borderId="0" xfId="0" applyFont="1" applyFill="1" applyAlignment="1"/>
    <xf numFmtId="0" fontId="0" fillId="13" borderId="0" xfId="0" applyFont="1" applyFill="1" applyAlignment="1"/>
    <xf numFmtId="0" fontId="38" fillId="0" borderId="0" xfId="0" applyFont="1" applyAlignment="1"/>
    <xf numFmtId="0" fontId="39" fillId="0" borderId="0" xfId="0" applyFont="1" applyAlignment="1"/>
    <xf numFmtId="0" fontId="40" fillId="0" borderId="0" xfId="3" applyFont="1"/>
    <xf numFmtId="0" fontId="41" fillId="0" borderId="0" xfId="0" applyFont="1" applyAlignment="1"/>
    <xf numFmtId="0" fontId="40" fillId="0" borderId="0" xfId="3" applyFont="1" applyAlignment="1">
      <alignment wrapText="1"/>
    </xf>
    <xf numFmtId="0" fontId="16" fillId="14" borderId="0" xfId="0" applyFont="1" applyFill="1" applyAlignment="1"/>
    <xf numFmtId="0" fontId="0" fillId="14" borderId="0" xfId="0" applyFont="1" applyFill="1" applyAlignment="1"/>
    <xf numFmtId="0" fontId="40" fillId="14" borderId="0" xfId="3" applyFont="1" applyFill="1"/>
    <xf numFmtId="0" fontId="28" fillId="14" borderId="0" xfId="0" applyFont="1" applyFill="1" applyAlignment="1"/>
    <xf numFmtId="0" fontId="30" fillId="0" borderId="0" xfId="0" applyFont="1" applyAlignment="1"/>
    <xf numFmtId="9" fontId="22" fillId="0" borderId="0" xfId="2" applyFont="1" applyAlignment="1"/>
    <xf numFmtId="0" fontId="16" fillId="0" borderId="0" xfId="0" applyFont="1" applyBorder="1" applyAlignment="1"/>
    <xf numFmtId="44" fontId="16" fillId="0" borderId="0" xfId="1" applyFont="1" applyBorder="1" applyAlignment="1"/>
    <xf numFmtId="0" fontId="42" fillId="14" borderId="0" xfId="0" applyFont="1" applyFill="1"/>
    <xf numFmtId="0" fontId="43" fillId="0" borderId="0" xfId="0" applyFont="1" applyBorder="1" applyAlignment="1"/>
    <xf numFmtId="44" fontId="43" fillId="0" borderId="0" xfId="1" applyFont="1" applyBorder="1" applyAlignment="1"/>
    <xf numFmtId="168" fontId="0" fillId="0" borderId="0" xfId="0" applyNumberFormat="1" applyFont="1" applyAlignment="1"/>
    <xf numFmtId="44" fontId="20" fillId="0" borderId="1" xfId="1" applyFont="1" applyBorder="1" applyAlignment="1"/>
    <xf numFmtId="168" fontId="20" fillId="0" borderId="1" xfId="0" applyNumberFormat="1" applyFont="1" applyFill="1" applyBorder="1"/>
    <xf numFmtId="0" fontId="18" fillId="0" borderId="1" xfId="0" applyFont="1" applyFill="1" applyBorder="1"/>
    <xf numFmtId="0" fontId="44" fillId="0" borderId="0" xfId="0" applyFont="1" applyFill="1" applyAlignment="1"/>
    <xf numFmtId="0" fontId="44" fillId="0" borderId="0" xfId="0" applyFont="1"/>
    <xf numFmtId="10" fontId="45" fillId="0" borderId="0" xfId="0" applyNumberFormat="1" applyFont="1" applyAlignment="1"/>
    <xf numFmtId="0" fontId="30" fillId="0" borderId="0" xfId="0" applyFont="1" applyBorder="1" applyAlignment="1"/>
    <xf numFmtId="44" fontId="30" fillId="0" borderId="0" xfId="1" applyFont="1" applyBorder="1" applyAlignment="1"/>
    <xf numFmtId="44" fontId="18" fillId="0" borderId="0" xfId="1" applyFont="1" applyFill="1" applyAlignment="1"/>
    <xf numFmtId="0" fontId="16" fillId="15" borderId="0" xfId="0" applyFont="1" applyFill="1" applyAlignment="1"/>
    <xf numFmtId="0" fontId="0" fillId="16" borderId="0" xfId="0" applyFont="1" applyFill="1" applyAlignment="1"/>
    <xf numFmtId="0" fontId="16" fillId="17" borderId="0" xfId="0" applyFont="1" applyFill="1" applyAlignment="1"/>
    <xf numFmtId="0" fontId="0" fillId="18" borderId="0" xfId="0" applyFont="1" applyFill="1" applyAlignment="1"/>
    <xf numFmtId="0" fontId="0" fillId="0" borderId="0" xfId="0" applyFont="1" applyAlignment="1"/>
    <xf numFmtId="0" fontId="18" fillId="0" borderId="0" xfId="0" applyFont="1" applyAlignment="1"/>
    <xf numFmtId="0" fontId="20" fillId="0" borderId="0" xfId="0" applyFont="1" applyAlignment="1"/>
    <xf numFmtId="0" fontId="18" fillId="0" borderId="1" xfId="0" applyFont="1" applyBorder="1"/>
    <xf numFmtId="0" fontId="14" fillId="0" borderId="0" xfId="3" applyFont="1"/>
    <xf numFmtId="168" fontId="16" fillId="5" borderId="0" xfId="0" applyNumberFormat="1" applyFont="1" applyFill="1"/>
    <xf numFmtId="0" fontId="0" fillId="0" borderId="0" xfId="0" applyFont="1" applyAlignment="1"/>
    <xf numFmtId="0" fontId="18" fillId="0" borderId="1" xfId="0" applyFont="1" applyBorder="1"/>
    <xf numFmtId="44" fontId="18" fillId="0" borderId="0" xfId="1" applyFont="1" applyAlignment="1"/>
    <xf numFmtId="9" fontId="0" fillId="0" borderId="0" xfId="2" applyFont="1" applyAlignment="1"/>
    <xf numFmtId="44" fontId="0" fillId="0" borderId="0" xfId="0" applyNumberFormat="1" applyFont="1" applyAlignment="1"/>
    <xf numFmtId="0" fontId="0" fillId="0" borderId="0" xfId="0" applyNumberFormat="1" applyFont="1" applyAlignment="1"/>
    <xf numFmtId="0" fontId="28" fillId="0" borderId="0" xfId="0" applyFont="1" applyAlignment="1">
      <alignment wrapText="1"/>
    </xf>
    <xf numFmtId="0" fontId="16" fillId="0" borderId="0" xfId="0" applyFont="1" applyAlignment="1">
      <alignment wrapText="1"/>
    </xf>
    <xf numFmtId="44" fontId="20" fillId="0" borderId="0" xfId="1" applyFont="1" applyAlignment="1"/>
    <xf numFmtId="10" fontId="0" fillId="0" borderId="0" xfId="2" applyNumberFormat="1" applyFont="1" applyAlignment="1"/>
    <xf numFmtId="0" fontId="18" fillId="0" borderId="0" xfId="1" applyNumberFormat="1" applyFont="1" applyAlignment="1"/>
    <xf numFmtId="164" fontId="16" fillId="19" borderId="0" xfId="0" applyNumberFormat="1" applyFont="1" applyFill="1" applyAlignment="1">
      <alignment horizontal="right"/>
    </xf>
    <xf numFmtId="168" fontId="16" fillId="19" borderId="0" xfId="0" applyNumberFormat="1" applyFont="1" applyFill="1" applyAlignment="1">
      <alignment horizontal="right"/>
    </xf>
    <xf numFmtId="0" fontId="0" fillId="0" borderId="0" xfId="0" applyFont="1" applyAlignment="1"/>
    <xf numFmtId="0" fontId="49" fillId="0" borderId="0" xfId="0" applyFont="1" applyAlignment="1"/>
    <xf numFmtId="44" fontId="18" fillId="0" borderId="1" xfId="0" applyNumberFormat="1" applyFont="1" applyBorder="1"/>
    <xf numFmtId="9" fontId="18" fillId="0" borderId="0" xfId="2" applyFont="1" applyAlignment="1"/>
    <xf numFmtId="1" fontId="18" fillId="0" borderId="0" xfId="1" applyNumberFormat="1" applyFont="1" applyFill="1" applyAlignment="1"/>
    <xf numFmtId="44" fontId="18" fillId="20" borderId="0" xfId="1" applyFont="1" applyFill="1" applyAlignment="1"/>
    <xf numFmtId="0" fontId="0" fillId="20" borderId="0" xfId="0" applyFont="1" applyFill="1" applyAlignment="1"/>
    <xf numFmtId="9" fontId="0" fillId="20" borderId="0" xfId="2" applyFont="1" applyFill="1" applyAlignment="1"/>
    <xf numFmtId="44" fontId="0" fillId="0" borderId="0" xfId="1" applyFont="1" applyAlignment="1"/>
    <xf numFmtId="44" fontId="49" fillId="0" borderId="0" xfId="1" applyFont="1" applyAlignment="1"/>
    <xf numFmtId="168" fontId="50" fillId="0" borderId="0" xfId="0" applyNumberFormat="1" applyFont="1" applyAlignment="1"/>
    <xf numFmtId="44" fontId="16" fillId="0" borderId="0" xfId="1" applyFont="1" applyFill="1" applyAlignment="1"/>
    <xf numFmtId="9" fontId="0" fillId="0" borderId="0" xfId="2" applyFont="1"/>
    <xf numFmtId="0" fontId="0" fillId="0" borderId="0" xfId="0" applyFont="1" applyAlignment="1"/>
    <xf numFmtId="0" fontId="16" fillId="0" borderId="0" xfId="0" applyFont="1" applyAlignment="1"/>
    <xf numFmtId="0" fontId="40" fillId="14" borderId="0" xfId="3" applyNumberFormat="1" applyFont="1" applyFill="1"/>
    <xf numFmtId="0" fontId="15" fillId="14" borderId="0" xfId="3" applyNumberFormat="1" applyFill="1"/>
    <xf numFmtId="0" fontId="40" fillId="0" borderId="0" xfId="3" applyNumberFormat="1" applyFont="1"/>
    <xf numFmtId="44" fontId="49" fillId="16" borderId="0" xfId="1" applyFont="1" applyFill="1" applyAlignment="1"/>
    <xf numFmtId="0" fontId="0" fillId="0" borderId="0" xfId="0" applyFont="1" applyAlignment="1"/>
    <xf numFmtId="0" fontId="20" fillId="0" borderId="0" xfId="0" applyFont="1" applyAlignment="1"/>
    <xf numFmtId="8" fontId="0" fillId="0" borderId="0" xfId="0" applyNumberFormat="1" applyFont="1" applyAlignment="1"/>
    <xf numFmtId="1" fontId="16" fillId="0" borderId="0" xfId="0" applyNumberFormat="1" applyFont="1" applyAlignment="1"/>
    <xf numFmtId="0" fontId="15" fillId="27" borderId="0" xfId="3" applyFill="1"/>
    <xf numFmtId="0" fontId="40" fillId="27" borderId="0" xfId="3" applyNumberFormat="1" applyFont="1" applyFill="1"/>
    <xf numFmtId="0" fontId="18" fillId="26" borderId="0" xfId="0" applyFont="1" applyFill="1" applyAlignment="1"/>
    <xf numFmtId="0" fontId="12" fillId="0" borderId="0" xfId="3" applyFont="1"/>
    <xf numFmtId="0" fontId="53" fillId="0" borderId="0" xfId="4"/>
    <xf numFmtId="0" fontId="54" fillId="0" borderId="0" xfId="3" applyFont="1"/>
    <xf numFmtId="6" fontId="0" fillId="0" borderId="0" xfId="0" applyNumberFormat="1" applyFont="1" applyAlignment="1"/>
    <xf numFmtId="0" fontId="30" fillId="0" borderId="0" xfId="0" applyFont="1" applyAlignment="1">
      <alignment horizontal="center" vertical="center"/>
    </xf>
    <xf numFmtId="0" fontId="16" fillId="0" borderId="0" xfId="0" applyFont="1" applyAlignment="1">
      <alignment horizontal="center"/>
    </xf>
    <xf numFmtId="0" fontId="16" fillId="0" borderId="0" xfId="0" applyFont="1" applyFill="1" applyAlignment="1"/>
    <xf numFmtId="0" fontId="28" fillId="0" borderId="0" xfId="0" applyFont="1" applyFill="1" applyAlignment="1"/>
    <xf numFmtId="0" fontId="15" fillId="0" borderId="0" xfId="3" applyFill="1"/>
    <xf numFmtId="0" fontId="11" fillId="0" borderId="0" xfId="3" applyFont="1"/>
    <xf numFmtId="0" fontId="15" fillId="14" borderId="0" xfId="3" applyFill="1"/>
    <xf numFmtId="0" fontId="0" fillId="0" borderId="0" xfId="0" applyFont="1" applyAlignment="1"/>
    <xf numFmtId="0" fontId="40" fillId="0" borderId="0" xfId="3" applyFont="1" applyAlignment="1">
      <alignment horizontal="center" wrapText="1"/>
    </xf>
    <xf numFmtId="0" fontId="47" fillId="14" borderId="0" xfId="3" applyFont="1" applyFill="1"/>
    <xf numFmtId="0" fontId="10" fillId="0" borderId="0" xfId="3" applyFont="1"/>
    <xf numFmtId="0" fontId="10" fillId="0" borderId="0" xfId="3" applyFont="1" applyFill="1"/>
    <xf numFmtId="0" fontId="10" fillId="14" borderId="0" xfId="3" applyFont="1" applyFill="1"/>
    <xf numFmtId="0" fontId="10" fillId="14" borderId="0" xfId="3" quotePrefix="1" applyFont="1" applyFill="1"/>
    <xf numFmtId="0" fontId="20" fillId="0" borderId="0" xfId="0" applyFont="1" applyAlignment="1"/>
    <xf numFmtId="0" fontId="0" fillId="0" borderId="0" xfId="0" applyFont="1" applyAlignment="1"/>
    <xf numFmtId="0" fontId="16" fillId="0" borderId="0" xfId="0" applyFont="1" applyAlignment="1"/>
    <xf numFmtId="0" fontId="9" fillId="0" borderId="0" xfId="3" applyFont="1" applyFill="1"/>
    <xf numFmtId="0" fontId="9" fillId="14" borderId="0" xfId="3" applyFont="1" applyFill="1"/>
    <xf numFmtId="0" fontId="9" fillId="0" borderId="0" xfId="3" applyFont="1"/>
    <xf numFmtId="0" fontId="9" fillId="14" borderId="0" xfId="3" quotePrefix="1" applyFont="1" applyFill="1"/>
    <xf numFmtId="0" fontId="55" fillId="14" borderId="0" xfId="3" applyNumberFormat="1" applyFont="1" applyFill="1"/>
    <xf numFmtId="0" fontId="49" fillId="27" borderId="0" xfId="0" applyFont="1" applyFill="1" applyAlignment="1"/>
    <xf numFmtId="0" fontId="55" fillId="0" borderId="0" xfId="3" applyNumberFormat="1" applyFont="1"/>
    <xf numFmtId="1" fontId="18" fillId="30" borderId="0" xfId="1" applyNumberFormat="1" applyFont="1" applyFill="1" applyAlignment="1"/>
    <xf numFmtId="166" fontId="16" fillId="0" borderId="0" xfId="0" applyNumberFormat="1" applyFont="1" applyFill="1" applyAlignment="1"/>
    <xf numFmtId="0" fontId="16" fillId="0" borderId="3" xfId="0" applyFont="1" applyBorder="1" applyAlignment="1"/>
    <xf numFmtId="9" fontId="16" fillId="25" borderId="3" xfId="2" applyFont="1" applyFill="1" applyBorder="1" applyAlignment="1">
      <alignment horizontal="right"/>
    </xf>
    <xf numFmtId="0" fontId="0" fillId="11" borderId="3" xfId="0" applyFont="1" applyFill="1" applyBorder="1" applyAlignment="1"/>
    <xf numFmtId="0" fontId="0" fillId="29" borderId="3" xfId="0" applyNumberFormat="1" applyFont="1" applyFill="1" applyBorder="1" applyAlignment="1"/>
    <xf numFmtId="0" fontId="0" fillId="26" borderId="3" xfId="0" applyFont="1" applyFill="1" applyBorder="1" applyAlignment="1"/>
    <xf numFmtId="8" fontId="0" fillId="26" borderId="3" xfId="0" applyNumberFormat="1" applyFont="1" applyFill="1" applyBorder="1" applyAlignment="1"/>
    <xf numFmtId="0" fontId="0" fillId="16" borderId="3" xfId="0" applyNumberFormat="1" applyFont="1" applyFill="1" applyBorder="1" applyAlignment="1"/>
    <xf numFmtId="0" fontId="0" fillId="23" borderId="3" xfId="0" applyNumberFormat="1" applyFont="1" applyFill="1" applyBorder="1" applyAlignment="1"/>
    <xf numFmtId="8" fontId="0" fillId="16" borderId="3" xfId="0" applyNumberFormat="1" applyFont="1" applyFill="1" applyBorder="1" applyAlignment="1"/>
    <xf numFmtId="8" fontId="0" fillId="23" borderId="3" xfId="0" applyNumberFormat="1" applyFont="1" applyFill="1" applyBorder="1" applyAlignment="1"/>
    <xf numFmtId="1" fontId="0" fillId="16" borderId="3" xfId="0" applyNumberFormat="1" applyFont="1" applyFill="1" applyBorder="1" applyAlignment="1"/>
    <xf numFmtId="1" fontId="0" fillId="23" borderId="3" xfId="0" applyNumberFormat="1" applyFont="1" applyFill="1" applyBorder="1" applyAlignment="1"/>
    <xf numFmtId="0" fontId="0" fillId="16" borderId="3" xfId="0" applyFont="1" applyFill="1" applyBorder="1" applyAlignment="1"/>
    <xf numFmtId="0" fontId="0" fillId="23" borderId="3" xfId="0" applyFont="1" applyFill="1" applyBorder="1" applyAlignment="1"/>
    <xf numFmtId="0" fontId="28" fillId="0" borderId="3" xfId="0" applyFont="1" applyBorder="1" applyAlignment="1"/>
    <xf numFmtId="0" fontId="0" fillId="0" borderId="0" xfId="0" applyFont="1" applyAlignment="1"/>
    <xf numFmtId="0" fontId="56" fillId="14" borderId="0" xfId="3" applyFont="1" applyFill="1"/>
    <xf numFmtId="0" fontId="16" fillId="32" borderId="0" xfId="0" applyFont="1" applyFill="1" applyAlignment="1"/>
    <xf numFmtId="8" fontId="16" fillId="32" borderId="0" xfId="0" applyNumberFormat="1" applyFont="1" applyFill="1" applyAlignment="1"/>
    <xf numFmtId="168" fontId="18" fillId="32" borderId="0" xfId="0" applyNumberFormat="1" applyFont="1" applyFill="1"/>
    <xf numFmtId="44" fontId="28" fillId="32" borderId="0" xfId="1" applyFont="1" applyFill="1" applyAlignment="1"/>
    <xf numFmtId="0" fontId="18" fillId="20" borderId="0" xfId="0" applyFont="1" applyFill="1" applyAlignment="1"/>
    <xf numFmtId="0" fontId="18" fillId="9" borderId="0" xfId="0" applyFont="1" applyFill="1" applyAlignment="1"/>
    <xf numFmtId="168" fontId="0" fillId="32" borderId="0" xfId="0" applyNumberFormat="1" applyFont="1" applyFill="1" applyAlignment="1"/>
    <xf numFmtId="168" fontId="33" fillId="0" borderId="4" xfId="0" applyNumberFormat="1" applyFont="1" applyBorder="1" applyAlignment="1"/>
    <xf numFmtId="44" fontId="57" fillId="0" borderId="0" xfId="0" applyNumberFormat="1" applyFont="1" applyAlignment="1"/>
    <xf numFmtId="168" fontId="33" fillId="0" borderId="0" xfId="0" applyNumberFormat="1" applyFont="1" applyAlignment="1"/>
    <xf numFmtId="168" fontId="16" fillId="0" borderId="0" xfId="0" applyNumberFormat="1" applyFont="1"/>
    <xf numFmtId="168" fontId="18" fillId="33" borderId="0" xfId="0" applyNumberFormat="1" applyFont="1" applyFill="1" applyAlignment="1"/>
    <xf numFmtId="168" fontId="0" fillId="9" borderId="0" xfId="0" applyNumberFormat="1" applyFont="1" applyFill="1" applyAlignment="1"/>
    <xf numFmtId="168" fontId="18" fillId="16" borderId="0" xfId="0" applyNumberFormat="1" applyFont="1" applyFill="1"/>
    <xf numFmtId="0" fontId="18" fillId="0" borderId="0" xfId="1" applyNumberFormat="1" applyFont="1"/>
    <xf numFmtId="0" fontId="18" fillId="0" borderId="1" xfId="0" applyFont="1" applyBorder="1" applyAlignment="1"/>
    <xf numFmtId="0" fontId="18" fillId="0" borderId="1" xfId="0" applyFont="1" applyBorder="1"/>
    <xf numFmtId="0" fontId="18" fillId="0" borderId="0" xfId="0" applyFont="1" applyAlignment="1"/>
    <xf numFmtId="0" fontId="0" fillId="0" borderId="0" xfId="0" applyFont="1" applyAlignment="1"/>
    <xf numFmtId="0" fontId="16" fillId="0" borderId="0" xfId="0" applyFont="1" applyAlignment="1"/>
    <xf numFmtId="0" fontId="0" fillId="30" borderId="3" xfId="0" applyFont="1" applyFill="1" applyBorder="1" applyAlignment="1"/>
    <xf numFmtId="0" fontId="19" fillId="0" borderId="0" xfId="0" applyFont="1" applyFill="1" applyBorder="1" applyAlignment="1"/>
    <xf numFmtId="0" fontId="0" fillId="0" borderId="0" xfId="0" applyFont="1" applyFill="1" applyBorder="1" applyAlignment="1"/>
    <xf numFmtId="0" fontId="0" fillId="0" borderId="0" xfId="0" applyFont="1" applyAlignment="1"/>
    <xf numFmtId="0" fontId="28" fillId="0" borderId="3" xfId="0" applyFont="1" applyFill="1" applyBorder="1" applyAlignment="1"/>
    <xf numFmtId="0" fontId="28" fillId="0" borderId="0" xfId="0" applyFont="1" applyFill="1" applyBorder="1" applyAlignment="1"/>
    <xf numFmtId="0" fontId="0" fillId="0" borderId="0" xfId="0" applyNumberFormat="1" applyFont="1" applyFill="1" applyBorder="1" applyAlignment="1"/>
    <xf numFmtId="8" fontId="0" fillId="0" borderId="0" xfId="0" applyNumberFormat="1" applyFont="1" applyFill="1" applyBorder="1" applyAlignment="1"/>
    <xf numFmtId="1" fontId="0" fillId="0" borderId="0" xfId="0" applyNumberFormat="1" applyFont="1" applyFill="1" applyBorder="1" applyAlignment="1"/>
    <xf numFmtId="0" fontId="51" fillId="0" borderId="0" xfId="0" applyFont="1" applyBorder="1" applyAlignment="1"/>
    <xf numFmtId="0" fontId="28" fillId="0" borderId="0" xfId="0" applyFont="1" applyBorder="1" applyAlignment="1"/>
    <xf numFmtId="0" fontId="0" fillId="0" borderId="0" xfId="0" applyFont="1" applyBorder="1" applyAlignment="1"/>
    <xf numFmtId="8" fontId="16" fillId="0" borderId="0" xfId="0" applyNumberFormat="1" applyFont="1" applyFill="1" applyAlignment="1"/>
    <xf numFmtId="0" fontId="28" fillId="11" borderId="6" xfId="0" applyFont="1" applyFill="1" applyBorder="1" applyAlignment="1"/>
    <xf numFmtId="0" fontId="20" fillId="0" borderId="3" xfId="0" applyFont="1" applyBorder="1" applyAlignment="1"/>
    <xf numFmtId="0" fontId="16" fillId="21" borderId="3" xfId="0" applyFont="1" applyFill="1" applyBorder="1" applyAlignment="1"/>
    <xf numFmtId="0" fontId="16" fillId="23" borderId="3" xfId="0" applyFont="1" applyFill="1" applyBorder="1" applyAlignment="1"/>
    <xf numFmtId="9" fontId="16" fillId="21" borderId="3" xfId="2" applyFont="1" applyFill="1" applyBorder="1" applyAlignment="1"/>
    <xf numFmtId="0" fontId="16" fillId="20" borderId="3" xfId="0" applyFont="1" applyFill="1" applyBorder="1" applyAlignment="1"/>
    <xf numFmtId="3" fontId="18" fillId="15" borderId="3" xfId="0" applyNumberFormat="1" applyFont="1" applyFill="1" applyBorder="1" applyAlignment="1">
      <alignment horizontal="right"/>
    </xf>
    <xf numFmtId="3" fontId="18" fillId="24" borderId="3" xfId="0" applyNumberFormat="1" applyFont="1" applyFill="1" applyBorder="1" applyAlignment="1">
      <alignment horizontal="right"/>
    </xf>
    <xf numFmtId="0" fontId="13" fillId="21" borderId="3" xfId="3" applyFont="1" applyFill="1" applyBorder="1" applyAlignment="1">
      <alignment horizontal="right"/>
    </xf>
    <xf numFmtId="0" fontId="13" fillId="23" borderId="3" xfId="3" applyFont="1" applyFill="1" applyBorder="1" applyAlignment="1">
      <alignment horizontal="right"/>
    </xf>
    <xf numFmtId="2" fontId="16" fillId="22" borderId="3" xfId="0" applyNumberFormat="1" applyFont="1" applyFill="1" applyBorder="1" applyAlignment="1">
      <alignment horizontal="right"/>
    </xf>
    <xf numFmtId="2" fontId="16" fillId="24" borderId="3" xfId="0" applyNumberFormat="1" applyFont="1" applyFill="1" applyBorder="1" applyAlignment="1">
      <alignment horizontal="right"/>
    </xf>
    <xf numFmtId="0" fontId="16" fillId="22" borderId="3" xfId="0" applyFont="1" applyFill="1" applyBorder="1" applyAlignment="1">
      <alignment horizontal="right"/>
    </xf>
    <xf numFmtId="0" fontId="16" fillId="28" borderId="3" xfId="0" applyFont="1" applyFill="1" applyBorder="1" applyAlignment="1">
      <alignment horizontal="right"/>
    </xf>
    <xf numFmtId="0" fontId="16" fillId="24" borderId="3" xfId="0" applyFont="1" applyFill="1" applyBorder="1" applyAlignment="1">
      <alignment horizontal="right"/>
    </xf>
    <xf numFmtId="0" fontId="16" fillId="15" borderId="3" xfId="0" applyFont="1" applyFill="1" applyBorder="1" applyAlignment="1">
      <alignment horizontal="right"/>
    </xf>
    <xf numFmtId="8" fontId="18" fillId="15" borderId="3" xfId="1" applyNumberFormat="1" applyFont="1" applyFill="1" applyBorder="1" applyAlignment="1">
      <alignment horizontal="right"/>
    </xf>
    <xf numFmtId="8" fontId="18" fillId="24" borderId="3" xfId="1" applyNumberFormat="1" applyFont="1" applyFill="1" applyBorder="1" applyAlignment="1">
      <alignment horizontal="right"/>
    </xf>
    <xf numFmtId="168" fontId="18" fillId="21" borderId="3" xfId="1" applyNumberFormat="1" applyFont="1" applyFill="1" applyBorder="1"/>
    <xf numFmtId="168" fontId="18" fillId="24" borderId="3" xfId="1" applyNumberFormat="1" applyFont="1" applyFill="1" applyBorder="1" applyAlignment="1"/>
    <xf numFmtId="166" fontId="18" fillId="22" borderId="3" xfId="0" applyNumberFormat="1" applyFont="1" applyFill="1" applyBorder="1" applyAlignment="1"/>
    <xf numFmtId="166" fontId="18" fillId="24" borderId="3" xfId="0" applyNumberFormat="1" applyFont="1" applyFill="1" applyBorder="1" applyAlignment="1"/>
    <xf numFmtId="0" fontId="18" fillId="16" borderId="6" xfId="0" applyNumberFormat="1" applyFont="1" applyFill="1" applyBorder="1" applyAlignment="1"/>
    <xf numFmtId="9" fontId="30" fillId="16" borderId="3" xfId="2" applyFont="1" applyFill="1" applyBorder="1" applyAlignment="1">
      <alignment horizontal="right"/>
    </xf>
    <xf numFmtId="0" fontId="39" fillId="0" borderId="3" xfId="0" applyFont="1" applyBorder="1" applyAlignment="1"/>
    <xf numFmtId="44" fontId="0" fillId="7" borderId="3" xfId="1" applyFont="1" applyFill="1" applyBorder="1" applyAlignment="1"/>
    <xf numFmtId="0" fontId="36" fillId="0" borderId="3" xfId="0" applyFont="1" applyBorder="1" applyAlignment="1"/>
    <xf numFmtId="9" fontId="16" fillId="7" borderId="3" xfId="2" applyFont="1" applyFill="1" applyBorder="1" applyAlignment="1"/>
    <xf numFmtId="0" fontId="20" fillId="7" borderId="3" xfId="0" applyFont="1" applyFill="1" applyBorder="1" applyAlignment="1"/>
    <xf numFmtId="0" fontId="15" fillId="0" borderId="3" xfId="3" applyBorder="1"/>
    <xf numFmtId="0" fontId="12" fillId="0" borderId="3" xfId="3" applyFont="1" applyBorder="1"/>
    <xf numFmtId="0" fontId="13" fillId="0" borderId="3" xfId="3" applyFont="1" applyBorder="1"/>
    <xf numFmtId="0" fontId="18" fillId="0" borderId="3" xfId="0" applyFont="1" applyBorder="1" applyAlignment="1"/>
    <xf numFmtId="166" fontId="16" fillId="0" borderId="6" xfId="0" applyNumberFormat="1" applyFont="1" applyFill="1" applyBorder="1" applyAlignment="1">
      <alignment horizontal="center"/>
    </xf>
    <xf numFmtId="44" fontId="18" fillId="31" borderId="0" xfId="0" applyNumberFormat="1" applyFont="1" applyFill="1" applyAlignment="1"/>
    <xf numFmtId="0" fontId="58" fillId="0" borderId="0" xfId="0" applyFont="1" applyFill="1" applyAlignment="1"/>
    <xf numFmtId="0" fontId="16" fillId="0" borderId="2" xfId="0" applyFont="1" applyBorder="1" applyAlignment="1"/>
    <xf numFmtId="168" fontId="16" fillId="0" borderId="0" xfId="0" applyNumberFormat="1" applyFont="1" applyFill="1" applyAlignment="1">
      <alignment horizontal="right"/>
    </xf>
    <xf numFmtId="168" fontId="28" fillId="0" borderId="0" xfId="0" applyNumberFormat="1" applyFont="1" applyFill="1" applyAlignment="1"/>
    <xf numFmtId="168" fontId="16" fillId="25" borderId="0" xfId="0" applyNumberFormat="1" applyFont="1" applyFill="1"/>
    <xf numFmtId="168" fontId="16" fillId="11" borderId="0" xfId="0" applyNumberFormat="1" applyFont="1" applyFill="1"/>
    <xf numFmtId="168" fontId="28" fillId="11" borderId="0" xfId="0" applyNumberFormat="1" applyFont="1" applyFill="1" applyAlignment="1"/>
    <xf numFmtId="0" fontId="8" fillId="0" borderId="7" xfId="3" applyFont="1" applyFill="1" applyBorder="1"/>
    <xf numFmtId="0" fontId="18" fillId="11" borderId="6" xfId="2" applyNumberFormat="1" applyFont="1" applyFill="1" applyBorder="1" applyAlignment="1"/>
    <xf numFmtId="0" fontId="18" fillId="20" borderId="2" xfId="0" applyFont="1" applyFill="1" applyBorder="1" applyAlignment="1"/>
    <xf numFmtId="0" fontId="0" fillId="23" borderId="8" xfId="0" applyFont="1" applyFill="1" applyBorder="1" applyAlignment="1"/>
    <xf numFmtId="0" fontId="0" fillId="0" borderId="9" xfId="0" applyFont="1" applyFill="1" applyBorder="1" applyAlignment="1"/>
    <xf numFmtId="0" fontId="0" fillId="0" borderId="10" xfId="0" applyFont="1" applyFill="1" applyBorder="1" applyAlignment="1"/>
    <xf numFmtId="0" fontId="0" fillId="0" borderId="3" xfId="0" applyFont="1" applyBorder="1" applyAlignment="1"/>
    <xf numFmtId="168" fontId="0" fillId="0" borderId="3" xfId="0" applyNumberFormat="1" applyFont="1" applyBorder="1" applyAlignment="1"/>
    <xf numFmtId="0" fontId="28" fillId="16" borderId="3" xfId="0" applyFont="1" applyFill="1" applyBorder="1" applyAlignment="1"/>
    <xf numFmtId="0" fontId="33" fillId="0" borderId="3" xfId="0" applyFont="1" applyBorder="1" applyAlignment="1"/>
    <xf numFmtId="0" fontId="28" fillId="0" borderId="3" xfId="0" applyFont="1" applyBorder="1" applyAlignment="1">
      <alignment horizontal="center"/>
    </xf>
    <xf numFmtId="0" fontId="49" fillId="29" borderId="3" xfId="0" applyNumberFormat="1" applyFont="1" applyFill="1" applyBorder="1" applyAlignment="1"/>
    <xf numFmtId="0" fontId="0" fillId="9" borderId="3" xfId="0" applyFont="1" applyFill="1" applyBorder="1" applyAlignment="1"/>
    <xf numFmtId="0" fontId="0" fillId="0" borderId="0" xfId="0" applyFont="1" applyAlignment="1"/>
    <xf numFmtId="0" fontId="0" fillId="0" borderId="0" xfId="0" applyFont="1" applyAlignment="1"/>
    <xf numFmtId="166" fontId="16" fillId="25" borderId="3" xfId="2" applyNumberFormat="1" applyFont="1" applyFill="1" applyBorder="1" applyAlignment="1">
      <alignment horizontal="right"/>
    </xf>
    <xf numFmtId="9" fontId="0" fillId="0" borderId="0" xfId="0" applyNumberFormat="1" applyFont="1" applyAlignment="1"/>
    <xf numFmtId="9" fontId="28" fillId="0" borderId="0" xfId="0" applyNumberFormat="1" applyFont="1" applyAlignment="1"/>
    <xf numFmtId="10" fontId="0" fillId="0" borderId="0" xfId="0" applyNumberFormat="1" applyFont="1" applyAlignment="1"/>
    <xf numFmtId="168" fontId="18" fillId="31" borderId="0" xfId="0" applyNumberFormat="1" applyFont="1" applyFill="1" applyAlignment="1"/>
    <xf numFmtId="39" fontId="33" fillId="16" borderId="3" xfId="1" applyNumberFormat="1" applyFont="1" applyFill="1" applyBorder="1" applyAlignment="1"/>
    <xf numFmtId="0" fontId="7" fillId="14" borderId="0" xfId="3" applyFont="1" applyFill="1"/>
    <xf numFmtId="0" fontId="7" fillId="0" borderId="0" xfId="3" applyFont="1"/>
    <xf numFmtId="0" fontId="7" fillId="0" borderId="0" xfId="3" applyFont="1" applyFill="1"/>
    <xf numFmtId="6" fontId="18" fillId="9" borderId="0" xfId="1" applyNumberFormat="1" applyFont="1" applyFill="1"/>
    <xf numFmtId="6" fontId="0" fillId="9" borderId="0" xfId="0" applyNumberFormat="1" applyFont="1" applyFill="1" applyAlignment="1"/>
    <xf numFmtId="9" fontId="0" fillId="26" borderId="3" xfId="0" applyNumberFormat="1" applyFont="1" applyFill="1" applyBorder="1" applyAlignment="1"/>
    <xf numFmtId="0" fontId="16" fillId="0" borderId="3" xfId="0" applyFont="1" applyFill="1" applyBorder="1" applyAlignment="1"/>
    <xf numFmtId="0" fontId="33" fillId="0" borderId="0" xfId="0" applyFont="1" applyFill="1" applyAlignment="1"/>
    <xf numFmtId="0" fontId="28" fillId="0" borderId="6" xfId="0" applyFont="1" applyFill="1" applyBorder="1" applyAlignment="1"/>
    <xf numFmtId="168" fontId="0" fillId="16" borderId="3" xfId="0" applyNumberFormat="1" applyFont="1" applyFill="1" applyBorder="1" applyAlignment="1"/>
    <xf numFmtId="0" fontId="33" fillId="23" borderId="3" xfId="0" applyFont="1" applyFill="1" applyBorder="1" applyAlignment="1"/>
    <xf numFmtId="0" fontId="20" fillId="34" borderId="0" xfId="0" applyFont="1" applyFill="1" applyAlignment="1"/>
    <xf numFmtId="0" fontId="16" fillId="35" borderId="0" xfId="0" applyFont="1" applyFill="1" applyAlignment="1"/>
    <xf numFmtId="0" fontId="16" fillId="36" borderId="0" xfId="0" applyFont="1" applyFill="1" applyAlignment="1"/>
    <xf numFmtId="10" fontId="16" fillId="35" borderId="0" xfId="0" applyNumberFormat="1" applyFont="1" applyFill="1" applyAlignment="1"/>
    <xf numFmtId="0" fontId="28" fillId="37" borderId="0" xfId="0" applyFont="1" applyFill="1" applyAlignment="1">
      <alignment wrapText="1"/>
    </xf>
    <xf numFmtId="0" fontId="16" fillId="37" borderId="0" xfId="0" applyFont="1" applyFill="1" applyAlignment="1">
      <alignment wrapText="1"/>
    </xf>
    <xf numFmtId="0" fontId="59" fillId="36" borderId="0" xfId="0" applyFont="1" applyFill="1" applyAlignment="1">
      <alignment horizontal="left"/>
    </xf>
    <xf numFmtId="0" fontId="60" fillId="0" borderId="0" xfId="0" applyFont="1" applyAlignment="1"/>
    <xf numFmtId="0" fontId="7" fillId="0" borderId="3" xfId="3" applyFont="1" applyFill="1" applyBorder="1"/>
    <xf numFmtId="0" fontId="8" fillId="0" borderId="3" xfId="3" applyFont="1" applyFill="1" applyBorder="1"/>
    <xf numFmtId="0" fontId="6" fillId="0" borderId="0" xfId="3" applyFont="1"/>
    <xf numFmtId="0" fontId="61" fillId="0" borderId="0" xfId="3" applyFont="1"/>
    <xf numFmtId="17" fontId="15" fillId="0" borderId="0" xfId="3" applyNumberFormat="1"/>
    <xf numFmtId="0" fontId="62" fillId="0" borderId="0" xfId="0" applyFont="1" applyAlignment="1"/>
    <xf numFmtId="0" fontId="56" fillId="0" borderId="0" xfId="3" applyFont="1"/>
    <xf numFmtId="0" fontId="35" fillId="7" borderId="3" xfId="3" applyFont="1" applyFill="1" applyBorder="1" applyAlignment="1">
      <alignment horizontal="right"/>
    </xf>
    <xf numFmtId="0" fontId="47" fillId="7" borderId="3" xfId="3" applyFont="1" applyFill="1" applyBorder="1" applyAlignment="1">
      <alignment horizontal="right"/>
    </xf>
    <xf numFmtId="0" fontId="8" fillId="7" borderId="3" xfId="3" applyFont="1" applyFill="1" applyBorder="1" applyAlignment="1">
      <alignment horizontal="right"/>
    </xf>
    <xf numFmtId="0" fontId="9" fillId="7" borderId="3" xfId="3" applyFont="1" applyFill="1" applyBorder="1" applyAlignment="1">
      <alignment horizontal="right"/>
    </xf>
    <xf numFmtId="0" fontId="0" fillId="7" borderId="3" xfId="0" applyFont="1" applyFill="1" applyBorder="1" applyAlignment="1"/>
    <xf numFmtId="166" fontId="30" fillId="7" borderId="3" xfId="0" applyNumberFormat="1" applyFont="1" applyFill="1" applyBorder="1" applyAlignment="1">
      <alignment horizontal="right"/>
    </xf>
    <xf numFmtId="1" fontId="30" fillId="7" borderId="3" xfId="2" applyNumberFormat="1" applyFont="1" applyFill="1" applyBorder="1" applyAlignment="1">
      <alignment horizontal="right"/>
    </xf>
    <xf numFmtId="169" fontId="30" fillId="7" borderId="3" xfId="1" applyNumberFormat="1" applyFont="1" applyFill="1" applyBorder="1" applyAlignment="1">
      <alignment horizontal="right"/>
    </xf>
    <xf numFmtId="44" fontId="30" fillId="7" borderId="3" xfId="1" applyFont="1" applyFill="1" applyBorder="1" applyAlignment="1">
      <alignment horizontal="right"/>
    </xf>
    <xf numFmtId="9" fontId="30" fillId="7" borderId="3" xfId="2" applyFont="1" applyFill="1" applyBorder="1" applyAlignment="1">
      <alignment horizontal="right"/>
    </xf>
    <xf numFmtId="0" fontId="30" fillId="7" borderId="3" xfId="0" applyFont="1" applyFill="1" applyBorder="1" applyAlignment="1">
      <alignment horizontal="right"/>
    </xf>
    <xf numFmtId="0" fontId="49" fillId="16" borderId="3" xfId="0" applyFont="1" applyFill="1" applyBorder="1" applyAlignment="1"/>
    <xf numFmtId="0" fontId="16" fillId="16" borderId="3" xfId="0" applyFont="1" applyFill="1" applyBorder="1" applyAlignment="1"/>
    <xf numFmtId="0" fontId="28" fillId="0" borderId="6" xfId="0" applyFont="1" applyBorder="1" applyAlignment="1"/>
    <xf numFmtId="0" fontId="28" fillId="0" borderId="11" xfId="0" applyFont="1" applyBorder="1" applyAlignment="1"/>
    <xf numFmtId="0" fontId="28" fillId="0" borderId="12" xfId="0" applyFont="1" applyFill="1" applyBorder="1" applyAlignment="1"/>
    <xf numFmtId="0" fontId="28" fillId="0" borderId="6" xfId="0" applyFont="1" applyBorder="1" applyAlignment="1">
      <alignment wrapText="1"/>
    </xf>
    <xf numFmtId="0" fontId="41" fillId="0" borderId="3" xfId="0" applyFont="1" applyBorder="1" applyAlignment="1"/>
    <xf numFmtId="0" fontId="5" fillId="14" borderId="0" xfId="3" applyFont="1" applyFill="1"/>
    <xf numFmtId="0" fontId="55" fillId="0" borderId="0" xfId="3" applyFont="1"/>
    <xf numFmtId="0" fontId="53" fillId="0" borderId="0" xfId="4" applyAlignment="1"/>
    <xf numFmtId="0" fontId="5" fillId="0" borderId="0" xfId="3" applyFont="1"/>
    <xf numFmtId="0" fontId="30" fillId="0" borderId="3" xfId="0" applyFont="1" applyFill="1" applyBorder="1" applyAlignment="1">
      <alignment horizontal="left"/>
    </xf>
    <xf numFmtId="0" fontId="4" fillId="0" borderId="3" xfId="3" applyFont="1" applyFill="1" applyBorder="1" applyAlignment="1">
      <alignment horizontal="left"/>
    </xf>
    <xf numFmtId="2" fontId="30" fillId="0" borderId="3" xfId="0" applyNumberFormat="1" applyFont="1" applyFill="1" applyBorder="1" applyAlignment="1">
      <alignment horizontal="left"/>
    </xf>
    <xf numFmtId="168" fontId="30" fillId="0" borderId="3" xfId="1" applyNumberFormat="1" applyFont="1" applyFill="1" applyBorder="1" applyAlignment="1">
      <alignment horizontal="left"/>
    </xf>
    <xf numFmtId="166" fontId="30" fillId="0" borderId="3" xfId="0" applyNumberFormat="1" applyFont="1" applyFill="1" applyBorder="1" applyAlignment="1">
      <alignment horizontal="left"/>
    </xf>
    <xf numFmtId="0" fontId="30" fillId="0" borderId="3" xfId="2" applyNumberFormat="1" applyFont="1" applyFill="1" applyBorder="1" applyAlignment="1">
      <alignment horizontal="left"/>
    </xf>
    <xf numFmtId="0" fontId="64" fillId="0" borderId="3" xfId="0" applyFont="1" applyFill="1" applyBorder="1" applyAlignment="1">
      <alignment horizontal="left"/>
    </xf>
    <xf numFmtId="1" fontId="30" fillId="0" borderId="3" xfId="2" applyNumberFormat="1" applyFont="1" applyFill="1" applyBorder="1" applyAlignment="1">
      <alignment horizontal="left"/>
    </xf>
    <xf numFmtId="169" fontId="30" fillId="0" borderId="3" xfId="1" applyNumberFormat="1" applyFont="1" applyFill="1" applyBorder="1" applyAlignment="1">
      <alignment horizontal="left"/>
    </xf>
    <xf numFmtId="44" fontId="30" fillId="0" borderId="3" xfId="1" applyFont="1" applyFill="1" applyBorder="1" applyAlignment="1">
      <alignment horizontal="left"/>
    </xf>
    <xf numFmtId="9" fontId="30" fillId="0" borderId="3" xfId="2" applyFont="1" applyFill="1" applyBorder="1" applyAlignment="1">
      <alignment horizontal="left"/>
    </xf>
    <xf numFmtId="44" fontId="64" fillId="0" borderId="3" xfId="1" applyFont="1" applyFill="1" applyBorder="1" applyAlignment="1">
      <alignment horizontal="left"/>
    </xf>
    <xf numFmtId="0" fontId="50" fillId="0" borderId="3" xfId="0" applyFont="1" applyFill="1" applyBorder="1" applyAlignment="1">
      <alignment horizontal="left"/>
    </xf>
    <xf numFmtId="9" fontId="64" fillId="0" borderId="3" xfId="0" applyNumberFormat="1" applyFont="1" applyFill="1" applyBorder="1" applyAlignment="1">
      <alignment horizontal="left"/>
    </xf>
    <xf numFmtId="8" fontId="64" fillId="0" borderId="3" xfId="0" applyNumberFormat="1" applyFont="1" applyFill="1" applyBorder="1" applyAlignment="1">
      <alignment horizontal="left"/>
    </xf>
    <xf numFmtId="166" fontId="30" fillId="0" borderId="3" xfId="2" applyNumberFormat="1" applyFont="1" applyFill="1" applyBorder="1" applyAlignment="1">
      <alignment horizontal="left"/>
    </xf>
    <xf numFmtId="168" fontId="30" fillId="0" borderId="3" xfId="0" applyNumberFormat="1" applyFont="1" applyFill="1" applyBorder="1" applyAlignment="1">
      <alignment horizontal="left"/>
    </xf>
    <xf numFmtId="168" fontId="64" fillId="0" borderId="3" xfId="0" applyNumberFormat="1" applyFont="1" applyFill="1" applyBorder="1" applyAlignment="1">
      <alignment horizontal="left"/>
    </xf>
    <xf numFmtId="6" fontId="64" fillId="0" borderId="3" xfId="0" applyNumberFormat="1" applyFont="1" applyFill="1" applyBorder="1" applyAlignment="1">
      <alignment horizontal="left"/>
    </xf>
    <xf numFmtId="0" fontId="0" fillId="0" borderId="0" xfId="0" applyFont="1" applyAlignment="1"/>
    <xf numFmtId="0" fontId="3" fillId="0" borderId="3" xfId="3" applyFont="1" applyFill="1" applyBorder="1" applyAlignment="1">
      <alignment horizontal="left"/>
    </xf>
    <xf numFmtId="0" fontId="30" fillId="0" borderId="0" xfId="0" applyFont="1" applyFill="1" applyAlignment="1"/>
    <xf numFmtId="14" fontId="30" fillId="9" borderId="13" xfId="0" applyNumberFormat="1" applyFont="1" applyFill="1" applyBorder="1" applyAlignment="1"/>
    <xf numFmtId="14" fontId="0" fillId="0" borderId="3" xfId="0" applyNumberFormat="1" applyFont="1" applyBorder="1" applyAlignment="1"/>
    <xf numFmtId="0" fontId="2" fillId="7" borderId="3" xfId="3" applyFont="1" applyFill="1" applyBorder="1" applyAlignment="1">
      <alignment horizontal="right"/>
    </xf>
    <xf numFmtId="168" fontId="18" fillId="9" borderId="0" xfId="0" applyNumberFormat="1" applyFont="1" applyFill="1" applyAlignment="1">
      <alignment horizontal="right"/>
    </xf>
    <xf numFmtId="0" fontId="30" fillId="0" borderId="7" xfId="0" applyFont="1" applyFill="1" applyBorder="1" applyAlignment="1">
      <alignment horizontal="left"/>
    </xf>
    <xf numFmtId="0" fontId="0" fillId="0" borderId="0" xfId="0" applyFont="1" applyAlignment="1"/>
    <xf numFmtId="0" fontId="33" fillId="23" borderId="7" xfId="0" applyFont="1" applyFill="1" applyBorder="1" applyAlignment="1"/>
    <xf numFmtId="0" fontId="1" fillId="7" borderId="3" xfId="3" applyFont="1" applyFill="1" applyBorder="1" applyAlignment="1">
      <alignment horizontal="right"/>
    </xf>
    <xf numFmtId="0" fontId="30" fillId="0" borderId="7" xfId="0" applyFont="1" applyBorder="1" applyAlignment="1">
      <alignment horizontal="left"/>
    </xf>
    <xf numFmtId="44" fontId="0" fillId="0" borderId="0" xfId="0" applyNumberFormat="1"/>
    <xf numFmtId="0" fontId="28" fillId="0" borderId="0" xfId="0" applyFont="1" applyFill="1" applyBorder="1" applyAlignment="1">
      <alignment horizontal="center"/>
    </xf>
    <xf numFmtId="0" fontId="17" fillId="2" borderId="0" xfId="0" applyFont="1" applyFill="1" applyAlignment="1">
      <alignment horizontal="left"/>
    </xf>
    <xf numFmtId="0" fontId="0" fillId="0" borderId="0" xfId="0" applyFont="1" applyAlignment="1"/>
    <xf numFmtId="0" fontId="16" fillId="3" borderId="0" xfId="0" applyFont="1" applyFill="1" applyAlignment="1"/>
    <xf numFmtId="0" fontId="16" fillId="4" borderId="0" xfId="0" applyFont="1" applyFill="1" applyAlignment="1"/>
    <xf numFmtId="0" fontId="16" fillId="5" borderId="0" xfId="0" applyFont="1" applyFill="1" applyAlignment="1"/>
    <xf numFmtId="0" fontId="28" fillId="0" borderId="3" xfId="0" applyFont="1" applyBorder="1" applyAlignment="1">
      <alignment horizontal="center" vertical="center"/>
    </xf>
    <xf numFmtId="0" fontId="28" fillId="0" borderId="3" xfId="0" applyFont="1" applyBorder="1" applyAlignment="1">
      <alignment horizontal="center"/>
    </xf>
    <xf numFmtId="0" fontId="0" fillId="0" borderId="3" xfId="0" applyFont="1" applyBorder="1" applyAlignment="1">
      <alignment horizontal="center"/>
    </xf>
    <xf numFmtId="0" fontId="28" fillId="0" borderId="8" xfId="0" applyFont="1" applyFill="1" applyBorder="1" applyAlignment="1">
      <alignment horizontal="center" wrapText="1"/>
    </xf>
    <xf numFmtId="0" fontId="28" fillId="0" borderId="5" xfId="0" applyFont="1" applyFill="1" applyBorder="1" applyAlignment="1">
      <alignment horizontal="center" wrapText="1"/>
    </xf>
    <xf numFmtId="0" fontId="28" fillId="0" borderId="8" xfId="0" applyFont="1" applyBorder="1" applyAlignment="1">
      <alignment horizontal="center" vertical="center"/>
    </xf>
    <xf numFmtId="0" fontId="28" fillId="0" borderId="5" xfId="0" applyFont="1" applyBorder="1" applyAlignment="1">
      <alignment horizontal="center" vertical="center"/>
    </xf>
    <xf numFmtId="0" fontId="28" fillId="0" borderId="7" xfId="0" applyFont="1" applyBorder="1" applyAlignment="1">
      <alignment horizontal="center" wrapText="1"/>
    </xf>
    <xf numFmtId="0" fontId="28" fillId="0" borderId="5" xfId="0" applyFont="1" applyBorder="1" applyAlignment="1">
      <alignment horizontal="center" wrapText="1"/>
    </xf>
    <xf numFmtId="0" fontId="28" fillId="0" borderId="3" xfId="0" applyFont="1" applyBorder="1" applyAlignment="1">
      <alignment horizontal="center" wrapText="1"/>
    </xf>
    <xf numFmtId="0" fontId="51" fillId="0" borderId="3" xfId="0" applyFont="1" applyBorder="1" applyAlignment="1">
      <alignment horizontal="center" wrapText="1"/>
    </xf>
    <xf numFmtId="0" fontId="28" fillId="0" borderId="8" xfId="0" applyFont="1" applyBorder="1" applyAlignment="1">
      <alignment horizontal="center" wrapText="1"/>
    </xf>
    <xf numFmtId="0" fontId="0" fillId="0" borderId="3" xfId="0" applyFont="1" applyFill="1" applyBorder="1" applyAlignment="1">
      <alignment horizontal="center"/>
    </xf>
    <xf numFmtId="0" fontId="20" fillId="0" borderId="0" xfId="0" applyFont="1" applyAlignment="1">
      <alignment horizontal="center"/>
    </xf>
    <xf numFmtId="0" fontId="33" fillId="0" borderId="0" xfId="0" applyFont="1" applyFill="1" applyAlignment="1">
      <alignment horizontal="center" wrapText="1"/>
    </xf>
    <xf numFmtId="0" fontId="40" fillId="0" borderId="0" xfId="3" applyFont="1" applyAlignment="1">
      <alignment horizontal="center" wrapText="1"/>
    </xf>
    <xf numFmtId="0" fontId="15" fillId="0" borderId="0" xfId="3" applyAlignment="1">
      <alignment horizontal="center"/>
    </xf>
    <xf numFmtId="168" fontId="18" fillId="0" borderId="0" xfId="0" applyNumberFormat="1" applyFont="1" applyFill="1"/>
  </cellXfs>
  <cellStyles count="5">
    <cellStyle name="Currency" xfId="1" builtinId="4"/>
    <cellStyle name="Hyperlink" xfId="4" builtinId="8"/>
    <cellStyle name="Normal" xfId="0" builtinId="0"/>
    <cellStyle name="Normal 2" xfId="3" xr:uid="{2B5CE715-C6C2-B34B-BB50-CCC04B523993}"/>
    <cellStyle name="Per cent" xfId="2" builtinId="5"/>
  </cellStyles>
  <dxfs count="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4C2F5"/>
      <color rgb="FFB4C6E8"/>
      <color rgb="FFA4C2F4"/>
      <color rgb="FFFFD6FD"/>
      <color rgb="FFD5A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lineChart>
        <c:grouping val="standard"/>
        <c:varyColors val="0"/>
        <c:ser>
          <c:idx val="4"/>
          <c:order val="0"/>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-7.9453467335346917E-2</c:v>
                </c:pt>
                <c:pt idx="1">
                  <c:v>3.207800140113324E-3</c:v>
                </c:pt>
                <c:pt idx="2">
                  <c:v>1.8373334738601595E-2</c:v>
                </c:pt>
                <c:pt idx="3">
                  <c:v>2.9273562731264559E-2</c:v>
                </c:pt>
                <c:pt idx="4">
                  <c:v>3.9320729402763217E-2</c:v>
                </c:pt>
                <c:pt idx="5">
                  <c:v>4.8514834753096397E-2</c:v>
                </c:pt>
                <c:pt idx="6">
                  <c:v>5.7045447964745817E-2</c:v>
                </c:pt>
                <c:pt idx="7">
                  <c:v>6.2922092621660305E-2</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3-DF73-164C-A7FE-B1615E4BEABD}"/>
            </c:ext>
          </c:extLst>
        </c:ser>
        <c:ser>
          <c:idx val="5"/>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-7.9453467335346917E-2</c:v>
                </c:pt>
                <c:pt idx="1">
                  <c:v>3.207800140113324E-3</c:v>
                </c:pt>
                <c:pt idx="2">
                  <c:v>1.8373334738601595E-2</c:v>
                </c:pt>
                <c:pt idx="3">
                  <c:v>2.9273562731264559E-2</c:v>
                </c:pt>
                <c:pt idx="4">
                  <c:v>3.9320729402763217E-2</c:v>
                </c:pt>
                <c:pt idx="5">
                  <c:v>4.8514834753096397E-2</c:v>
                </c:pt>
                <c:pt idx="6">
                  <c:v>5.7045447964745817E-2</c:v>
                </c:pt>
                <c:pt idx="7">
                  <c:v>6.2922092621660305E-2</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4-DF73-164C-A7FE-B1615E4BEABD}"/>
            </c:ext>
          </c:extLst>
        </c:ser>
        <c:ser>
          <c:idx val="6"/>
          <c:order val="2"/>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-7.9453467335346917E-2</c:v>
                </c:pt>
                <c:pt idx="1">
                  <c:v>3.207800140113324E-3</c:v>
                </c:pt>
                <c:pt idx="2">
                  <c:v>1.8373334738601595E-2</c:v>
                </c:pt>
                <c:pt idx="3">
                  <c:v>2.9273562731264559E-2</c:v>
                </c:pt>
                <c:pt idx="4">
                  <c:v>3.9320729402763217E-2</c:v>
                </c:pt>
                <c:pt idx="5">
                  <c:v>4.8514834753096397E-2</c:v>
                </c:pt>
                <c:pt idx="6">
                  <c:v>5.7045447964745817E-2</c:v>
                </c:pt>
                <c:pt idx="7">
                  <c:v>6.2922092621660305E-2</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5-DF73-164C-A7FE-B1615E4BEABD}"/>
            </c:ext>
          </c:extLst>
        </c:ser>
        <c:ser>
          <c:idx val="7"/>
          <c:order val="3"/>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-7.9453467335346917E-2</c:v>
                </c:pt>
                <c:pt idx="1">
                  <c:v>3.207800140113324E-3</c:v>
                </c:pt>
                <c:pt idx="2">
                  <c:v>1.8373334738601595E-2</c:v>
                </c:pt>
                <c:pt idx="3">
                  <c:v>2.9273562731264559E-2</c:v>
                </c:pt>
                <c:pt idx="4">
                  <c:v>3.9320729402763217E-2</c:v>
                </c:pt>
                <c:pt idx="5">
                  <c:v>4.8514834753096397E-2</c:v>
                </c:pt>
                <c:pt idx="6">
                  <c:v>5.7045447964745817E-2</c:v>
                </c:pt>
                <c:pt idx="7">
                  <c:v>6.2922092621660305E-2</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6-DF73-164C-A7FE-B1615E4BEABD}"/>
            </c:ext>
          </c:extLst>
        </c:ser>
        <c:ser>
          <c:idx val="2"/>
          <c:order val="4"/>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-7.9453467335346917E-2</c:v>
                </c:pt>
                <c:pt idx="1">
                  <c:v>3.207800140113324E-3</c:v>
                </c:pt>
                <c:pt idx="2">
                  <c:v>1.8373334738601595E-2</c:v>
                </c:pt>
                <c:pt idx="3">
                  <c:v>2.9273562731264559E-2</c:v>
                </c:pt>
                <c:pt idx="4">
                  <c:v>3.9320729402763217E-2</c:v>
                </c:pt>
                <c:pt idx="5">
                  <c:v>4.8514834753096397E-2</c:v>
                </c:pt>
                <c:pt idx="6">
                  <c:v>5.7045447964745817E-2</c:v>
                </c:pt>
                <c:pt idx="7">
                  <c:v>6.2922092621660305E-2</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0C-DF73-164C-A7FE-B1615E4BEABD}"/>
            </c:ext>
          </c:extLst>
        </c:ser>
        <c:ser>
          <c:idx val="3"/>
          <c:order val="5"/>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-7.9453467335346917E-2</c:v>
                </c:pt>
                <c:pt idx="1">
                  <c:v>3.207800140113324E-3</c:v>
                </c:pt>
                <c:pt idx="2">
                  <c:v>1.8373334738601595E-2</c:v>
                </c:pt>
                <c:pt idx="3">
                  <c:v>2.9273562731264559E-2</c:v>
                </c:pt>
                <c:pt idx="4">
                  <c:v>3.9320729402763217E-2</c:v>
                </c:pt>
                <c:pt idx="5">
                  <c:v>4.8514834753096397E-2</c:v>
                </c:pt>
                <c:pt idx="6">
                  <c:v>5.7045447964745817E-2</c:v>
                </c:pt>
                <c:pt idx="7">
                  <c:v>6.2922092621660305E-2</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0E-DF73-164C-A7FE-B1615E4BEABD}"/>
            </c:ext>
          </c:extLst>
        </c:ser>
        <c:ser>
          <c:idx val="1"/>
          <c:order val="6"/>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-7.9453467335346917E-2</c:v>
                </c:pt>
                <c:pt idx="1">
                  <c:v>3.207800140113324E-3</c:v>
                </c:pt>
                <c:pt idx="2">
                  <c:v>1.8373334738601595E-2</c:v>
                </c:pt>
                <c:pt idx="3">
                  <c:v>2.9273562731264559E-2</c:v>
                </c:pt>
                <c:pt idx="4">
                  <c:v>3.9320729402763217E-2</c:v>
                </c:pt>
                <c:pt idx="5">
                  <c:v>4.8514834753096397E-2</c:v>
                </c:pt>
                <c:pt idx="6">
                  <c:v>5.7045447964745817E-2</c:v>
                </c:pt>
                <c:pt idx="7">
                  <c:v>6.2922092621660305E-2</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0-DF73-164C-A7FE-B1615E4BEABD}"/>
            </c:ext>
          </c:extLst>
        </c:ser>
        <c:ser>
          <c:idx val="0"/>
          <c:order val="7"/>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-7.9453467335346917E-2</c:v>
                </c:pt>
                <c:pt idx="1">
                  <c:v>3.207800140113324E-3</c:v>
                </c:pt>
                <c:pt idx="2">
                  <c:v>1.8373334738601595E-2</c:v>
                </c:pt>
                <c:pt idx="3">
                  <c:v>2.9273562731264559E-2</c:v>
                </c:pt>
                <c:pt idx="4">
                  <c:v>3.9320729402763217E-2</c:v>
                </c:pt>
                <c:pt idx="5">
                  <c:v>4.8514834753096397E-2</c:v>
                </c:pt>
                <c:pt idx="6">
                  <c:v>5.7045447964745817E-2</c:v>
                </c:pt>
                <c:pt idx="7">
                  <c:v>6.2922092621660305E-2</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2-DF73-164C-A7FE-B1615E4BEABD}"/>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1"/>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-17726.674835327263</c:v>
                </c:pt>
                <c:pt idx="1">
                  <c:v>715.6846885045743</c:v>
                </c:pt>
                <c:pt idx="2">
                  <c:v>4099.231178636277</c:v>
                </c:pt>
                <c:pt idx="3">
                  <c:v>6531.1552184183311</c:v>
                </c:pt>
                <c:pt idx="4">
                  <c:v>8772.7547681306241</c:v>
                </c:pt>
                <c:pt idx="5">
                  <c:v>10824.029827772894</c:v>
                </c:pt>
                <c:pt idx="6">
                  <c:v>12727.274728471926</c:v>
                </c:pt>
                <c:pt idx="7">
                  <c:v>14038.398993398023</c:v>
                </c:pt>
                <c:pt idx="8">
                  <c:v>31974.890467860259</c:v>
                </c:pt>
                <c:pt idx="9">
                  <c:v>33137.984573843059</c:v>
                </c:pt>
                <c:pt idx="10">
                  <c:v>34216.49001757252</c:v>
                </c:pt>
                <c:pt idx="11">
                  <c:v>35231.553964611972</c:v>
                </c:pt>
                <c:pt idx="12">
                  <c:v>36204.323580524811</c:v>
                </c:pt>
                <c:pt idx="13">
                  <c:v>37113.651699747701</c:v>
                </c:pt>
                <c:pt idx="14">
                  <c:v>37959.538322280612</c:v>
                </c:pt>
              </c:numCache>
            </c:numRef>
          </c:val>
          <c:smooth val="0"/>
          <c:extLst>
            <c:ext xmlns:c16="http://schemas.microsoft.com/office/drawing/2014/chart" uri="{C3380CC4-5D6E-409C-BE32-E72D297353CC}">
              <c16:uniqueId val="{00000006-0C28-9F4B-9780-F1E5457B4407}"/>
            </c:ext>
          </c:extLst>
        </c:ser>
        <c:ser>
          <c:idx val="0"/>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-17726.674835327263</c:v>
                </c:pt>
                <c:pt idx="1">
                  <c:v>715.6846885045743</c:v>
                </c:pt>
                <c:pt idx="2">
                  <c:v>4099.231178636277</c:v>
                </c:pt>
                <c:pt idx="3">
                  <c:v>6531.1552184183311</c:v>
                </c:pt>
                <c:pt idx="4">
                  <c:v>8772.7547681306241</c:v>
                </c:pt>
                <c:pt idx="5">
                  <c:v>10824.029827772894</c:v>
                </c:pt>
                <c:pt idx="6">
                  <c:v>12727.274728471926</c:v>
                </c:pt>
                <c:pt idx="7">
                  <c:v>14038.398993398023</c:v>
                </c:pt>
                <c:pt idx="8">
                  <c:v>31974.890467860259</c:v>
                </c:pt>
                <c:pt idx="9">
                  <c:v>33137.984573843059</c:v>
                </c:pt>
                <c:pt idx="10">
                  <c:v>34216.49001757252</c:v>
                </c:pt>
                <c:pt idx="11">
                  <c:v>35231.553964611972</c:v>
                </c:pt>
                <c:pt idx="12">
                  <c:v>36204.323580524811</c:v>
                </c:pt>
                <c:pt idx="13">
                  <c:v>37113.651699747701</c:v>
                </c:pt>
                <c:pt idx="14">
                  <c:v>37959.538322280612</c:v>
                </c:pt>
              </c:numCache>
            </c:numRef>
          </c:val>
          <c:smooth val="0"/>
          <c:extLst>
            <c:ext xmlns:c16="http://schemas.microsoft.com/office/drawing/2014/chart" uri="{C3380CC4-5D6E-409C-BE32-E72D297353CC}">
              <c16:uniqueId val="{00000005-0C28-9F4B-9780-F1E5457B4407}"/>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Net Profit</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Operating</a:t>
            </a:r>
            <a:r>
              <a:rPr lang="en-GB" baseline="0"/>
              <a:t> Cost Projections</a:t>
            </a:r>
            <a:endParaRPr lang="en-GB"/>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Summary!$D$10:$R$10</c:f>
              <c:numCache>
                <c:formatCode>_("£"* #,##0.00_);_("£"* \(#,##0.00\);_("£"* "-"??_);_(@_)</c:formatCode>
                <c:ptCount val="15"/>
                <c:pt idx="0">
                  <c:v>75210</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1-571D-DE4E-AEDB-8612D3C4D7D5}"/>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Costs</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0"/>
          <c:order val="0"/>
          <c:tx>
            <c:v>Net Profit</c:v>
          </c:tx>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-17726.674835327263</c:v>
                </c:pt>
                <c:pt idx="1">
                  <c:v>715.6846885045743</c:v>
                </c:pt>
                <c:pt idx="2">
                  <c:v>4099.231178636277</c:v>
                </c:pt>
                <c:pt idx="3">
                  <c:v>6531.1552184183311</c:v>
                </c:pt>
                <c:pt idx="4">
                  <c:v>8772.7547681306241</c:v>
                </c:pt>
                <c:pt idx="5">
                  <c:v>10824.029827772894</c:v>
                </c:pt>
                <c:pt idx="6">
                  <c:v>12727.274728471926</c:v>
                </c:pt>
                <c:pt idx="7">
                  <c:v>14038.398993398023</c:v>
                </c:pt>
                <c:pt idx="8">
                  <c:v>31974.890467860259</c:v>
                </c:pt>
                <c:pt idx="9">
                  <c:v>33137.984573843059</c:v>
                </c:pt>
                <c:pt idx="10">
                  <c:v>34216.49001757252</c:v>
                </c:pt>
                <c:pt idx="11">
                  <c:v>35231.553964611972</c:v>
                </c:pt>
                <c:pt idx="12">
                  <c:v>36204.323580524811</c:v>
                </c:pt>
                <c:pt idx="13">
                  <c:v>37113.651699747701</c:v>
                </c:pt>
                <c:pt idx="14">
                  <c:v>37959.538322280612</c:v>
                </c:pt>
              </c:numCache>
            </c:numRef>
          </c:val>
          <c:smooth val="0"/>
          <c:extLst>
            <c:ext xmlns:c16="http://schemas.microsoft.com/office/drawing/2014/chart" uri="{C3380CC4-5D6E-409C-BE32-E72D297353CC}">
              <c16:uniqueId val="{00000001-90FB-474E-B267-A30C2BC992A3}"/>
            </c:ext>
          </c:extLst>
        </c:ser>
        <c:ser>
          <c:idx val="1"/>
          <c:order val="1"/>
          <c:tx>
            <c:v>Gross Revenue</c:v>
          </c:tx>
          <c:marker>
            <c:symbol val="none"/>
          </c:marker>
          <c:val>
            <c:numRef>
              <c:f>Summary!$D$6:$R$6</c:f>
              <c:numCache>
                <c:formatCode>_("£"* #,##0.00_);_("£"* \(#,##0.00\);_("£"* "-"??_);_(@_)</c:formatCode>
                <c:ptCount val="15"/>
                <c:pt idx="0">
                  <c:v>124307.24614000942</c:v>
                </c:pt>
                <c:pt idx="1">
                  <c:v>244160.53625738036</c:v>
                </c:pt>
                <c:pt idx="2">
                  <c:v>248624.39601231203</c:v>
                </c:pt>
                <c:pt idx="3">
                  <c:v>251832.79521116908</c:v>
                </c:pt>
                <c:pt idx="4">
                  <c:v>254790.10229881137</c:v>
                </c:pt>
                <c:pt idx="5">
                  <c:v>257496.31727523863</c:v>
                </c:pt>
                <c:pt idx="6">
                  <c:v>260007.23838738768</c:v>
                </c:pt>
                <c:pt idx="7">
                  <c:v>261736.98404242378</c:v>
                </c:pt>
                <c:pt idx="8">
                  <c:v>263355.13320358645</c:v>
                </c:pt>
                <c:pt idx="9">
                  <c:v>264889.58499434427</c:v>
                </c:pt>
                <c:pt idx="10">
                  <c:v>266312.4402912287</c:v>
                </c:pt>
                <c:pt idx="11">
                  <c:v>267651.59821770818</c:v>
                </c:pt>
                <c:pt idx="12">
                  <c:v>268934.95789725101</c:v>
                </c:pt>
                <c:pt idx="13">
                  <c:v>270134.62020638888</c:v>
                </c:pt>
                <c:pt idx="14">
                  <c:v>271250.58514512179</c:v>
                </c:pt>
              </c:numCache>
            </c:numRef>
          </c:val>
          <c:smooth val="0"/>
          <c:extLst>
            <c:ext xmlns:c16="http://schemas.microsoft.com/office/drawing/2014/chart" uri="{C3380CC4-5D6E-409C-BE32-E72D297353CC}">
              <c16:uniqueId val="{00000002-90FB-474E-B267-A30C2BC992A3}"/>
            </c:ext>
          </c:extLst>
        </c:ser>
        <c:ser>
          <c:idx val="2"/>
          <c:order val="2"/>
          <c:tx>
            <c:v>OpEx</c:v>
          </c:tx>
          <c:marker>
            <c:symbol val="none"/>
          </c:marker>
          <c:val>
            <c:numRef>
              <c:f>Summary!$D$10:$R$10</c:f>
              <c:numCache>
                <c:formatCode>_("£"* #,##0.00_);_("£"* \(#,##0.00\);_("£"* "-"??_);_(@_)</c:formatCode>
                <c:ptCount val="15"/>
                <c:pt idx="0">
                  <c:v>75210</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3-90FB-474E-B267-A30C2BC992A3}"/>
            </c:ext>
          </c:extLst>
        </c:ser>
        <c:ser>
          <c:idx val="3"/>
          <c:order val="3"/>
          <c:tx>
            <c:v>COGS</c:v>
          </c:tx>
          <c:marker>
            <c:symbol val="none"/>
          </c:marker>
          <c:val>
            <c:numRef>
              <c:f>Summary!$D$7:$R$7</c:f>
              <c:numCache>
                <c:formatCode>_("£"* #,##0.00_);_("£"* \(#,##0.00\);_("£"* "-"??_);_(@_)</c:formatCode>
                <c:ptCount val="15"/>
                <c:pt idx="0">
                  <c:v>39967.780947032166</c:v>
                </c:pt>
                <c:pt idx="1">
                  <c:v>96630.077384056305</c:v>
                </c:pt>
                <c:pt idx="2">
                  <c:v>97710.390648856308</c:v>
                </c:pt>
                <c:pt idx="3">
                  <c:v>98486.865807931288</c:v>
                </c:pt>
                <c:pt idx="4">
                  <c:v>99202.573345861296</c:v>
                </c:pt>
                <c:pt idx="5">
                  <c:v>99857.513262646287</c:v>
                </c:pt>
                <c:pt idx="6">
                  <c:v>100465.18947409629</c:v>
                </c:pt>
                <c:pt idx="7">
                  <c:v>100883.8108642063</c:v>
                </c:pt>
                <c:pt idx="8">
                  <c:v>101275.42442269629</c:v>
                </c:pt>
                <c:pt idx="9">
                  <c:v>101646.7821074713</c:v>
                </c:pt>
                <c:pt idx="10">
                  <c:v>101991.1319606263</c:v>
                </c:pt>
                <c:pt idx="11">
                  <c:v>102315.2259400663</c:v>
                </c:pt>
                <c:pt idx="12">
                  <c:v>102625.81600369629</c:v>
                </c:pt>
                <c:pt idx="13">
                  <c:v>102916.15019361129</c:v>
                </c:pt>
                <c:pt idx="14">
                  <c:v>103186.22850981129</c:v>
                </c:pt>
              </c:numCache>
            </c:numRef>
          </c:val>
          <c:smooth val="0"/>
          <c:extLst>
            <c:ext xmlns:c16="http://schemas.microsoft.com/office/drawing/2014/chart" uri="{C3380CC4-5D6E-409C-BE32-E72D297353CC}">
              <c16:uniqueId val="{00000004-90FB-474E-B267-A30C2BC992A3}"/>
            </c:ext>
          </c:extLst>
        </c:ser>
        <c:ser>
          <c:idx val="4"/>
          <c:order val="4"/>
          <c:tx>
            <c:v>EDITBA</c:v>
          </c:tx>
          <c:marker>
            <c:symbol val="none"/>
          </c:marker>
          <c:val>
            <c:numRef>
              <c:f>Summary!$D$12:$R$12</c:f>
              <c:numCache>
                <c:formatCode>_("£"* #,##0.00_);_("£"* \(#,##0.00\);_("£"* "-"??_);_(@_)</c:formatCode>
                <c:ptCount val="15"/>
                <c:pt idx="0">
                  <c:v>9129.4651929772517</c:v>
                </c:pt>
                <c:pt idx="1">
                  <c:v>37718.008873324041</c:v>
                </c:pt>
                <c:pt idx="2">
                  <c:v>41101.555363455744</c:v>
                </c:pt>
                <c:pt idx="3">
                  <c:v>43533.479403237798</c:v>
                </c:pt>
                <c:pt idx="4">
                  <c:v>45775.078952950091</c:v>
                </c:pt>
                <c:pt idx="5">
                  <c:v>47826.354012592361</c:v>
                </c:pt>
                <c:pt idx="6">
                  <c:v>49729.598913291396</c:v>
                </c:pt>
                <c:pt idx="7">
                  <c:v>51040.723178217493</c:v>
                </c:pt>
                <c:pt idx="8">
                  <c:v>52267.258780890159</c:v>
                </c:pt>
                <c:pt idx="9">
                  <c:v>53430.352886872963</c:v>
                </c:pt>
                <c:pt idx="10">
                  <c:v>54508.858330602423</c:v>
                </c:pt>
                <c:pt idx="11">
                  <c:v>55523.922277641876</c:v>
                </c:pt>
                <c:pt idx="12">
                  <c:v>56496.691893554715</c:v>
                </c:pt>
                <c:pt idx="13">
                  <c:v>57406.020012777604</c:v>
                </c:pt>
                <c:pt idx="14">
                  <c:v>58251.906635310515</c:v>
                </c:pt>
              </c:numCache>
            </c:numRef>
          </c:val>
          <c:smooth val="0"/>
          <c:extLst>
            <c:ext xmlns:c16="http://schemas.microsoft.com/office/drawing/2014/chart" uri="{C3380CC4-5D6E-409C-BE32-E72D297353CC}">
              <c16:uniqueId val="{00000005-90FB-474E-B267-A30C2BC992A3}"/>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Finance</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OpEx + COGS (Full-scale 2nd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1"/>
          <c:order val="0"/>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DA-F74E-8860-794B1DDB56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5DA-F74E-8860-794B1DDB56F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5DA-F74E-8860-794B1DDB56F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6696-834F-89EE-CD1024A43636}"/>
              </c:ext>
            </c:extLst>
          </c:dPt>
          <c:dLbls>
            <c:dLbl>
              <c:idx val="1"/>
              <c:layout>
                <c:manualLayout>
                  <c:x val="-0.20621576390352103"/>
                  <c:y val="-2.32082449504888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6696-834F-89EE-CD1024A43636}"/>
                </c:ext>
              </c:extLst>
            </c:dLbl>
            <c:dLbl>
              <c:idx val="2"/>
              <c:layout>
                <c:manualLayout>
                  <c:x val="-0.21866378496702496"/>
                  <c:y val="-4.869395977300168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6696-834F-89EE-CD1024A43636}"/>
                </c:ext>
              </c:extLst>
            </c:dLbl>
            <c:dLbl>
              <c:idx val="4"/>
              <c:layout>
                <c:manualLayout>
                  <c:x val="-0.23665409861910369"/>
                  <c:y val="-0.1205388043091022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6696-834F-89EE-CD1024A43636}"/>
                </c:ext>
              </c:extLst>
            </c:dLbl>
            <c:dLbl>
              <c:idx val="5"/>
              <c:layout>
                <c:manualLayout>
                  <c:x val="-0.18967075411576051"/>
                  <c:y val="-0.135765727900066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6696-834F-89EE-CD1024A43636}"/>
                </c:ext>
              </c:extLst>
            </c:dLbl>
            <c:dLbl>
              <c:idx val="6"/>
              <c:layout>
                <c:manualLayout>
                  <c:x val="-0.19051406409095981"/>
                  <c:y val="-8.36327188771522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6696-834F-89EE-CD1024A43636}"/>
                </c:ext>
              </c:extLst>
            </c:dLbl>
            <c:dLbl>
              <c:idx val="8"/>
              <c:layout>
                <c:manualLayout>
                  <c:x val="0.20331069715319813"/>
                  <c:y val="0.2458181505566855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6696-834F-89EE-CD1024A43636}"/>
                </c:ext>
              </c:extLst>
            </c:dLbl>
            <c:dLbl>
              <c:idx val="9"/>
              <c:layout>
                <c:manualLayout>
                  <c:x val="0.15311595407455725"/>
                  <c:y val="0.19334382706885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6696-834F-89EE-CD1024A43636}"/>
                </c:ext>
              </c:extLst>
            </c:dLbl>
            <c:dLbl>
              <c:idx val="10"/>
              <c:layout>
                <c:manualLayout>
                  <c:x val="0.12460575483023559"/>
                  <c:y val="0.2531164159874655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6696-834F-89EE-CD1024A4363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18000</c:v>
                </c:pt>
                <c:pt idx="1">
                  <c:v>5735.3623070004733</c:v>
                </c:pt>
                <c:pt idx="2">
                  <c:v>56723.198359905007</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2-6696-834F-89EE-CD1024A43636}"/>
            </c:ext>
          </c:extLst>
        </c:ser>
        <c:ser>
          <c:idx val="0"/>
          <c:order val="1"/>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6696-834F-89EE-CD1024A436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6696-834F-89EE-CD1024A4363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6696-834F-89EE-CD1024A4363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6696-834F-89EE-CD1024A4363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696-834F-89EE-CD1024A43636}"/>
                </c:ext>
              </c:extLst>
            </c:dLbl>
            <c:dLbl>
              <c:idx val="2"/>
              <c:layout>
                <c:manualLayout>
                  <c:x val="-0.23259430448166851"/>
                  <c:y val="-3.96558161023852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696-834F-89EE-CD1024A43636}"/>
                </c:ext>
              </c:extLst>
            </c:dLbl>
            <c:dLbl>
              <c:idx val="3"/>
              <c:layout>
                <c:manualLayout>
                  <c:x val="-0.24106739090742926"/>
                  <c:y val="-4.93790083633430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696-834F-89EE-CD1024A43636}"/>
                </c:ext>
              </c:extLst>
            </c:dLbl>
            <c:dLbl>
              <c:idx val="4"/>
              <c:layout>
                <c:manualLayout>
                  <c:x val="-0.24425256380890917"/>
                  <c:y val="-0.10969303190436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696-834F-89EE-CD1024A43636}"/>
                </c:ext>
              </c:extLst>
            </c:dLbl>
            <c:dLbl>
              <c:idx val="5"/>
              <c:layout>
                <c:manualLayout>
                  <c:x val="-0.2213310257399505"/>
                  <c:y val="-0.1303428416976964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6696-834F-89EE-CD1024A4363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6696-834F-89EE-CD1024A4363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6696-834F-89EE-CD1024A4363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1E-6696-834F-89EE-CD1024A4363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6696-834F-89EE-CD1024A4363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18000</c:v>
                </c:pt>
                <c:pt idx="1">
                  <c:v>5735.3623070004733</c:v>
                </c:pt>
                <c:pt idx="2">
                  <c:v>56723.198359905007</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1-6696-834F-89EE-CD1024A4363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Streams (Full-scale 2nd-year)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v>Revenue Streams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2A7F-2A4C-AA57-68E9DA96BE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2A7F-2A4C-AA57-68E9DA96BE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2A7F-2A4C-AA57-68E9DA96BE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2A7F-2A4C-AA57-68E9DA96BE4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2A7F-2A4C-AA57-68E9DA96BE4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2A7F-2A4C-AA57-68E9DA96BE4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2A7F-2A4C-AA57-68E9DA96BE4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2A7F-2A4C-AA57-68E9DA96BE4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2A7F-2A4C-AA57-68E9DA96BE4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2A7F-2A4C-AA57-68E9DA96BE4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C-2A7F-2A4C-AA57-68E9DA96BE4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A-2A7F-2A4C-AA57-68E9DA96BE46}"/>
                </c:ext>
              </c:extLst>
            </c:dLbl>
            <c:dLbl>
              <c:idx val="2"/>
              <c:layout>
                <c:manualLayout>
                  <c:x val="0.1006046762869352"/>
                  <c:y val="0.117607883766341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2A7F-2A4C-AA57-68E9DA96BE46}"/>
                </c:ext>
              </c:extLst>
            </c:dLbl>
            <c:dLbl>
              <c:idx val="3"/>
              <c:layout>
                <c:manualLayout>
                  <c:x val="8.4155494911870264E-3"/>
                  <c:y val="5.260356182567085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E-2A7F-2A4C-AA57-68E9DA96BE46}"/>
                </c:ext>
              </c:extLst>
            </c:dLbl>
            <c:dLbl>
              <c:idx val="4"/>
              <c:layout>
                <c:manualLayout>
                  <c:x val="0.2825743560176105"/>
                  <c:y val="0.108881876301546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A7F-2A4C-AA57-68E9DA96BE46}"/>
                </c:ext>
              </c:extLst>
            </c:dLbl>
            <c:dLbl>
              <c:idx val="5"/>
              <c:layout>
                <c:manualLayout>
                  <c:x val="0.28396690938212016"/>
                  <c:y val="5.28453855437240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2-2A7F-2A4C-AA57-68E9DA96BE4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2A7F-2A4C-AA57-68E9DA96BE4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2A7F-2A4C-AA57-68E9DA96BE4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2A-2A7F-2A4C-AA57-68E9DA96BE4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C-2A7F-2A4C-AA57-68E9DA96BE4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Overview!$A$75:$A$80</c:f>
              <c:strCache>
                <c:ptCount val="6"/>
                <c:pt idx="0">
                  <c:v>Produce Sales</c:v>
                </c:pt>
                <c:pt idx="1">
                  <c:v>Value-Added Products</c:v>
                </c:pt>
                <c:pt idx="2">
                  <c:v>Education</c:v>
                </c:pt>
                <c:pt idx="3">
                  <c:v>Tourism</c:v>
                </c:pt>
                <c:pt idx="4">
                  <c:v>Hospitality</c:v>
                </c:pt>
                <c:pt idx="5">
                  <c:v>Grants and Crowdfunding</c:v>
                </c:pt>
              </c:strCache>
            </c:strRef>
          </c:cat>
          <c:val>
            <c:numRef>
              <c:f>Overview!$I$75:$I$80</c:f>
              <c:numCache>
                <c:formatCode>_-[$£-809]* #,##0.00_-;\-[$£-809]* #,##0.00_-;_-[$£-809]* "-"??_-;_-@_-</c:formatCode>
                <c:ptCount val="6"/>
                <c:pt idx="0">
                  <c:v>234380.53625738036</c:v>
                </c:pt>
                <c:pt idx="1">
                  <c:v>600</c:v>
                </c:pt>
                <c:pt idx="2">
                  <c:v>7200</c:v>
                </c:pt>
                <c:pt idx="3">
                  <c:v>1980</c:v>
                </c:pt>
                <c:pt idx="4">
                  <c:v>0</c:v>
                </c:pt>
              </c:numCache>
            </c:numRef>
          </c:val>
          <c:extLst>
            <c:ext xmlns:c16="http://schemas.microsoft.com/office/drawing/2014/chart" uri="{C3380CC4-5D6E-409C-BE32-E72D297353CC}">
              <c16:uniqueId val="{0000002D-2A7F-2A4C-AA57-68E9DA96BE4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Productivity Metrics Targets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645365525835355"/>
          <c:y val="0.12827881847788195"/>
          <c:w val="0.54195214657492119"/>
          <c:h val="0.69789952402058075"/>
        </c:manualLayout>
      </c:layout>
      <c:radarChart>
        <c:radarStyle val="marker"/>
        <c:varyColors val="0"/>
        <c:ser>
          <c:idx val="0"/>
          <c:order val="0"/>
          <c:tx>
            <c:v>Productivity Metrics</c:v>
          </c:tx>
          <c:spPr>
            <a:ln w="28575" cap="rnd">
              <a:solidFill>
                <a:schemeClr val="accent1"/>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Overview!$K$46:$K$55</c:f>
              <c:numCache>
                <c:formatCode>General</c:formatCode>
                <c:ptCount val="10"/>
                <c:pt idx="0">
                  <c:v>0.65184201819348098</c:v>
                </c:pt>
                <c:pt idx="1">
                  <c:v>0.51366499546627742</c:v>
                </c:pt>
                <c:pt idx="2">
                  <c:v>0.62050345962648679</c:v>
                </c:pt>
                <c:pt idx="3">
                  <c:v>0.62074609021209182</c:v>
                </c:pt>
                <c:pt idx="4">
                  <c:v>1.5874960511084037E-2</c:v>
                </c:pt>
                <c:pt idx="5">
                  <c:v>0.64244045062338273</c:v>
                </c:pt>
                <c:pt idx="6">
                  <c:v>0.25410989175010196</c:v>
                </c:pt>
                <c:pt idx="7">
                  <c:v>0.9022472241454822</c:v>
                </c:pt>
                <c:pt idx="8">
                  <c:v>-0.3185344886939368</c:v>
                </c:pt>
                <c:pt idx="9">
                  <c:v>1.0097648469642859</c:v>
                </c:pt>
              </c:numCache>
            </c:numRef>
          </c:val>
          <c:extLst>
            <c:ext xmlns:c16="http://schemas.microsoft.com/office/drawing/2014/chart" uri="{C3380CC4-5D6E-409C-BE32-E72D297353CC}">
              <c16:uniqueId val="{00000000-D2B9-C74F-8AFD-372F2393E2FE}"/>
            </c:ext>
          </c:extLst>
        </c:ser>
        <c:ser>
          <c:idx val="1"/>
          <c:order val="1"/>
          <c:tx>
            <c:v>Targets</c:v>
          </c:tx>
          <c:spPr>
            <a:ln w="28575" cap="rnd">
              <a:solidFill>
                <a:schemeClr val="accent2"/>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Overview!$L$46:$L$55</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2-D2B9-C74F-8AFD-372F2393E2FE}"/>
            </c:ext>
          </c:extLst>
        </c:ser>
        <c:dLbls>
          <c:showLegendKey val="0"/>
          <c:showVal val="0"/>
          <c:showCatName val="0"/>
          <c:showSerName val="0"/>
          <c:showPercent val="0"/>
          <c:showBubbleSize val="0"/>
        </c:dLbls>
        <c:axId val="1839899391"/>
        <c:axId val="1839568063"/>
      </c:radarChart>
      <c:catAx>
        <c:axId val="183989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68063"/>
        <c:crosses val="autoZero"/>
        <c:auto val="1"/>
        <c:lblAlgn val="ctr"/>
        <c:lblOffset val="100"/>
        <c:noMultiLvlLbl val="0"/>
      </c:catAx>
      <c:valAx>
        <c:axId val="18395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536864</xdr:colOff>
      <xdr:row>22</xdr:row>
      <xdr:rowOff>163945</xdr:rowOff>
    </xdr:from>
    <xdr:to>
      <xdr:col>6</xdr:col>
      <xdr:colOff>1085273</xdr:colOff>
      <xdr:row>38</xdr:row>
      <xdr:rowOff>184727</xdr:rowOff>
    </xdr:to>
    <xdr:graphicFrame macro="">
      <xdr:nvGraphicFramePr>
        <xdr:cNvPr id="3" name="Chart 2">
          <a:extLst>
            <a:ext uri="{FF2B5EF4-FFF2-40B4-BE49-F238E27FC236}">
              <a16:creationId xmlns:a16="http://schemas.microsoft.com/office/drawing/2014/main" id="{46A81072-0DC7-FB4D-9920-F46528EEF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681182</xdr:colOff>
      <xdr:row>22</xdr:row>
      <xdr:rowOff>161637</xdr:rowOff>
    </xdr:from>
    <xdr:to>
      <xdr:col>11</xdr:col>
      <xdr:colOff>548409</xdr:colOff>
      <xdr:row>38</xdr:row>
      <xdr:rowOff>182419</xdr:rowOff>
    </xdr:to>
    <xdr:graphicFrame macro="">
      <xdr:nvGraphicFramePr>
        <xdr:cNvPr id="4" name="Chart 3">
          <a:extLst>
            <a:ext uri="{FF2B5EF4-FFF2-40B4-BE49-F238E27FC236}">
              <a16:creationId xmlns:a16="http://schemas.microsoft.com/office/drawing/2014/main" id="{26D8E216-396E-914E-98F3-68FD4FAA1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1062181</xdr:colOff>
      <xdr:row>23</xdr:row>
      <xdr:rowOff>0</xdr:rowOff>
    </xdr:from>
    <xdr:to>
      <xdr:col>15</xdr:col>
      <xdr:colOff>929409</xdr:colOff>
      <xdr:row>39</xdr:row>
      <xdr:rowOff>20782</xdr:rowOff>
    </xdr:to>
    <xdr:graphicFrame macro="">
      <xdr:nvGraphicFramePr>
        <xdr:cNvPr id="5" name="Chart 4">
          <a:extLst>
            <a:ext uri="{FF2B5EF4-FFF2-40B4-BE49-F238E27FC236}">
              <a16:creationId xmlns:a16="http://schemas.microsoft.com/office/drawing/2014/main" id="{7048541E-7AC8-AB41-8F50-28F5737D6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1073728</xdr:colOff>
      <xdr:row>40</xdr:row>
      <xdr:rowOff>11546</xdr:rowOff>
    </xdr:from>
    <xdr:to>
      <xdr:col>14</xdr:col>
      <xdr:colOff>381000</xdr:colOff>
      <xdr:row>60</xdr:row>
      <xdr:rowOff>23091</xdr:rowOff>
    </xdr:to>
    <xdr:graphicFrame macro="">
      <xdr:nvGraphicFramePr>
        <xdr:cNvPr id="8" name="Chart 7">
          <a:extLst>
            <a:ext uri="{FF2B5EF4-FFF2-40B4-BE49-F238E27FC236}">
              <a16:creationId xmlns:a16="http://schemas.microsoft.com/office/drawing/2014/main" id="{45F76D98-FF3F-FB49-A519-109B69DD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586063</xdr:colOff>
      <xdr:row>85</xdr:row>
      <xdr:rowOff>1</xdr:rowOff>
    </xdr:from>
    <xdr:to>
      <xdr:col>31</xdr:col>
      <xdr:colOff>652477</xdr:colOff>
      <xdr:row>127</xdr:row>
      <xdr:rowOff>93211</xdr:rowOff>
    </xdr:to>
    <xdr:graphicFrame macro="">
      <xdr:nvGraphicFramePr>
        <xdr:cNvPr id="16" name="Chart 15">
          <a:extLst>
            <a:ext uri="{FF2B5EF4-FFF2-40B4-BE49-F238E27FC236}">
              <a16:creationId xmlns:a16="http://schemas.microsoft.com/office/drawing/2014/main" id="{FDDB2642-0A9D-6D42-A992-CC3B7BCD1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570917</xdr:colOff>
      <xdr:row>43</xdr:row>
      <xdr:rowOff>58258</xdr:rowOff>
    </xdr:from>
    <xdr:to>
      <xdr:col>31</xdr:col>
      <xdr:colOff>637331</xdr:colOff>
      <xdr:row>82</xdr:row>
      <xdr:rowOff>174771</xdr:rowOff>
    </xdr:to>
    <xdr:graphicFrame macro="">
      <xdr:nvGraphicFramePr>
        <xdr:cNvPr id="17" name="Chart 16">
          <a:extLst>
            <a:ext uri="{FF2B5EF4-FFF2-40B4-BE49-F238E27FC236}">
              <a16:creationId xmlns:a16="http://schemas.microsoft.com/office/drawing/2014/main" id="{2A05F7DF-E994-AD43-94AC-0091C78A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766659</xdr:colOff>
      <xdr:row>28</xdr:row>
      <xdr:rowOff>116514</xdr:rowOff>
    </xdr:from>
    <xdr:to>
      <xdr:col>19</xdr:col>
      <xdr:colOff>302935</xdr:colOff>
      <xdr:row>57</xdr:row>
      <xdr:rowOff>58258</xdr:rowOff>
    </xdr:to>
    <xdr:graphicFrame macro="">
      <xdr:nvGraphicFramePr>
        <xdr:cNvPr id="8" name="Chart 7">
          <a:extLst>
            <a:ext uri="{FF2B5EF4-FFF2-40B4-BE49-F238E27FC236}">
              <a16:creationId xmlns:a16="http://schemas.microsoft.com/office/drawing/2014/main" id="{294254A3-69D9-564B-9E16-62BF4E993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intravisiongroup.com/spectra-blades" TargetMode="External"/><Relationship Id="rId13" Type="http://schemas.openxmlformats.org/officeDocument/2006/relationships/hyperlink" Target="https://www.intravisiongroup.com/spectra-blades" TargetMode="External"/><Relationship Id="rId18" Type="http://schemas.openxmlformats.org/officeDocument/2006/relationships/hyperlink" Target="https://www.lighting.philips.co.uk/products/horticulture/products/greenpower-led-production-module" TargetMode="External"/><Relationship Id="rId26" Type="http://schemas.openxmlformats.org/officeDocument/2006/relationships/hyperlink" Target="https://urbancropsolutions.com/" TargetMode="External"/><Relationship Id="rId3" Type="http://schemas.openxmlformats.org/officeDocument/2006/relationships/hyperlink" Target="https://fluence.science/products/spydr-series/" TargetMode="External"/><Relationship Id="rId21" Type="http://schemas.openxmlformats.org/officeDocument/2006/relationships/hyperlink" Target="https://zipgrow.com/" TargetMode="External"/><Relationship Id="rId7" Type="http://schemas.openxmlformats.org/officeDocument/2006/relationships/hyperlink" Target="https://illumitex.com/" TargetMode="External"/><Relationship Id="rId12" Type="http://schemas.openxmlformats.org/officeDocument/2006/relationships/hyperlink" Target="https://www.intravisiongroup.com/spectra-blades" TargetMode="External"/><Relationship Id="rId17" Type="http://schemas.openxmlformats.org/officeDocument/2006/relationships/hyperlink" Target="https://www.lighting.philips.co.uk/products/horticulture/products/greenpower-led-production-module" TargetMode="External"/><Relationship Id="rId25" Type="http://schemas.openxmlformats.org/officeDocument/2006/relationships/hyperlink" Target="https://www.lettusgrow.com/" TargetMode="External"/><Relationship Id="rId2" Type="http://schemas.openxmlformats.org/officeDocument/2006/relationships/hyperlink" Target="https://fluence.science/products/razr-series/" TargetMode="External"/><Relationship Id="rId16" Type="http://schemas.openxmlformats.org/officeDocument/2006/relationships/hyperlink" Target="https://www.maxlite.com/products/led-solutions/list/" TargetMode="External"/><Relationship Id="rId20" Type="http://schemas.openxmlformats.org/officeDocument/2006/relationships/hyperlink" Target="https://www.lighting.philips.co.uk/products/horticulture/products/greenpower-led-production-module" TargetMode="External"/><Relationship Id="rId29" Type="http://schemas.openxmlformats.org/officeDocument/2006/relationships/hyperlink" Target="https://netled.fi/vertical-farming-vera/" TargetMode="External"/><Relationship Id="rId1" Type="http://schemas.openxmlformats.org/officeDocument/2006/relationships/hyperlink" Target="http://www.liberty-produce.com/" TargetMode="External"/><Relationship Id="rId6" Type="http://schemas.openxmlformats.org/officeDocument/2006/relationships/hyperlink" Target="https://products.gecurrent.com/eu/horticulture-led-grow-lights?src=homepage-tile-eu" TargetMode="External"/><Relationship Id="rId11" Type="http://schemas.openxmlformats.org/officeDocument/2006/relationships/hyperlink" Target="https://www.intravisiongroup.com/spectra-blades" TargetMode="External"/><Relationship Id="rId24" Type="http://schemas.openxmlformats.org/officeDocument/2006/relationships/hyperlink" Target="https://www.montel.com/en/markets/vertical-farming-systems" TargetMode="External"/><Relationship Id="rId5" Type="http://schemas.openxmlformats.org/officeDocument/2006/relationships/hyperlink" Target="https://products.gecurrent.com/eu/horticulture-led-grow-lights?src=homepage-tile-eu" TargetMode="External"/><Relationship Id="rId15" Type="http://schemas.openxmlformats.org/officeDocument/2006/relationships/hyperlink" Target="https://www.maxlite.com/products/led-solutions/list/" TargetMode="External"/><Relationship Id="rId23" Type="http://schemas.openxmlformats.org/officeDocument/2006/relationships/hyperlink" Target="https://www.intravisiongroup.com/gravity-flow" TargetMode="External"/><Relationship Id="rId28" Type="http://schemas.openxmlformats.org/officeDocument/2006/relationships/hyperlink" Target="https://miraigroup.jp/en/" TargetMode="External"/><Relationship Id="rId10" Type="http://schemas.openxmlformats.org/officeDocument/2006/relationships/hyperlink" Target="https://www.intravisiongroup.com/spectra-blades" TargetMode="External"/><Relationship Id="rId19" Type="http://schemas.openxmlformats.org/officeDocument/2006/relationships/hyperlink" Target="https://www.lighting.philips.co.uk/products/horticulture/products/greenpower-led-production-module" TargetMode="External"/><Relationship Id="rId31" Type="http://schemas.openxmlformats.org/officeDocument/2006/relationships/comments" Target="../comments4.xml"/><Relationship Id="rId4" Type="http://schemas.openxmlformats.org/officeDocument/2006/relationships/hyperlink" Target="https://fluence.science/products/spydr-series/" TargetMode="External"/><Relationship Id="rId9" Type="http://schemas.openxmlformats.org/officeDocument/2006/relationships/hyperlink" Target="https://www.intravisiongroup.com/spectra-blades" TargetMode="External"/><Relationship Id="rId14" Type="http://schemas.openxmlformats.org/officeDocument/2006/relationships/hyperlink" Target="https://www.lumigrow.com/" TargetMode="External"/><Relationship Id="rId22" Type="http://schemas.openxmlformats.org/officeDocument/2006/relationships/hyperlink" Target="https://v-farm.co.uk/" TargetMode="External"/><Relationship Id="rId27" Type="http://schemas.openxmlformats.org/officeDocument/2006/relationships/hyperlink" Target="https://www.freightfarms.com/" TargetMode="External"/><Relationship Id="rId30"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1FB0-CD2F-E14E-8300-C92D3DA9F93F}">
  <dimension ref="A1:B118"/>
  <sheetViews>
    <sheetView zoomScale="96" workbookViewId="0">
      <selection activeCell="A23" sqref="A23"/>
    </sheetView>
  </sheetViews>
  <sheetFormatPr baseColWidth="10" defaultRowHeight="13"/>
  <cols>
    <col min="1" max="1" width="26.6640625" bestFit="1" customWidth="1"/>
    <col min="2" max="2" width="36.5" bestFit="1" customWidth="1"/>
  </cols>
  <sheetData>
    <row r="1" spans="1:2">
      <c r="B1" t="s">
        <v>858</v>
      </c>
    </row>
    <row r="2" spans="1:2">
      <c r="A2" s="269" t="s">
        <v>860</v>
      </c>
      <c r="B2" s="355">
        <f>start_date</f>
        <v>44228</v>
      </c>
    </row>
    <row r="3" spans="1:2">
      <c r="A3" s="332" t="s">
        <v>751</v>
      </c>
      <c r="B3" s="332">
        <f>facility_size_pilot</f>
        <v>220</v>
      </c>
    </row>
    <row r="4" spans="1:2">
      <c r="A4" s="332" t="s">
        <v>752</v>
      </c>
      <c r="B4" s="332">
        <f>percent_production_area_pilot</f>
        <v>0.27</v>
      </c>
    </row>
    <row r="5" spans="1:2" ht="16">
      <c r="A5" s="333" t="s">
        <v>753</v>
      </c>
      <c r="B5" s="333">
        <f>growing_levels_pilot</f>
        <v>4</v>
      </c>
    </row>
    <row r="6" spans="1:2">
      <c r="A6" s="334" t="s">
        <v>754</v>
      </c>
      <c r="B6" s="334" t="str">
        <f>weight_unit</f>
        <v>kg</v>
      </c>
    </row>
    <row r="7" spans="1:2">
      <c r="A7" s="332" t="s">
        <v>755</v>
      </c>
      <c r="B7" s="332">
        <f>growing_area_mulitplier</f>
        <v>2</v>
      </c>
    </row>
    <row r="8" spans="1:2">
      <c r="A8" s="332" t="s">
        <v>756</v>
      </c>
      <c r="B8" s="332">
        <f>no_lights_pilot</f>
        <v>128</v>
      </c>
    </row>
    <row r="9" spans="1:2">
      <c r="A9" s="335" t="s">
        <v>757</v>
      </c>
      <c r="B9" s="335">
        <f>packaging_cost_pilot</f>
        <v>2</v>
      </c>
    </row>
    <row r="10" spans="1:2" s="359" customFormat="1">
      <c r="A10" s="335" t="s">
        <v>864</v>
      </c>
      <c r="B10" s="335">
        <f>packaging_cost_full</f>
        <v>1.5</v>
      </c>
    </row>
    <row r="11" spans="1:2">
      <c r="A11" s="336" t="s">
        <v>758</v>
      </c>
      <c r="B11" s="336">
        <f>other_costs_pilot</f>
        <v>0.08</v>
      </c>
    </row>
    <row r="12" spans="1:2" ht="16">
      <c r="A12" s="333" t="s">
        <v>759</v>
      </c>
      <c r="B12" s="333" t="str">
        <f>farm_type</f>
        <v>Plant Factory</v>
      </c>
    </row>
    <row r="13" spans="1:2" ht="16">
      <c r="A13" s="333" t="s">
        <v>760</v>
      </c>
      <c r="B13" s="333" t="str">
        <f>business_model</f>
        <v>Hybrid</v>
      </c>
    </row>
    <row r="14" spans="1:2" ht="16">
      <c r="A14" s="333" t="s">
        <v>761</v>
      </c>
      <c r="B14" s="333" t="str">
        <f>grower_exp</f>
        <v>Medium</v>
      </c>
    </row>
    <row r="15" spans="1:2" ht="16">
      <c r="A15" s="333" t="s">
        <v>762</v>
      </c>
      <c r="B15" s="333" t="str">
        <f>automation_level</f>
        <v>Low</v>
      </c>
    </row>
    <row r="16" spans="1:2" ht="16">
      <c r="A16" s="352" t="s">
        <v>859</v>
      </c>
      <c r="B16" s="333" t="str">
        <f>climate_control</f>
        <v>Medium</v>
      </c>
    </row>
    <row r="17" spans="1:2" ht="16">
      <c r="A17" s="333" t="s">
        <v>763</v>
      </c>
      <c r="B17" s="333" t="str">
        <f>lighting_control</f>
        <v>Medium</v>
      </c>
    </row>
    <row r="18" spans="1:2" ht="16">
      <c r="A18" s="333" t="s">
        <v>764</v>
      </c>
      <c r="B18" s="333" t="str">
        <f>nutrient_control</f>
        <v>Medium</v>
      </c>
    </row>
    <row r="19" spans="1:2" ht="16">
      <c r="A19" s="333" t="s">
        <v>765</v>
      </c>
      <c r="B19" s="333" t="str">
        <f>system_type</f>
        <v>ZipRack</v>
      </c>
    </row>
    <row r="20" spans="1:2">
      <c r="A20" s="337" t="s">
        <v>766</v>
      </c>
      <c r="B20" s="337">
        <f>system_quantity</f>
        <v>8</v>
      </c>
    </row>
    <row r="21" spans="1:2" ht="16">
      <c r="A21" s="333" t="s">
        <v>767</v>
      </c>
      <c r="B21" s="333" t="str">
        <f>light_system</f>
        <v>Intravision Spectra Blade Single Sided - J</v>
      </c>
    </row>
    <row r="22" spans="1:2">
      <c r="A22" s="338" t="s">
        <v>768</v>
      </c>
      <c r="B22" s="338" t="str">
        <f>growing_media</f>
        <v>Jute</v>
      </c>
    </row>
    <row r="23" spans="1:2" ht="16">
      <c r="A23" s="333" t="s">
        <v>769</v>
      </c>
      <c r="B23" s="333">
        <f>ceiling_height</f>
        <v>4</v>
      </c>
    </row>
    <row r="24" spans="1:2" ht="16">
      <c r="A24" s="333" t="s">
        <v>770</v>
      </c>
      <c r="B24" s="333" t="str">
        <f>insultation_level</f>
        <v>Medium</v>
      </c>
    </row>
    <row r="25" spans="1:2" ht="16">
      <c r="A25" s="333" t="s">
        <v>771</v>
      </c>
      <c r="B25" s="333" t="str">
        <f>roof_type</f>
        <v>Flat roof</v>
      </c>
    </row>
    <row r="26" spans="1:2">
      <c r="A26" s="336" t="s">
        <v>772</v>
      </c>
      <c r="B26" s="336" t="str">
        <f>co2_enrichment</f>
        <v>No</v>
      </c>
    </row>
    <row r="27" spans="1:2">
      <c r="A27" s="339" t="s">
        <v>773</v>
      </c>
      <c r="B27" s="339" t="str">
        <f>structure_type</f>
        <v>N/A</v>
      </c>
    </row>
    <row r="28" spans="1:2">
      <c r="A28" s="340" t="s">
        <v>774</v>
      </c>
      <c r="B28" s="340">
        <f>water_price</f>
        <v>1.91E-3</v>
      </c>
    </row>
    <row r="29" spans="1:2">
      <c r="A29" s="341" t="s">
        <v>775</v>
      </c>
      <c r="B29" s="341">
        <f>electricity_price</f>
        <v>0.06</v>
      </c>
    </row>
    <row r="30" spans="1:2">
      <c r="A30" s="342" t="s">
        <v>776</v>
      </c>
      <c r="B30" s="342">
        <f>labour_improvement</f>
        <v>0.05</v>
      </c>
    </row>
    <row r="31" spans="1:2">
      <c r="A31" s="342" t="s">
        <v>777</v>
      </c>
      <c r="B31" s="342">
        <f>percentage_renewable_energy</f>
        <v>0</v>
      </c>
    </row>
    <row r="32" spans="1:2">
      <c r="A32" s="332" t="s">
        <v>778</v>
      </c>
      <c r="B32" s="332" t="str">
        <f>biosecurity_level</f>
        <v>Medium</v>
      </c>
    </row>
    <row r="33" spans="1:2">
      <c r="A33" s="343" t="s">
        <v>779</v>
      </c>
      <c r="B33" s="343">
        <f>loan_amount</f>
        <v>108000</v>
      </c>
    </row>
    <row r="34" spans="1:2">
      <c r="A34" s="342" t="s">
        <v>780</v>
      </c>
      <c r="B34" s="342">
        <f>tax_rate</f>
        <v>0</v>
      </c>
    </row>
    <row r="35" spans="1:2">
      <c r="A35" s="342" t="s">
        <v>781</v>
      </c>
      <c r="B35" s="342">
        <f>loan_interest</f>
        <v>0.05</v>
      </c>
    </row>
    <row r="36" spans="1:2">
      <c r="A36" s="344" t="s">
        <v>782</v>
      </c>
      <c r="B36" s="344">
        <f>loan_tenure</f>
        <v>8</v>
      </c>
    </row>
    <row r="37" spans="1:2">
      <c r="A37" s="344" t="s">
        <v>783</v>
      </c>
      <c r="B37" s="344" t="str">
        <f>loan_type</f>
        <v>Standard</v>
      </c>
    </row>
    <row r="38" spans="1:2">
      <c r="A38" s="332" t="s">
        <v>784</v>
      </c>
      <c r="B38" s="332" t="str">
        <f>crop_typ1</f>
        <v>Lettuce (Farm Urban Mix)</v>
      </c>
    </row>
    <row r="39" spans="1:2">
      <c r="A39" s="342" t="s">
        <v>785</v>
      </c>
      <c r="B39" s="342">
        <f>crop1_percent</f>
        <v>0.875</v>
      </c>
    </row>
    <row r="40" spans="1:2">
      <c r="A40" s="338" t="s">
        <v>786</v>
      </c>
      <c r="B40" s="338" t="str">
        <f>crop1_system</f>
        <v>Drip Tower</v>
      </c>
    </row>
    <row r="41" spans="1:2">
      <c r="A41" s="338" t="s">
        <v>787</v>
      </c>
      <c r="B41" s="338">
        <f>crop1_harvest_weight</f>
        <v>0.1</v>
      </c>
    </row>
    <row r="42" spans="1:2">
      <c r="A42" s="338" t="s">
        <v>788</v>
      </c>
      <c r="B42" s="338">
        <f>crop1_product_weight</f>
        <v>0.2</v>
      </c>
    </row>
    <row r="43" spans="1:2">
      <c r="A43" s="345" t="s">
        <v>789</v>
      </c>
      <c r="B43" s="345">
        <f>crop1_customer_percent</f>
        <v>1</v>
      </c>
    </row>
    <row r="44" spans="1:2">
      <c r="A44" s="346" t="s">
        <v>790</v>
      </c>
      <c r="B44" s="346">
        <f>crop1_price1</f>
        <v>6</v>
      </c>
    </row>
    <row r="45" spans="1:2">
      <c r="A45" s="346" t="s">
        <v>791</v>
      </c>
      <c r="B45" s="346">
        <f>crop1_price2</f>
        <v>0</v>
      </c>
    </row>
    <row r="46" spans="1:2">
      <c r="A46" s="338" t="s">
        <v>792</v>
      </c>
      <c r="B46" s="338" t="str">
        <f>crop_typ2</f>
        <v>Basil - Lemon</v>
      </c>
    </row>
    <row r="47" spans="1:2">
      <c r="A47" s="347" t="s">
        <v>793</v>
      </c>
      <c r="B47" s="347">
        <f>crop2_percent</f>
        <v>6.25E-2</v>
      </c>
    </row>
    <row r="48" spans="1:2">
      <c r="A48" s="338" t="s">
        <v>794</v>
      </c>
      <c r="B48" s="338" t="str">
        <f>crop2_system</f>
        <v>Drip Tower</v>
      </c>
    </row>
    <row r="49" spans="1:2">
      <c r="A49" s="338" t="s">
        <v>795</v>
      </c>
      <c r="B49" s="338">
        <f>crop2_harvest_weight</f>
        <v>7.4999999999999997E-2</v>
      </c>
    </row>
    <row r="50" spans="1:2">
      <c r="A50" s="338" t="s">
        <v>796</v>
      </c>
      <c r="B50" s="338">
        <f>crop2_product_weight</f>
        <v>7.4999999999999997E-2</v>
      </c>
    </row>
    <row r="51" spans="1:2">
      <c r="A51" s="345" t="s">
        <v>797</v>
      </c>
      <c r="B51" s="345">
        <f>crop2_customer_percent</f>
        <v>1</v>
      </c>
    </row>
    <row r="52" spans="1:2">
      <c r="A52" s="346" t="s">
        <v>798</v>
      </c>
      <c r="B52" s="346">
        <f>crop2_price1</f>
        <v>1.5</v>
      </c>
    </row>
    <row r="53" spans="1:2">
      <c r="A53" s="346" t="s">
        <v>799</v>
      </c>
      <c r="B53" s="346">
        <f>crop2_price2</f>
        <v>0</v>
      </c>
    </row>
    <row r="54" spans="1:2">
      <c r="A54" s="338" t="s">
        <v>800</v>
      </c>
      <c r="B54" s="338" t="str">
        <f>crop_typ3</f>
        <v>Basil - Genovese</v>
      </c>
    </row>
    <row r="55" spans="1:2">
      <c r="A55" s="347" t="s">
        <v>801</v>
      </c>
      <c r="B55" s="347">
        <f>crop3_percent</f>
        <v>6.25E-2</v>
      </c>
    </row>
    <row r="56" spans="1:2">
      <c r="A56" s="338" t="s">
        <v>802</v>
      </c>
      <c r="B56" s="338" t="str">
        <f>crop3_system</f>
        <v>Drip Tower</v>
      </c>
    </row>
    <row r="57" spans="1:2">
      <c r="A57" s="338" t="s">
        <v>803</v>
      </c>
      <c r="B57" s="338">
        <f>crop3_harvest_weight</f>
        <v>7.4999999999999997E-2</v>
      </c>
    </row>
    <row r="58" spans="1:2">
      <c r="A58" s="338" t="s">
        <v>804</v>
      </c>
      <c r="B58" s="338">
        <f>crop3_product_weight</f>
        <v>7.4999999999999997E-2</v>
      </c>
    </row>
    <row r="59" spans="1:2">
      <c r="A59" s="345" t="s">
        <v>805</v>
      </c>
      <c r="B59" s="345">
        <f>crop3_customer_percent</f>
        <v>1</v>
      </c>
    </row>
    <row r="60" spans="1:2">
      <c r="A60" s="346" t="s">
        <v>806</v>
      </c>
      <c r="B60" s="346">
        <f>crop3_price1</f>
        <v>1.5</v>
      </c>
    </row>
    <row r="61" spans="1:2">
      <c r="A61" s="346" t="s">
        <v>807</v>
      </c>
      <c r="B61" s="346">
        <f>crop3_price2</f>
        <v>0</v>
      </c>
    </row>
    <row r="62" spans="1:2">
      <c r="A62" s="338" t="s">
        <v>808</v>
      </c>
      <c r="B62" s="338" t="str">
        <f>crop_typ4</f>
        <v>None</v>
      </c>
    </row>
    <row r="63" spans="1:2">
      <c r="A63" s="342" t="s">
        <v>809</v>
      </c>
      <c r="B63" s="342">
        <f>crop4_percent</f>
        <v>0</v>
      </c>
    </row>
    <row r="64" spans="1:2">
      <c r="A64" s="338" t="s">
        <v>810</v>
      </c>
      <c r="B64" s="338" t="str">
        <f>crop4_system</f>
        <v>NFT</v>
      </c>
    </row>
    <row r="65" spans="1:2">
      <c r="A65" s="338" t="s">
        <v>811</v>
      </c>
      <c r="B65" s="338">
        <f>crop4_harvest_weight</f>
        <v>0.5</v>
      </c>
    </row>
    <row r="66" spans="1:2">
      <c r="A66" s="338" t="s">
        <v>812</v>
      </c>
      <c r="B66" s="338">
        <f>crop4_product_weight</f>
        <v>0.5</v>
      </c>
    </row>
    <row r="67" spans="1:2">
      <c r="A67" s="338" t="s">
        <v>813</v>
      </c>
      <c r="B67" s="338">
        <f>crop4_customer_percent</f>
        <v>0</v>
      </c>
    </row>
    <row r="68" spans="1:2">
      <c r="A68" s="346" t="s">
        <v>814</v>
      </c>
      <c r="B68" s="346">
        <f>crop4_price1</f>
        <v>7.5</v>
      </c>
    </row>
    <row r="69" spans="1:2">
      <c r="A69" s="346" t="s">
        <v>815</v>
      </c>
      <c r="B69" s="346">
        <f>crop4_price2</f>
        <v>7.5</v>
      </c>
    </row>
    <row r="70" spans="1:2">
      <c r="A70" s="332" t="s">
        <v>816</v>
      </c>
      <c r="B70" s="332">
        <f>vadded_products_multiplier</f>
        <v>1</v>
      </c>
    </row>
    <row r="71" spans="1:2">
      <c r="A71" s="332" t="s">
        <v>817</v>
      </c>
      <c r="B71" s="332">
        <f>education_multiplier</f>
        <v>1</v>
      </c>
    </row>
    <row r="72" spans="1:2">
      <c r="A72" s="332" t="s">
        <v>818</v>
      </c>
      <c r="B72" s="332">
        <f>tourism_multiplier</f>
        <v>1.1000000000000001</v>
      </c>
    </row>
    <row r="73" spans="1:2">
      <c r="A73" s="332" t="s">
        <v>819</v>
      </c>
      <c r="B73" s="332">
        <f>hospitality_multiplier</f>
        <v>1</v>
      </c>
    </row>
    <row r="74" spans="1:2">
      <c r="A74" s="348" t="s">
        <v>820</v>
      </c>
      <c r="B74" s="348">
        <f>vadded_avg_revenue_y1</f>
        <v>50</v>
      </c>
    </row>
    <row r="75" spans="1:2">
      <c r="A75" s="348" t="s">
        <v>821</v>
      </c>
      <c r="B75" s="348">
        <f>education_avg_revenue_y1</f>
        <v>600</v>
      </c>
    </row>
    <row r="76" spans="1:2">
      <c r="A76" s="348" t="s">
        <v>822</v>
      </c>
      <c r="B76" s="348">
        <f>tourism_avg_revenue_y1</f>
        <v>150</v>
      </c>
    </row>
    <row r="77" spans="1:2">
      <c r="A77" s="348" t="s">
        <v>823</v>
      </c>
      <c r="B77" s="348">
        <f>hospitality_avg_revenue_y1</f>
        <v>0</v>
      </c>
    </row>
    <row r="78" spans="1:2">
      <c r="A78" s="349" t="s">
        <v>824</v>
      </c>
      <c r="B78" s="349">
        <f>monthly_rent_y1</f>
        <v>0</v>
      </c>
    </row>
    <row r="79" spans="1:2">
      <c r="A79" s="350" t="s">
        <v>825</v>
      </c>
      <c r="B79" s="350">
        <f>monthly_distribution_y1</f>
        <v>800</v>
      </c>
    </row>
    <row r="80" spans="1:2">
      <c r="A80" s="338" t="s">
        <v>826</v>
      </c>
      <c r="B80" s="338">
        <f>monthly_rent_y2</f>
        <v>0</v>
      </c>
    </row>
    <row r="81" spans="1:2">
      <c r="A81" s="338" t="s">
        <v>827</v>
      </c>
      <c r="B81" s="338">
        <f>monthly_distribution_y2</f>
        <v>1200</v>
      </c>
    </row>
    <row r="82" spans="1:2">
      <c r="A82" s="348" t="s">
        <v>828</v>
      </c>
      <c r="B82" s="348">
        <f>delivery_msalary</f>
        <v>1500</v>
      </c>
    </row>
    <row r="83" spans="1:2">
      <c r="A83" s="348" t="s">
        <v>829</v>
      </c>
      <c r="B83" s="348">
        <f>farmhand_msalary</f>
        <v>1500</v>
      </c>
    </row>
    <row r="84" spans="1:2">
      <c r="A84" s="348" t="s">
        <v>830</v>
      </c>
      <c r="B84" s="348">
        <f>parttime_wage</f>
        <v>8.7200000000000006</v>
      </c>
    </row>
    <row r="85" spans="1:2">
      <c r="A85" s="348" t="s">
        <v>831</v>
      </c>
      <c r="B85" s="348">
        <f>ceo_msalary</f>
        <v>2025</v>
      </c>
    </row>
    <row r="86" spans="1:2">
      <c r="A86" s="348" t="s">
        <v>832</v>
      </c>
      <c r="B86" s="348">
        <f>hgrower_msalary</f>
        <v>1560</v>
      </c>
    </row>
    <row r="87" spans="1:2">
      <c r="A87" s="348" t="s">
        <v>833</v>
      </c>
      <c r="B87" s="348">
        <f>marketer_msalary</f>
        <v>2025</v>
      </c>
    </row>
    <row r="88" spans="1:2">
      <c r="A88" s="348" t="s">
        <v>834</v>
      </c>
      <c r="B88" s="348">
        <f>scientist_msalary</f>
        <v>2025</v>
      </c>
    </row>
    <row r="89" spans="1:2">
      <c r="A89" s="348" t="s">
        <v>835</v>
      </c>
      <c r="B89" s="348">
        <f>salesperson_msalary</f>
        <v>1560</v>
      </c>
    </row>
    <row r="90" spans="1:2">
      <c r="A90" s="348" t="s">
        <v>836</v>
      </c>
      <c r="B90" s="348">
        <f>manager_msalary</f>
        <v>2025</v>
      </c>
    </row>
    <row r="91" spans="1:2">
      <c r="A91" s="348" t="s">
        <v>837</v>
      </c>
      <c r="B91" s="348">
        <f>admin_msalary</f>
        <v>624</v>
      </c>
    </row>
    <row r="92" spans="1:2">
      <c r="A92" s="332" t="s">
        <v>838</v>
      </c>
      <c r="B92" s="332">
        <f>ceo_count_y1</f>
        <v>0</v>
      </c>
    </row>
    <row r="93" spans="1:2">
      <c r="A93" s="332" t="s">
        <v>839</v>
      </c>
      <c r="B93" s="332">
        <f>hgrower_count_y1</f>
        <v>0</v>
      </c>
    </row>
    <row r="94" spans="1:2">
      <c r="A94" s="332" t="s">
        <v>840</v>
      </c>
      <c r="B94" s="332">
        <f>marketer_count_y1</f>
        <v>0.5</v>
      </c>
    </row>
    <row r="95" spans="1:2">
      <c r="A95" s="332" t="s">
        <v>841</v>
      </c>
      <c r="B95" s="332">
        <f>scientist_count_y1</f>
        <v>1</v>
      </c>
    </row>
    <row r="96" spans="1:2">
      <c r="A96" s="332" t="s">
        <v>842</v>
      </c>
      <c r="B96" s="332">
        <f>salesperson_count_y1</f>
        <v>0</v>
      </c>
    </row>
    <row r="97" spans="1:2">
      <c r="A97" s="332" t="s">
        <v>843</v>
      </c>
      <c r="B97" s="332">
        <f>manager_count_y1</f>
        <v>1</v>
      </c>
    </row>
    <row r="98" spans="1:2">
      <c r="A98" s="332" t="s">
        <v>844</v>
      </c>
      <c r="B98" s="332">
        <f>delivery_count_y1</f>
        <v>0</v>
      </c>
    </row>
    <row r="99" spans="1:2">
      <c r="A99" s="332" t="s">
        <v>845</v>
      </c>
      <c r="B99" s="332">
        <f>farmhand_count_y1</f>
        <v>1</v>
      </c>
    </row>
    <row r="100" spans="1:2">
      <c r="A100" s="332" t="s">
        <v>846</v>
      </c>
      <c r="B100" s="332">
        <f>admin_count_y1</f>
        <v>0</v>
      </c>
    </row>
    <row r="101" spans="1:2">
      <c r="A101" s="332" t="s">
        <v>847</v>
      </c>
      <c r="B101" s="332">
        <f>parttime_count_y1</f>
        <v>0</v>
      </c>
    </row>
    <row r="102" spans="1:2">
      <c r="A102" s="332" t="s">
        <v>848</v>
      </c>
      <c r="B102" s="332">
        <f>ceo_count_y2</f>
        <v>0</v>
      </c>
    </row>
    <row r="103" spans="1:2">
      <c r="A103" s="332" t="s">
        <v>849</v>
      </c>
      <c r="B103" s="332">
        <f>hgrower_count_y2</f>
        <v>1</v>
      </c>
    </row>
    <row r="104" spans="1:2">
      <c r="A104" s="332" t="s">
        <v>850</v>
      </c>
      <c r="B104" s="332">
        <f>marketer_count_y2</f>
        <v>0.5</v>
      </c>
    </row>
    <row r="105" spans="1:2">
      <c r="A105" s="332" t="s">
        <v>851</v>
      </c>
      <c r="B105" s="332">
        <f>scientist_count_y2</f>
        <v>1</v>
      </c>
    </row>
    <row r="106" spans="1:2">
      <c r="A106" s="332" t="s">
        <v>852</v>
      </c>
      <c r="B106" s="332">
        <f>salesperson_count_y2</f>
        <v>1</v>
      </c>
    </row>
    <row r="107" spans="1:2">
      <c r="A107" s="332" t="s">
        <v>853</v>
      </c>
      <c r="B107" s="332">
        <f>manager_count_y2</f>
        <v>0</v>
      </c>
    </row>
    <row r="108" spans="1:2">
      <c r="A108" s="332" t="s">
        <v>854</v>
      </c>
      <c r="B108" s="332">
        <f>delivery_count_y2</f>
        <v>0</v>
      </c>
    </row>
    <row r="109" spans="1:2">
      <c r="A109" s="332" t="s">
        <v>855</v>
      </c>
      <c r="B109" s="332">
        <f>farmhand_count_y2</f>
        <v>1</v>
      </c>
    </row>
    <row r="110" spans="1:2">
      <c r="A110" s="332" t="s">
        <v>856</v>
      </c>
      <c r="B110" s="332">
        <f>admin_count_y2</f>
        <v>1</v>
      </c>
    </row>
    <row r="111" spans="1:2">
      <c r="A111" s="332" t="s">
        <v>857</v>
      </c>
      <c r="B111" s="332">
        <f>parttime_count_y2</f>
        <v>0</v>
      </c>
    </row>
    <row r="112" spans="1:2">
      <c r="A112" s="358" t="s">
        <v>862</v>
      </c>
      <c r="B112">
        <f>Overview!F98</f>
        <v>0</v>
      </c>
    </row>
    <row r="113" spans="1:2">
      <c r="A113" s="358" t="s">
        <v>863</v>
      </c>
      <c r="B113" s="144">
        <f>Overview!G98</f>
        <v>1000</v>
      </c>
    </row>
    <row r="114" spans="1:2">
      <c r="A114" s="362" t="s">
        <v>866</v>
      </c>
      <c r="B114" s="363">
        <f>'CapEx Breakdown'!C37</f>
        <v>111553.81526968991</v>
      </c>
    </row>
    <row r="115" spans="1:2">
      <c r="A115" s="362" t="s">
        <v>870</v>
      </c>
      <c r="B115" s="363">
        <f>'CapEx Breakdown'!E37</f>
        <v>223107.63053937981</v>
      </c>
    </row>
    <row r="116" spans="1:2">
      <c r="A116" s="358" t="s">
        <v>867</v>
      </c>
      <c r="B116" s="106">
        <f>'CapEx Breakdown'!D25+'CapEx Breakdown'!C25</f>
        <v>66000</v>
      </c>
    </row>
    <row r="117" spans="1:2">
      <c r="A117" s="358" t="s">
        <v>868</v>
      </c>
      <c r="B117" s="106">
        <f>('CapEx Breakdown'!D34+'CapEx Breakdown'!C34)-('CapEx Breakdown'!C25+'CapEx Breakdown'!D25)</f>
        <v>107745.03729696566</v>
      </c>
    </row>
    <row r="118" spans="1:2">
      <c r="A118" s="358" t="s">
        <v>869</v>
      </c>
      <c r="B118" s="106">
        <f>'CapEx Breakdown'!D16+'CapEx Breakdown'!D17+'CapEx Breakdown'!D18+'CapEx Breakdown'!C18+'CapEx Breakdown'!C17+'CapEx Breakdown'!C16</f>
        <v>11000</v>
      </c>
    </row>
  </sheetData>
  <conditionalFormatting sqref="A5:B5">
    <cfRule type="cellIs" dxfId="6" priority="1" operator="greaterThan">
      <formula>$B$40*2.5</formula>
    </cfRule>
  </conditionalFormatting>
  <dataValidations count="1">
    <dataValidation type="whole" allowBlank="1" showInputMessage="1" showErrorMessage="1" sqref="B5" xr:uid="{44B1B69A-62D5-7145-8CA0-127AD103BB81}">
      <formula1>0</formula1>
      <formula2>30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zoomScale="140" zoomScaleNormal="140" workbookViewId="0">
      <selection activeCell="D12" sqref="D12"/>
    </sheetView>
  </sheetViews>
  <sheetFormatPr baseColWidth="10" defaultColWidth="14.5" defaultRowHeight="15.75" customHeight="1"/>
  <cols>
    <col min="1" max="1" width="4.5" customWidth="1"/>
    <col min="2" max="2" width="33.83203125" customWidth="1"/>
    <col min="3" max="3" width="23.6640625" customWidth="1"/>
    <col min="4" max="4" width="17.83203125" customWidth="1"/>
    <col min="5" max="5" width="16.83203125" customWidth="1"/>
  </cols>
  <sheetData>
    <row r="1" spans="1:27" s="26" customFormat="1" ht="15.75" customHeight="1">
      <c r="A1" s="72"/>
      <c r="B1" s="74" t="s">
        <v>203</v>
      </c>
      <c r="C1" s="72"/>
      <c r="D1" s="72"/>
      <c r="E1" s="72"/>
      <c r="F1" s="72"/>
      <c r="G1" s="72"/>
      <c r="H1" s="72"/>
      <c r="I1" s="72"/>
      <c r="J1" s="72"/>
      <c r="K1" s="72"/>
      <c r="L1" s="72"/>
      <c r="M1" s="72"/>
      <c r="N1" s="72"/>
      <c r="O1" s="72"/>
      <c r="P1" s="72"/>
    </row>
    <row r="2" spans="1:27" ht="15.75" customHeight="1">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c r="A3" s="1"/>
      <c r="B3" s="3" t="s">
        <v>1</v>
      </c>
      <c r="C3" s="6" t="s">
        <v>3</v>
      </c>
      <c r="D3" s="48">
        <f>SUM('CapEx Breakdown'!C21:D21)</f>
        <v>49362.593242414143</v>
      </c>
      <c r="E3" s="6" t="s">
        <v>31</v>
      </c>
      <c r="F3" s="48">
        <f>SUM('CapEx Breakdown'!C34:D34)</f>
        <v>173745.03729696566</v>
      </c>
      <c r="G3" s="6" t="s">
        <v>32</v>
      </c>
      <c r="H3" s="49">
        <f>D3+F3</f>
        <v>223107.63053937981</v>
      </c>
      <c r="I3" s="7"/>
      <c r="J3" s="1"/>
      <c r="K3" s="1"/>
      <c r="L3" s="1"/>
      <c r="M3" s="1"/>
      <c r="N3" s="1"/>
      <c r="O3" s="1"/>
      <c r="P3" s="1"/>
      <c r="Q3" s="1"/>
      <c r="R3" s="1"/>
      <c r="S3" s="1"/>
      <c r="T3" s="1"/>
      <c r="U3" s="1"/>
      <c r="V3" s="1"/>
      <c r="W3" s="1"/>
      <c r="X3" s="1"/>
      <c r="Y3" s="1"/>
      <c r="Z3" s="1"/>
      <c r="AA3" s="1"/>
    </row>
    <row r="4" spans="1:27" ht="15.75" customHeight="1">
      <c r="A4" s="1"/>
      <c r="B4" s="1"/>
      <c r="C4" s="1"/>
      <c r="D4" s="1"/>
      <c r="E4" s="1"/>
      <c r="F4" s="1"/>
      <c r="G4" s="1"/>
      <c r="H4" s="1"/>
      <c r="I4" s="1"/>
      <c r="J4" s="1"/>
      <c r="K4" s="1"/>
      <c r="L4" s="1"/>
      <c r="M4" s="1"/>
      <c r="N4" s="1"/>
      <c r="O4" s="1"/>
      <c r="P4" s="1"/>
      <c r="Q4" s="1"/>
      <c r="R4" s="1"/>
      <c r="S4" s="1"/>
      <c r="T4" s="1"/>
      <c r="U4" s="1"/>
      <c r="V4" s="1"/>
      <c r="W4" s="1"/>
      <c r="X4" s="1"/>
      <c r="Y4" s="1"/>
      <c r="Z4" s="1"/>
      <c r="AA4" s="1"/>
    </row>
    <row r="5" spans="1:27" ht="15.75" customHeight="1">
      <c r="A5" s="1"/>
      <c r="B5" s="1"/>
      <c r="C5" s="8" t="s">
        <v>33</v>
      </c>
      <c r="D5" s="8" t="s">
        <v>34</v>
      </c>
      <c r="E5" s="8" t="s">
        <v>35</v>
      </c>
      <c r="F5" s="9" t="s">
        <v>36</v>
      </c>
      <c r="G5" s="5" t="s">
        <v>134</v>
      </c>
      <c r="H5" s="52" t="s">
        <v>135</v>
      </c>
      <c r="I5" s="52" t="s">
        <v>136</v>
      </c>
      <c r="J5" s="52" t="s">
        <v>137</v>
      </c>
      <c r="K5" s="52" t="s">
        <v>138</v>
      </c>
      <c r="L5" s="52" t="s">
        <v>139</v>
      </c>
      <c r="M5" s="52" t="s">
        <v>140</v>
      </c>
      <c r="N5" s="52" t="s">
        <v>141</v>
      </c>
      <c r="O5" s="52" t="s">
        <v>142</v>
      </c>
      <c r="P5" s="52" t="s">
        <v>143</v>
      </c>
      <c r="Q5" s="52" t="s">
        <v>144</v>
      </c>
      <c r="R5" s="52" t="s">
        <v>145</v>
      </c>
      <c r="S5" s="1"/>
      <c r="T5" s="1"/>
      <c r="U5" s="1"/>
      <c r="V5" s="1"/>
      <c r="W5" s="1"/>
      <c r="X5" s="1"/>
      <c r="Y5" s="1"/>
      <c r="Z5" s="1"/>
      <c r="AA5" s="1"/>
    </row>
    <row r="6" spans="1:27" ht="15.75" customHeight="1">
      <c r="A6" s="10"/>
      <c r="B6" s="11" t="s">
        <v>37</v>
      </c>
      <c r="C6" s="49">
        <f>Overview!F81</f>
        <v>10358.937178334121</v>
      </c>
      <c r="D6" s="49">
        <f>Overview!H81</f>
        <v>124307.24614000942</v>
      </c>
      <c r="E6" s="49">
        <f>Overview!I81</f>
        <v>244160.53625738036</v>
      </c>
      <c r="F6" s="49">
        <f>Overview!J81</f>
        <v>248624.39601231203</v>
      </c>
      <c r="G6" s="49">
        <f>Overview!K81</f>
        <v>251832.79521116908</v>
      </c>
      <c r="H6" s="49">
        <f>Overview!L81</f>
        <v>254790.10229881137</v>
      </c>
      <c r="I6" s="49">
        <f>Overview!M81</f>
        <v>257496.31727523863</v>
      </c>
      <c r="J6" s="49">
        <f>Overview!N81</f>
        <v>260007.23838738768</v>
      </c>
      <c r="K6" s="49">
        <f>Overview!O81</f>
        <v>261736.98404242378</v>
      </c>
      <c r="L6" s="49">
        <f>Overview!P81</f>
        <v>263355.13320358645</v>
      </c>
      <c r="M6" s="49">
        <f>Overview!Q81</f>
        <v>264889.58499434427</v>
      </c>
      <c r="N6" s="49">
        <f>Overview!R81</f>
        <v>266312.4402912287</v>
      </c>
      <c r="O6" s="49">
        <f>Overview!S81</f>
        <v>267651.59821770818</v>
      </c>
      <c r="P6" s="49">
        <f>Overview!T81</f>
        <v>268934.95789725101</v>
      </c>
      <c r="Q6" s="49">
        <f>Overview!U81</f>
        <v>270134.62020638888</v>
      </c>
      <c r="R6" s="49">
        <f>Overview!V81</f>
        <v>271250.58514512179</v>
      </c>
      <c r="S6" s="1"/>
      <c r="T6" s="1"/>
      <c r="U6" s="1"/>
      <c r="V6" s="1"/>
      <c r="W6" s="1"/>
      <c r="X6" s="1"/>
      <c r="Y6" s="1"/>
      <c r="Z6" s="1"/>
      <c r="AA6" s="1"/>
    </row>
    <row r="7" spans="1:27" ht="15.75" customHeight="1">
      <c r="A7" s="10"/>
      <c r="B7" s="11" t="s">
        <v>38</v>
      </c>
      <c r="C7" s="49">
        <f>Overview!F90</f>
        <v>3330.6484122526804</v>
      </c>
      <c r="D7" s="49">
        <f>Overview!H90</f>
        <v>39967.780947032166</v>
      </c>
      <c r="E7" s="49">
        <f>Overview!I90</f>
        <v>96630.077384056305</v>
      </c>
      <c r="F7" s="49">
        <f>Overview!J90</f>
        <v>97710.390648856308</v>
      </c>
      <c r="G7" s="49">
        <f>Overview!K90</f>
        <v>98486.865807931288</v>
      </c>
      <c r="H7" s="49">
        <f>Overview!L90</f>
        <v>99202.573345861296</v>
      </c>
      <c r="I7" s="49">
        <f>Overview!M90</f>
        <v>99857.513262646287</v>
      </c>
      <c r="J7" s="49">
        <f>Overview!N90</f>
        <v>100465.18947409629</v>
      </c>
      <c r="K7" s="49">
        <f>Overview!O90</f>
        <v>100883.8108642063</v>
      </c>
      <c r="L7" s="49">
        <f>Overview!P90</f>
        <v>101275.42442269629</v>
      </c>
      <c r="M7" s="49">
        <f>Overview!Q90</f>
        <v>101646.7821074713</v>
      </c>
      <c r="N7" s="49">
        <f>Overview!R90</f>
        <v>101991.1319606263</v>
      </c>
      <c r="O7" s="49">
        <f>Overview!S90</f>
        <v>102315.2259400663</v>
      </c>
      <c r="P7" s="49">
        <f>Overview!T90</f>
        <v>102625.81600369629</v>
      </c>
      <c r="Q7" s="49">
        <f>Overview!U90</f>
        <v>102916.15019361129</v>
      </c>
      <c r="R7" s="49">
        <f>Overview!V90</f>
        <v>103186.22850981129</v>
      </c>
      <c r="S7" s="1"/>
      <c r="T7" s="1"/>
      <c r="U7" s="1"/>
      <c r="V7" s="1"/>
      <c r="W7" s="1"/>
      <c r="X7" s="1"/>
      <c r="Y7" s="1"/>
      <c r="Z7" s="1"/>
      <c r="AA7" s="1"/>
    </row>
    <row r="8" spans="1:27" ht="15.75" customHeight="1">
      <c r="A8" s="10"/>
      <c r="B8" s="12" t="s">
        <v>39</v>
      </c>
      <c r="C8" s="50">
        <f>Overview!F92</f>
        <v>7028.2887660814413</v>
      </c>
      <c r="D8" s="50">
        <f>Overview!H92</f>
        <v>84339.465192977252</v>
      </c>
      <c r="E8" s="50">
        <f>Overview!I92</f>
        <v>147530.45887332404</v>
      </c>
      <c r="F8" s="50">
        <f>Overview!J92</f>
        <v>150914.00536345574</v>
      </c>
      <c r="G8" s="50">
        <f>Overview!K92</f>
        <v>153345.92940323779</v>
      </c>
      <c r="H8" s="50">
        <f>Overview!L92</f>
        <v>155587.52895295009</v>
      </c>
      <c r="I8" s="50">
        <f>Overview!M92</f>
        <v>157638.80401259236</v>
      </c>
      <c r="J8" s="50">
        <f>Overview!N92</f>
        <v>159542.04891329139</v>
      </c>
      <c r="K8" s="50">
        <f>Overview!O92</f>
        <v>160853.17317821749</v>
      </c>
      <c r="L8" s="50">
        <f>Overview!P92</f>
        <v>162079.70878089016</v>
      </c>
      <c r="M8" s="50">
        <f>Overview!Q92</f>
        <v>163242.80288687296</v>
      </c>
      <c r="N8" s="50">
        <f>Overview!R92</f>
        <v>164321.30833060242</v>
      </c>
      <c r="O8" s="50">
        <f>Overview!S92</f>
        <v>165336.37227764187</v>
      </c>
      <c r="P8" s="50">
        <f>Overview!T92</f>
        <v>166309.14189355471</v>
      </c>
      <c r="Q8" s="50">
        <f>Overview!U92</f>
        <v>167218.4700127776</v>
      </c>
      <c r="R8" s="50">
        <f>Overview!V92</f>
        <v>168064.35663531051</v>
      </c>
      <c r="S8" s="1"/>
      <c r="T8" s="1"/>
      <c r="U8" s="1"/>
      <c r="V8" s="1"/>
      <c r="W8" s="1"/>
      <c r="X8" s="1"/>
      <c r="Y8" s="1"/>
      <c r="Z8" s="1"/>
      <c r="AA8" s="1"/>
    </row>
    <row r="9" spans="1:27" ht="15.75" customHeight="1">
      <c r="A9" s="1"/>
      <c r="B9" s="1"/>
      <c r="C9" s="49"/>
      <c r="D9" s="49"/>
      <c r="E9" s="49"/>
      <c r="F9" s="49"/>
      <c r="G9" s="49"/>
      <c r="H9" s="49"/>
      <c r="I9" s="1"/>
      <c r="J9" s="1"/>
      <c r="K9" s="1"/>
      <c r="L9" s="1"/>
      <c r="M9" s="1"/>
      <c r="N9" s="1"/>
      <c r="O9" s="1"/>
      <c r="P9" s="1"/>
      <c r="Q9" s="1"/>
      <c r="R9" s="1"/>
      <c r="S9" s="1"/>
      <c r="T9" s="1"/>
      <c r="U9" s="1"/>
      <c r="V9" s="1"/>
      <c r="W9" s="1"/>
      <c r="X9" s="1"/>
      <c r="Y9" s="1"/>
      <c r="Z9" s="1"/>
      <c r="AA9" s="1"/>
    </row>
    <row r="10" spans="1:27" ht="15.75" customHeight="1">
      <c r="A10" s="10"/>
      <c r="B10" s="12" t="s">
        <v>40</v>
      </c>
      <c r="C10" s="50">
        <f>Overview!F100</f>
        <v>6267.5</v>
      </c>
      <c r="D10" s="50">
        <f>Overview!H100</f>
        <v>75210</v>
      </c>
      <c r="E10" s="50">
        <f>Overview!I100</f>
        <v>109812.45</v>
      </c>
      <c r="F10" s="50">
        <f>Overview!J100</f>
        <v>109812.45</v>
      </c>
      <c r="G10" s="50">
        <f>Overview!K100</f>
        <v>109812.45</v>
      </c>
      <c r="H10" s="50">
        <f>Overview!L100</f>
        <v>109812.45</v>
      </c>
      <c r="I10" s="50">
        <f>Overview!M100</f>
        <v>109812.45</v>
      </c>
      <c r="J10" s="50">
        <f>Overview!N100</f>
        <v>109812.45</v>
      </c>
      <c r="K10" s="50">
        <f>Overview!O100</f>
        <v>109812.45</v>
      </c>
      <c r="L10" s="50">
        <f>Overview!P100</f>
        <v>109812.45</v>
      </c>
      <c r="M10" s="50">
        <f>Overview!Q100</f>
        <v>109812.45</v>
      </c>
      <c r="N10" s="50">
        <f>Overview!R100</f>
        <v>109812.45</v>
      </c>
      <c r="O10" s="50">
        <f>Overview!S100</f>
        <v>109812.45</v>
      </c>
      <c r="P10" s="50">
        <f>Overview!T100</f>
        <v>109812.45</v>
      </c>
      <c r="Q10" s="50">
        <f>Overview!U100</f>
        <v>109812.45</v>
      </c>
      <c r="R10" s="50">
        <f>Overview!V100</f>
        <v>109812.45</v>
      </c>
      <c r="S10" s="1"/>
      <c r="T10" s="1"/>
      <c r="U10" s="1"/>
      <c r="V10" s="1"/>
      <c r="W10" s="1"/>
      <c r="X10" s="1"/>
      <c r="Y10" s="1"/>
      <c r="Z10" s="1"/>
      <c r="AA10" s="1"/>
    </row>
    <row r="11" spans="1:27" ht="15.75" customHeight="1">
      <c r="A11" s="1"/>
      <c r="B11" s="1"/>
      <c r="C11" s="49"/>
      <c r="D11" s="49"/>
      <c r="E11" s="49"/>
      <c r="F11" s="49"/>
      <c r="G11" s="49"/>
      <c r="H11" s="49"/>
      <c r="I11" s="1"/>
      <c r="J11" s="1"/>
      <c r="K11" s="1"/>
      <c r="L11" s="1"/>
      <c r="M11" s="1"/>
      <c r="N11" s="1"/>
      <c r="O11" s="1"/>
      <c r="P11" s="1"/>
      <c r="Q11" s="1"/>
      <c r="R11" s="1"/>
      <c r="S11" s="1"/>
      <c r="T11" s="1"/>
      <c r="U11" s="1"/>
      <c r="V11" s="1"/>
      <c r="W11" s="1"/>
      <c r="X11" s="1"/>
      <c r="Y11" s="1"/>
      <c r="Z11" s="1"/>
      <c r="AA11" s="1"/>
    </row>
    <row r="12" spans="1:27" ht="15.75" customHeight="1">
      <c r="A12" s="10"/>
      <c r="B12" s="12" t="s">
        <v>207</v>
      </c>
      <c r="C12" s="50">
        <f>Overview!F102</f>
        <v>760.78876608144128</v>
      </c>
      <c r="D12" s="50">
        <f>Overview!H102</f>
        <v>9129.4651929772517</v>
      </c>
      <c r="E12" s="50">
        <f>Overview!I102</f>
        <v>37718.008873324041</v>
      </c>
      <c r="F12" s="50">
        <f>Overview!J102</f>
        <v>41101.555363455744</v>
      </c>
      <c r="G12" s="50">
        <f>Overview!K102</f>
        <v>43533.479403237798</v>
      </c>
      <c r="H12" s="50">
        <f>Overview!L102</f>
        <v>45775.078952950091</v>
      </c>
      <c r="I12" s="50">
        <f>Overview!M102</f>
        <v>47826.354012592361</v>
      </c>
      <c r="J12" s="50">
        <f>Overview!N102</f>
        <v>49729.598913291396</v>
      </c>
      <c r="K12" s="50">
        <f>Overview!O102</f>
        <v>51040.723178217493</v>
      </c>
      <c r="L12" s="50">
        <f>Overview!P102</f>
        <v>52267.258780890159</v>
      </c>
      <c r="M12" s="50">
        <f>Overview!Q102</f>
        <v>53430.352886872963</v>
      </c>
      <c r="N12" s="50">
        <f>Overview!R102</f>
        <v>54508.858330602423</v>
      </c>
      <c r="O12" s="50">
        <f>Overview!S102</f>
        <v>55523.922277641876</v>
      </c>
      <c r="P12" s="50">
        <f>Overview!T102</f>
        <v>56496.691893554715</v>
      </c>
      <c r="Q12" s="50">
        <f>Overview!U102</f>
        <v>57406.020012777604</v>
      </c>
      <c r="R12" s="50">
        <f>Overview!V102</f>
        <v>58251.906635310515</v>
      </c>
      <c r="S12" s="1"/>
      <c r="T12" s="1"/>
      <c r="U12" s="1"/>
      <c r="V12" s="1"/>
      <c r="W12" s="1"/>
      <c r="X12" s="1"/>
      <c r="Y12" s="1"/>
      <c r="Z12" s="1"/>
      <c r="AA12" s="1"/>
    </row>
    <row r="13" spans="1:27" s="26" customFormat="1" ht="15.75" customHeight="1">
      <c r="A13" s="11"/>
      <c r="B13" s="77"/>
      <c r="C13" s="78"/>
      <c r="D13" s="78"/>
      <c r="E13" s="78"/>
      <c r="F13" s="78"/>
      <c r="G13" s="78"/>
      <c r="H13" s="78"/>
      <c r="I13" s="78"/>
      <c r="J13" s="78"/>
      <c r="K13" s="78"/>
      <c r="L13" s="78"/>
      <c r="M13" s="78"/>
      <c r="N13" s="78"/>
      <c r="O13" s="78"/>
      <c r="P13" s="78"/>
      <c r="Q13" s="78"/>
      <c r="R13" s="78"/>
      <c r="S13" s="1"/>
      <c r="T13" s="1"/>
      <c r="U13" s="1"/>
      <c r="V13" s="1"/>
      <c r="W13" s="1"/>
      <c r="X13" s="1"/>
      <c r="Y13" s="1"/>
      <c r="Z13" s="1"/>
      <c r="AA13" s="1"/>
    </row>
    <row r="14" spans="1:27" s="26" customFormat="1" ht="15.75" customHeight="1">
      <c r="A14" s="11"/>
      <c r="B14" s="77" t="s">
        <v>213</v>
      </c>
      <c r="C14" s="78"/>
      <c r="D14" s="78">
        <f>Overview!H104</f>
        <v>16709.955871789567</v>
      </c>
      <c r="E14" s="78">
        <f>Overview!I104</f>
        <v>16709.955871789567</v>
      </c>
      <c r="F14" s="78">
        <f>Overview!J104</f>
        <v>16709.955871789567</v>
      </c>
      <c r="G14" s="78">
        <f>Overview!K104</f>
        <v>16709.955871789567</v>
      </c>
      <c r="H14" s="78">
        <f>Overview!L104</f>
        <v>16709.955871789567</v>
      </c>
      <c r="I14" s="78">
        <f>Overview!M104</f>
        <v>16709.955871789567</v>
      </c>
      <c r="J14" s="78">
        <f>Overview!N104</f>
        <v>16709.955871789567</v>
      </c>
      <c r="K14" s="78">
        <f>Overview!O104</f>
        <v>16709.955871789567</v>
      </c>
      <c r="L14" s="78">
        <f>Overview!P104</f>
        <v>0</v>
      </c>
      <c r="M14" s="78">
        <f>Overview!Q104</f>
        <v>0</v>
      </c>
      <c r="N14" s="78">
        <f>Overview!R104</f>
        <v>0</v>
      </c>
      <c r="O14" s="78">
        <f>Overview!S104</f>
        <v>0</v>
      </c>
      <c r="P14" s="78">
        <f>Overview!T104</f>
        <v>0</v>
      </c>
      <c r="Q14" s="78">
        <f>Overview!U104</f>
        <v>0</v>
      </c>
      <c r="R14" s="78">
        <f>Overview!V104</f>
        <v>0</v>
      </c>
      <c r="S14" s="87" t="s">
        <v>216</v>
      </c>
      <c r="T14" s="1"/>
      <c r="U14" s="1"/>
      <c r="V14" s="1"/>
      <c r="W14" s="1"/>
      <c r="X14" s="1"/>
      <c r="Y14" s="1"/>
      <c r="Z14" s="1"/>
      <c r="AA14" s="1"/>
    </row>
    <row r="15" spans="1:27" s="26" customFormat="1" ht="15.75" customHeight="1">
      <c r="A15" s="11"/>
      <c r="B15" s="80" t="s">
        <v>214</v>
      </c>
      <c r="C15" s="81"/>
      <c r="D15" s="78">
        <f>Overview!H105</f>
        <v>-96690.044128210429</v>
      </c>
      <c r="E15" s="78">
        <f>Overview!I105</f>
        <v>-84814.590462831373</v>
      </c>
      <c r="F15" s="78">
        <f>Overview!J105</f>
        <v>-72345.364114183365</v>
      </c>
      <c r="G15" s="78">
        <f>Overview!K105</f>
        <v>-59252.67644810296</v>
      </c>
      <c r="H15" s="78">
        <f>Overview!L105</f>
        <v>-45505.354398718548</v>
      </c>
      <c r="I15" s="78">
        <f>Overview!M105</f>
        <v>-31070.666246864908</v>
      </c>
      <c r="J15" s="78">
        <f>Overview!N105</f>
        <v>-15914.243687418588</v>
      </c>
      <c r="K15" s="78">
        <f>Overview!O105</f>
        <v>4.9794834922067821E-11</v>
      </c>
      <c r="L15" s="78">
        <f>Overview!P105</f>
        <v>5.2284576668171209E-11</v>
      </c>
      <c r="M15" s="78">
        <f>Overview!Q105</f>
        <v>5.4898805501579771E-11</v>
      </c>
      <c r="N15" s="78">
        <f>Overview!R105</f>
        <v>5.7643745776658758E-11</v>
      </c>
      <c r="O15" s="78">
        <f>Overview!S105</f>
        <v>6.0525933065491697E-11</v>
      </c>
      <c r="P15" s="78">
        <f>Overview!T105</f>
        <v>6.355222971876628E-11</v>
      </c>
      <c r="Q15" s="78">
        <f>Overview!U105</f>
        <v>6.67298412047046E-11</v>
      </c>
      <c r="R15" s="78">
        <f>Overview!V105</f>
        <v>7.006633326493983E-11</v>
      </c>
      <c r="S15" s="1"/>
      <c r="T15" s="1"/>
      <c r="U15" s="1"/>
      <c r="V15" s="1"/>
      <c r="W15" s="1"/>
      <c r="X15" s="1"/>
      <c r="Y15" s="1"/>
      <c r="Z15" s="1"/>
      <c r="AA15" s="1"/>
    </row>
    <row r="16" spans="1:27" s="26" customFormat="1" ht="15.75" customHeight="1">
      <c r="A16" s="11"/>
      <c r="B16" s="47" t="s">
        <v>296</v>
      </c>
      <c r="C16" s="42">
        <f>Overview!F107</f>
        <v>845.51534637624582</v>
      </c>
      <c r="D16" s="125">
        <f>Overview!H107</f>
        <v>10146.18415651495</v>
      </c>
      <c r="E16" s="125">
        <f>'CapEx Breakdown'!$I$37</f>
        <v>20292.3683130299</v>
      </c>
      <c r="F16" s="125">
        <f>'CapEx Breakdown'!$I$37</f>
        <v>20292.3683130299</v>
      </c>
      <c r="G16" s="125">
        <f>'CapEx Breakdown'!$I$37</f>
        <v>20292.3683130299</v>
      </c>
      <c r="H16" s="125">
        <f>'CapEx Breakdown'!$I$37</f>
        <v>20292.3683130299</v>
      </c>
      <c r="I16" s="125">
        <f>'CapEx Breakdown'!$I$37</f>
        <v>20292.3683130299</v>
      </c>
      <c r="J16" s="125">
        <f>'CapEx Breakdown'!$I$37</f>
        <v>20292.3683130299</v>
      </c>
      <c r="K16" s="125">
        <f>'CapEx Breakdown'!$I$37</f>
        <v>20292.3683130299</v>
      </c>
      <c r="L16" s="125">
        <f>'CapEx Breakdown'!$I$37</f>
        <v>20292.3683130299</v>
      </c>
      <c r="M16" s="125">
        <f>'CapEx Breakdown'!$I$37</f>
        <v>20292.3683130299</v>
      </c>
      <c r="N16" s="125">
        <f>'CapEx Breakdown'!$I$37</f>
        <v>20292.3683130299</v>
      </c>
      <c r="O16" s="125">
        <f>'CapEx Breakdown'!$I$37</f>
        <v>20292.3683130299</v>
      </c>
      <c r="P16" s="125">
        <f>'CapEx Breakdown'!$I$37</f>
        <v>20292.3683130299</v>
      </c>
      <c r="Q16" s="125">
        <f>'CapEx Breakdown'!$I$37</f>
        <v>20292.3683130299</v>
      </c>
      <c r="R16" s="125">
        <f>'CapEx Breakdown'!$I$37</f>
        <v>20292.3683130299</v>
      </c>
      <c r="X16" s="1"/>
      <c r="Y16" s="1"/>
      <c r="Z16" s="1"/>
      <c r="AA16" s="1"/>
    </row>
    <row r="17" spans="1:27" s="26" customFormat="1" ht="15.75" customHeight="1">
      <c r="A17" s="11"/>
      <c r="B17" s="77"/>
      <c r="C17" s="78"/>
      <c r="D17" s="78"/>
      <c r="E17" s="78"/>
      <c r="F17" s="78"/>
      <c r="G17" s="78"/>
      <c r="H17" s="78"/>
      <c r="I17" s="78"/>
      <c r="J17" s="78"/>
      <c r="K17" s="78"/>
      <c r="L17" s="78"/>
      <c r="M17" s="78"/>
      <c r="N17" s="78"/>
      <c r="O17" s="78"/>
      <c r="P17" s="78"/>
      <c r="Q17" s="78"/>
      <c r="R17" s="78"/>
      <c r="S17" s="1"/>
      <c r="T17" s="1"/>
      <c r="U17" s="1"/>
      <c r="V17" s="1"/>
      <c r="W17" s="1"/>
      <c r="X17" s="1"/>
      <c r="Y17" s="1"/>
      <c r="Z17" s="1"/>
      <c r="AA17" s="1"/>
    </row>
    <row r="18" spans="1:27" ht="15.75" customHeight="1">
      <c r="A18" s="13"/>
      <c r="B18" s="77" t="s">
        <v>208</v>
      </c>
      <c r="C18" s="78">
        <f>C12-C16</f>
        <v>-84.726580294804535</v>
      </c>
      <c r="D18" s="78">
        <f>D12-(D12*Overview!$B$54)-D14-D16</f>
        <v>-17726.674835327263</v>
      </c>
      <c r="E18" s="78">
        <f>E12-(E12*Overview!$B$54)-E14-E16</f>
        <v>715.6846885045743</v>
      </c>
      <c r="F18" s="78">
        <f>F12-(F12*Overview!$B$54)-F14-F16</f>
        <v>4099.231178636277</v>
      </c>
      <c r="G18" s="78">
        <f>G12-(G12*Overview!$B$54)-G14-G16</f>
        <v>6531.1552184183311</v>
      </c>
      <c r="H18" s="78">
        <f>H12-(H12*Overview!$B$54)-H14-H16</f>
        <v>8772.7547681306241</v>
      </c>
      <c r="I18" s="78">
        <f>I12-(I12*Overview!$B$54)-I14-I16</f>
        <v>10824.029827772894</v>
      </c>
      <c r="J18" s="78">
        <f>J12-(J12*Overview!$B$54)-J14-J16</f>
        <v>12727.274728471926</v>
      </c>
      <c r="K18" s="78">
        <f>K12-(K12*Overview!$B$54)-K14-K16</f>
        <v>14038.398993398023</v>
      </c>
      <c r="L18" s="78">
        <f>L12-(L12*Overview!$B$54)-L14-L16</f>
        <v>31974.890467860259</v>
      </c>
      <c r="M18" s="78">
        <f>M12-(M12*Overview!$B$54)-M14-M16</f>
        <v>33137.984573843059</v>
      </c>
      <c r="N18" s="78">
        <f>N12-(N12*Overview!$B$54)-N14-N16</f>
        <v>34216.49001757252</v>
      </c>
      <c r="O18" s="78">
        <f>O12-(O12*Overview!$B$54)-O14-O16</f>
        <v>35231.553964611972</v>
      </c>
      <c r="P18" s="78">
        <f>P12-(P12*Overview!$B$54)-P14-P16</f>
        <v>36204.323580524811</v>
      </c>
      <c r="Q18" s="78">
        <f>Q12-(Q12*Overview!$B$54)-Q14-Q16</f>
        <v>37113.651699747701</v>
      </c>
      <c r="R18" s="78">
        <f>R12-(R12*Overview!$B$54)-R14-R16</f>
        <v>37959.538322280612</v>
      </c>
      <c r="S18" s="1"/>
      <c r="T18" s="1"/>
      <c r="U18" s="1"/>
      <c r="V18" s="1"/>
      <c r="W18" s="1"/>
      <c r="X18" s="13"/>
      <c r="Y18" s="13"/>
      <c r="Z18" s="13"/>
      <c r="AA18" s="13"/>
    </row>
    <row r="19" spans="1:27" ht="15.75" customHeight="1">
      <c r="A19" s="13"/>
      <c r="B19" s="79" t="s">
        <v>202</v>
      </c>
      <c r="C19" s="51"/>
      <c r="D19" s="51">
        <f>-H3+D12</f>
        <v>-213978.16534640256</v>
      </c>
      <c r="E19" s="51">
        <f>D19+E12</f>
        <v>-176260.15647307853</v>
      </c>
      <c r="F19" s="51">
        <f>E19+F12</f>
        <v>-135158.6011096228</v>
      </c>
      <c r="G19" s="51">
        <f t="shared" ref="G19:J19" si="0">F19+G12</f>
        <v>-91625.121706385005</v>
      </c>
      <c r="H19" s="51">
        <f>G19+H12</f>
        <v>-45850.042753434915</v>
      </c>
      <c r="I19" s="51">
        <f t="shared" si="0"/>
        <v>1976.3112591574463</v>
      </c>
      <c r="J19" s="51">
        <f t="shared" si="0"/>
        <v>51705.910172448843</v>
      </c>
      <c r="K19" s="51">
        <f t="shared" ref="K19:R19" si="1">J19+K12</f>
        <v>102746.63335066634</v>
      </c>
      <c r="L19" s="51">
        <f t="shared" si="1"/>
        <v>155013.89213155649</v>
      </c>
      <c r="M19" s="51">
        <f t="shared" si="1"/>
        <v>208444.24501842947</v>
      </c>
      <c r="N19" s="51">
        <f t="shared" si="1"/>
        <v>262953.10334903188</v>
      </c>
      <c r="O19" s="51">
        <f t="shared" si="1"/>
        <v>318477.02562667377</v>
      </c>
      <c r="P19" s="51">
        <f t="shared" si="1"/>
        <v>374973.71752022847</v>
      </c>
      <c r="Q19" s="51">
        <f t="shared" si="1"/>
        <v>432379.73753300606</v>
      </c>
      <c r="R19" s="51">
        <f t="shared" si="1"/>
        <v>490631.64416831656</v>
      </c>
      <c r="S19" s="13"/>
      <c r="T19" s="13"/>
      <c r="U19" s="13"/>
      <c r="V19" s="13"/>
      <c r="W19" s="13"/>
      <c r="X19" s="13"/>
      <c r="Y19" s="13"/>
      <c r="Z19" s="13"/>
      <c r="AA19" s="13"/>
    </row>
    <row r="20" spans="1:27" s="26" customFormat="1" ht="15.75" customHeight="1">
      <c r="A20" s="13"/>
      <c r="B20" s="14" t="s">
        <v>204</v>
      </c>
      <c r="C20" s="15"/>
      <c r="D20" s="16">
        <v>1</v>
      </c>
      <c r="E20" s="16">
        <v>2</v>
      </c>
      <c r="F20" s="16">
        <v>3</v>
      </c>
      <c r="G20" s="16">
        <v>4</v>
      </c>
      <c r="H20" s="16">
        <v>5</v>
      </c>
      <c r="I20" s="16">
        <v>6</v>
      </c>
      <c r="J20" s="16">
        <v>7</v>
      </c>
      <c r="K20" s="16">
        <v>8</v>
      </c>
      <c r="L20" s="16">
        <v>9</v>
      </c>
      <c r="M20" s="16">
        <v>10</v>
      </c>
      <c r="N20" s="16">
        <v>11</v>
      </c>
      <c r="O20" s="16">
        <v>12</v>
      </c>
      <c r="P20" s="16">
        <v>13</v>
      </c>
      <c r="Q20" s="16">
        <v>14</v>
      </c>
      <c r="R20" s="16">
        <v>15</v>
      </c>
      <c r="S20" s="13"/>
      <c r="T20" s="13"/>
      <c r="U20" s="13"/>
      <c r="V20" s="13"/>
      <c r="W20" s="13"/>
      <c r="X20" s="13"/>
      <c r="Y20" s="13"/>
      <c r="Z20" s="13"/>
      <c r="AA20" s="13"/>
    </row>
    <row r="21" spans="1:27" s="26" customFormat="1" ht="15.75" customHeight="1">
      <c r="A21" s="13"/>
      <c r="B21" s="75" t="s">
        <v>82</v>
      </c>
      <c r="C21" s="15"/>
      <c r="D21" s="76">
        <f>(D18/$H$3)</f>
        <v>-7.9453467335346917E-2</v>
      </c>
      <c r="E21" s="76">
        <f t="shared" ref="E21:R21" si="2">(E18/$H$3)</f>
        <v>3.207800140113324E-3</v>
      </c>
      <c r="F21" s="76">
        <f t="shared" si="2"/>
        <v>1.8373334738601595E-2</v>
      </c>
      <c r="G21" s="76">
        <f t="shared" si="2"/>
        <v>2.9273562731264559E-2</v>
      </c>
      <c r="H21" s="76">
        <f t="shared" si="2"/>
        <v>3.9320729402763217E-2</v>
      </c>
      <c r="I21" s="76">
        <f t="shared" si="2"/>
        <v>4.8514834753096397E-2</v>
      </c>
      <c r="J21" s="76">
        <f>(J18/$H$3)</f>
        <v>5.7045447964745817E-2</v>
      </c>
      <c r="K21" s="76">
        <f t="shared" si="2"/>
        <v>6.2922092621660305E-2</v>
      </c>
      <c r="L21" s="76">
        <f t="shared" si="2"/>
        <v>0.14331598785105873</v>
      </c>
      <c r="M21" s="76">
        <f t="shared" si="2"/>
        <v>0.14852914036928921</v>
      </c>
      <c r="N21" s="76">
        <f t="shared" si="2"/>
        <v>0.15336315452255725</v>
      </c>
      <c r="O21" s="76">
        <f t="shared" si="2"/>
        <v>0.15791281490210349</v>
      </c>
      <c r="P21" s="76">
        <f t="shared" si="2"/>
        <v>0.16227290609916875</v>
      </c>
      <c r="Q21" s="76">
        <f t="shared" si="2"/>
        <v>0.16634864352251244</v>
      </c>
      <c r="R21" s="76">
        <f t="shared" si="2"/>
        <v>0.17014002717213444</v>
      </c>
      <c r="S21" s="13"/>
      <c r="T21" s="13"/>
      <c r="U21" s="13"/>
      <c r="V21" s="13"/>
      <c r="W21" s="13"/>
      <c r="X21" s="13"/>
      <c r="Y21" s="13"/>
      <c r="Z21" s="13"/>
      <c r="AA21" s="13"/>
    </row>
    <row r="22" spans="1:27" ht="15.75" customHeight="1">
      <c r="A22" s="1"/>
      <c r="B22" s="14"/>
      <c r="C22" s="15"/>
      <c r="D22" s="16"/>
      <c r="E22" s="16"/>
      <c r="F22" s="16"/>
      <c r="G22" s="16"/>
      <c r="H22" s="16"/>
      <c r="I22" s="16"/>
      <c r="J22" s="16"/>
      <c r="K22" s="16"/>
      <c r="L22" s="16"/>
      <c r="M22" s="16"/>
      <c r="N22" s="13"/>
      <c r="O22" s="13"/>
      <c r="P22" s="13"/>
      <c r="Q22" s="13"/>
      <c r="R22" s="13"/>
      <c r="S22" s="13"/>
      <c r="T22" s="13"/>
      <c r="U22" s="13"/>
      <c r="V22" s="13"/>
      <c r="W22" s="13"/>
      <c r="X22" s="1"/>
      <c r="Y22" s="1"/>
      <c r="Z22" s="1"/>
      <c r="AA22" s="1"/>
    </row>
    <row r="23" spans="1:27" ht="15.75" customHeight="1">
      <c r="A23" s="1"/>
      <c r="B23" s="6" t="s">
        <v>41</v>
      </c>
      <c r="C23" s="17" t="str">
        <f>IF(D19&gt;0,D20,IF(E19&gt;0,E20,IF(F19&gt;0,F20,IF(G19&gt;0,G20,IF(H19&gt;0,H20,"&gt; 5 years")))))</f>
        <v>&gt; 5 years</v>
      </c>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c r="A24" s="1"/>
      <c r="B24" s="18" t="s">
        <v>42</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c r="A25" s="1"/>
      <c r="B25" s="19"/>
      <c r="C25" s="19"/>
      <c r="D25" s="19"/>
      <c r="E25" s="19"/>
      <c r="F25" s="19"/>
      <c r="G25" s="19"/>
      <c r="H25" s="19"/>
      <c r="I25" s="1"/>
      <c r="J25" s="1"/>
      <c r="K25" s="1"/>
      <c r="L25" s="1"/>
      <c r="M25" s="1"/>
      <c r="N25" s="1"/>
      <c r="O25" s="1"/>
      <c r="P25" s="1"/>
      <c r="Q25" s="1"/>
      <c r="R25" s="1"/>
      <c r="S25" s="1"/>
      <c r="T25" s="1"/>
      <c r="U25" s="1"/>
      <c r="V25" s="1"/>
      <c r="W25" s="1"/>
      <c r="X25" s="1"/>
      <c r="Y25" s="1"/>
      <c r="Z25" s="1"/>
      <c r="AA25" s="1"/>
    </row>
    <row r="26" spans="1:27" ht="15.75" customHeight="1">
      <c r="A26" s="1"/>
      <c r="B26" s="145" t="s">
        <v>455</v>
      </c>
      <c r="C26" s="145">
        <f>SUM(Overview!O68:O71)/(0.065*3*365)</f>
        <v>119.8836728174807</v>
      </c>
      <c r="D26" s="19"/>
      <c r="E26" s="19"/>
      <c r="F26" s="19"/>
      <c r="G26" s="19"/>
      <c r="H26" s="19"/>
      <c r="I26" s="1"/>
      <c r="J26" s="1"/>
      <c r="K26" s="1"/>
      <c r="L26" s="1"/>
      <c r="M26" s="1"/>
      <c r="N26" s="1"/>
      <c r="O26" s="1"/>
      <c r="P26" s="1"/>
      <c r="Q26" s="1"/>
      <c r="R26" s="1"/>
      <c r="S26" s="1"/>
      <c r="T26" s="1"/>
      <c r="U26" s="1"/>
      <c r="V26" s="1"/>
      <c r="W26" s="1"/>
      <c r="X26" s="1"/>
      <c r="Y26" s="1"/>
      <c r="Z26" s="1"/>
      <c r="AA26" s="1"/>
    </row>
    <row r="27" spans="1:27" ht="15.75" customHeight="1">
      <c r="A27" s="1"/>
      <c r="B27" s="146" t="s">
        <v>456</v>
      </c>
      <c r="C27" s="1">
        <f>Overview!G140</f>
        <v>5.5</v>
      </c>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c r="A28" s="1"/>
      <c r="B28" s="146" t="s">
        <v>457</v>
      </c>
      <c r="C28" s="146">
        <f>SUM(Overview!V68:V71)</f>
        <v>8854.9059582120917</v>
      </c>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c r="A29" s="1"/>
      <c r="B29" s="146"/>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5.75" customHeight="1">
      <c r="B1007" s="1"/>
      <c r="C1007" s="1"/>
      <c r="D1007" s="1"/>
      <c r="E1007" s="1"/>
      <c r="F1007" s="1"/>
      <c r="G1007" s="1"/>
      <c r="H1007" s="1"/>
      <c r="I1007" s="1"/>
      <c r="J1007" s="1"/>
      <c r="K1007" s="1"/>
      <c r="L1007" s="1"/>
      <c r="M1007" s="1"/>
      <c r="N1007" s="1"/>
      <c r="O1007" s="1"/>
      <c r="P1007" s="1"/>
      <c r="Q1007" s="1"/>
      <c r="R1007" s="1"/>
      <c r="S1007" s="1"/>
      <c r="T1007" s="1"/>
      <c r="U1007" s="1"/>
      <c r="V1007" s="1"/>
      <c r="W1007" s="1"/>
    </row>
  </sheetData>
  <phoneticPr fontId="32"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56"/>
  <sheetViews>
    <sheetView zoomScaleNormal="100" workbookViewId="0">
      <selection activeCell="B56" sqref="B56"/>
    </sheetView>
  </sheetViews>
  <sheetFormatPr baseColWidth="10" defaultColWidth="14.5" defaultRowHeight="15.75" customHeight="1"/>
  <cols>
    <col min="1" max="1" width="56" customWidth="1"/>
    <col min="2" max="2" width="18.1640625" customWidth="1"/>
    <col min="3" max="3" width="20.1640625" customWidth="1"/>
    <col min="4" max="4" width="2.6640625" customWidth="1"/>
    <col min="5" max="5" width="3.1640625" customWidth="1"/>
    <col min="6" max="6" width="22.83203125" customWidth="1"/>
    <col min="7" max="7" width="25" customWidth="1"/>
    <col min="8" max="8" width="18.83203125" customWidth="1"/>
    <col min="9" max="9" width="19.1640625" customWidth="1"/>
    <col min="10" max="10" width="16.33203125" customWidth="1"/>
    <col min="18" max="18" width="15.1640625" customWidth="1"/>
  </cols>
  <sheetData>
    <row r="1" spans="1:22" ht="13">
      <c r="A1" s="365" t="s">
        <v>518</v>
      </c>
      <c r="B1" s="366"/>
      <c r="C1" s="366"/>
      <c r="D1" s="366"/>
      <c r="E1" s="366"/>
      <c r="F1" s="366"/>
      <c r="G1" s="366"/>
      <c r="H1" s="366"/>
    </row>
    <row r="2" spans="1:22" ht="15.75" customHeight="1">
      <c r="A2" s="366"/>
      <c r="B2" s="366"/>
      <c r="C2" s="366"/>
      <c r="D2" s="366"/>
      <c r="E2" s="366"/>
      <c r="F2" s="366"/>
      <c r="G2" s="366"/>
      <c r="H2" s="366"/>
    </row>
    <row r="3" spans="1:22" s="26" customFormat="1" ht="15.75" customHeight="1">
      <c r="A3" s="59" t="s">
        <v>168</v>
      </c>
    </row>
    <row r="4" spans="1:22" ht="13">
      <c r="A4" s="367" t="s">
        <v>517</v>
      </c>
      <c r="B4" s="366"/>
      <c r="C4" s="366"/>
      <c r="D4" s="366"/>
      <c r="E4" s="366"/>
      <c r="F4" s="366"/>
      <c r="G4" s="366"/>
      <c r="H4" s="366"/>
    </row>
    <row r="5" spans="1:22" ht="13">
      <c r="A5" s="368" t="s">
        <v>160</v>
      </c>
      <c r="B5" s="366"/>
      <c r="C5" s="366"/>
      <c r="D5" s="366"/>
      <c r="E5" s="366"/>
      <c r="F5" s="366"/>
      <c r="G5" s="366"/>
      <c r="H5" s="366"/>
    </row>
    <row r="6" spans="1:22" s="26" customFormat="1" ht="13">
      <c r="A6" s="92" t="s">
        <v>543</v>
      </c>
      <c r="B6" s="93"/>
      <c r="C6" s="93"/>
      <c r="D6" s="93"/>
      <c r="E6" s="93"/>
      <c r="F6" s="93"/>
      <c r="G6" s="93"/>
      <c r="H6" s="93"/>
    </row>
    <row r="7" spans="1:22" ht="13">
      <c r="A7" s="369" t="s">
        <v>162</v>
      </c>
      <c r="B7" s="366"/>
      <c r="C7" s="366"/>
      <c r="D7" s="366"/>
      <c r="E7" s="366"/>
      <c r="F7" s="366"/>
      <c r="G7" s="366"/>
      <c r="H7" s="366"/>
    </row>
    <row r="8" spans="1:22" s="26" customFormat="1" ht="13">
      <c r="A8" s="256" t="s">
        <v>226</v>
      </c>
      <c r="B8" s="55"/>
      <c r="C8" s="55"/>
      <c r="D8" s="55"/>
      <c r="E8" s="55"/>
      <c r="F8" s="55"/>
      <c r="G8" s="55"/>
      <c r="H8" s="55"/>
    </row>
    <row r="9" spans="1:22" s="26" customFormat="1" ht="13">
      <c r="A9" s="86" t="s">
        <v>215</v>
      </c>
    </row>
    <row r="10" spans="1:22" s="26" customFormat="1" ht="13">
      <c r="A10" s="56" t="s">
        <v>167</v>
      </c>
      <c r="B10" s="56"/>
      <c r="C10" s="56"/>
      <c r="D10" s="56"/>
      <c r="E10" s="56"/>
      <c r="F10" s="56"/>
      <c r="G10" s="56"/>
      <c r="H10" s="56"/>
    </row>
    <row r="11" spans="1:22" s="351" customFormat="1" ht="14" thickBot="1">
      <c r="A11" s="56"/>
      <c r="B11" s="56"/>
      <c r="C11" s="56"/>
      <c r="D11" s="56"/>
      <c r="E11" s="56"/>
      <c r="F11" s="56"/>
      <c r="G11" s="56"/>
      <c r="H11" s="56"/>
    </row>
    <row r="12" spans="1:22" s="351" customFormat="1" ht="14" thickBot="1">
      <c r="A12" s="353" t="s">
        <v>861</v>
      </c>
      <c r="B12" s="354">
        <v>44228</v>
      </c>
      <c r="C12" s="56"/>
      <c r="D12" s="56"/>
      <c r="E12" s="56"/>
      <c r="F12" s="56"/>
      <c r="G12" s="56"/>
      <c r="H12" s="56"/>
    </row>
    <row r="13" spans="1:22" ht="15.75" customHeight="1">
      <c r="L13" s="217"/>
      <c r="M13" s="217"/>
      <c r="N13" s="218"/>
      <c r="O13" s="218"/>
      <c r="P13" s="218"/>
      <c r="Q13" s="218"/>
      <c r="R13" s="219"/>
      <c r="S13" s="219"/>
      <c r="T13" s="364"/>
      <c r="U13" s="364"/>
    </row>
    <row r="14" spans="1:22" ht="16">
      <c r="A14" s="2" t="s">
        <v>2</v>
      </c>
      <c r="B14" s="222" t="s">
        <v>169</v>
      </c>
      <c r="C14" s="222" t="s">
        <v>170</v>
      </c>
      <c r="D14" s="269"/>
      <c r="E14" s="269"/>
      <c r="F14" s="327" t="s">
        <v>553</v>
      </c>
      <c r="G14" s="219"/>
      <c r="H14" s="171" t="s">
        <v>307</v>
      </c>
      <c r="I14" s="171" t="s">
        <v>308</v>
      </c>
      <c r="J14" s="171" t="s">
        <v>309</v>
      </c>
      <c r="K14" s="171" t="s">
        <v>310</v>
      </c>
      <c r="L14" s="53"/>
      <c r="M14" s="213"/>
      <c r="N14" s="213"/>
      <c r="O14" s="213"/>
      <c r="P14" s="213"/>
      <c r="Q14" s="213"/>
      <c r="R14" s="213"/>
      <c r="S14" s="213"/>
      <c r="T14" s="213"/>
      <c r="U14" s="213"/>
      <c r="V14" s="210"/>
    </row>
    <row r="15" spans="1:22" s="26" customFormat="1" ht="13">
      <c r="A15" s="171" t="s">
        <v>224</v>
      </c>
      <c r="B15" s="223">
        <v>220</v>
      </c>
      <c r="C15" s="224">
        <f>B15*B21</f>
        <v>440</v>
      </c>
      <c r="D15" s="269"/>
      <c r="E15" s="269"/>
      <c r="F15" s="269"/>
      <c r="G15" s="323" t="s">
        <v>616</v>
      </c>
      <c r="H15" s="221" t="s">
        <v>590</v>
      </c>
      <c r="I15" s="173" t="s">
        <v>557</v>
      </c>
      <c r="J15" s="173" t="s">
        <v>472</v>
      </c>
      <c r="K15" s="173" t="s">
        <v>312</v>
      </c>
      <c r="L15" s="47" t="s">
        <v>64</v>
      </c>
      <c r="M15" s="215"/>
      <c r="N15" s="214"/>
      <c r="O15" s="214"/>
      <c r="P15" s="215"/>
      <c r="Q15" s="215"/>
      <c r="R15" s="216"/>
      <c r="S15" s="216"/>
      <c r="T15" s="210"/>
      <c r="U15" s="210"/>
      <c r="V15" s="210"/>
    </row>
    <row r="16" spans="1:22" s="128" customFormat="1" ht="13">
      <c r="A16" s="171" t="s">
        <v>453</v>
      </c>
      <c r="B16" s="225">
        <v>0.27</v>
      </c>
      <c r="C16" s="226"/>
      <c r="D16" s="269"/>
      <c r="E16" s="269"/>
      <c r="F16" s="269"/>
      <c r="G16" s="324" t="s">
        <v>317</v>
      </c>
      <c r="H16" s="172">
        <v>0.875</v>
      </c>
      <c r="I16" s="278">
        <v>6.25E-2</v>
      </c>
      <c r="J16" s="278">
        <v>6.25E-2</v>
      </c>
      <c r="K16" s="172">
        <v>0</v>
      </c>
      <c r="L16" s="127">
        <f>SUM(H16:K16)</f>
        <v>1</v>
      </c>
      <c r="M16" s="215"/>
      <c r="N16" s="214"/>
      <c r="O16" s="214"/>
      <c r="P16" s="215"/>
      <c r="Q16" s="215"/>
      <c r="R16" s="216"/>
      <c r="S16" s="216"/>
      <c r="T16" s="210"/>
      <c r="U16" s="210"/>
      <c r="V16" s="210"/>
    </row>
    <row r="17" spans="1:22" ht="13">
      <c r="A17" s="171" t="s">
        <v>305</v>
      </c>
      <c r="B17" s="227">
        <f>B15*B16</f>
        <v>59.400000000000006</v>
      </c>
      <c r="C17" s="228">
        <f>B17*B21</f>
        <v>118.80000000000001</v>
      </c>
      <c r="D17" s="269"/>
      <c r="E17" s="269"/>
      <c r="F17" s="185" t="s">
        <v>617</v>
      </c>
      <c r="G17" s="323" t="s">
        <v>311</v>
      </c>
      <c r="H17" s="173" t="s">
        <v>494</v>
      </c>
      <c r="I17" s="173" t="s">
        <v>494</v>
      </c>
      <c r="J17" s="173" t="s">
        <v>494</v>
      </c>
      <c r="K17" s="173" t="s">
        <v>462</v>
      </c>
      <c r="L17" s="55" t="s">
        <v>304</v>
      </c>
      <c r="M17" s="215"/>
      <c r="N17" s="214"/>
      <c r="O17" s="214"/>
      <c r="P17" s="215"/>
      <c r="Q17" s="215"/>
      <c r="R17" s="216"/>
      <c r="S17" s="216"/>
      <c r="T17" s="210"/>
      <c r="U17" s="210"/>
      <c r="V17" s="210"/>
    </row>
    <row r="18" spans="1:22" s="115" customFormat="1" ht="16">
      <c r="A18" s="250" t="s">
        <v>78</v>
      </c>
      <c r="B18" s="229">
        <v>4</v>
      </c>
      <c r="C18" s="228">
        <f>B18</f>
        <v>4</v>
      </c>
      <c r="D18" s="269"/>
      <c r="E18" s="269"/>
      <c r="F18" s="371" t="s">
        <v>618</v>
      </c>
      <c r="G18" s="323" t="s">
        <v>313</v>
      </c>
      <c r="H18" s="174">
        <f>VLOOKUP(H15, Database!$A$8:$Y$93, 4, FALSE)</f>
        <v>16</v>
      </c>
      <c r="I18" s="174">
        <f>VLOOKUP(I15, Database!$A$8:$Y$93, 4, FALSE)</f>
        <v>14</v>
      </c>
      <c r="J18" s="174">
        <f>VLOOKUP(J15, Database!$A$8:$Y$93, 4, FALSE)</f>
        <v>14</v>
      </c>
      <c r="K18" s="174">
        <f>VLOOKUP(K15, Database!$A$8:$Y$93, 4, FALSE)</f>
        <v>0</v>
      </c>
      <c r="L18" s="206">
        <f>((H18*H16)+(I18*I16)+(J18*J16)+(K18*K16))</f>
        <v>15.75</v>
      </c>
      <c r="M18" s="215"/>
      <c r="N18" s="214"/>
      <c r="O18" s="214"/>
      <c r="P18" s="215"/>
      <c r="Q18" s="215"/>
      <c r="R18" s="216"/>
      <c r="S18" s="216"/>
      <c r="T18" s="210"/>
      <c r="U18" s="210"/>
      <c r="V18" s="210"/>
    </row>
    <row r="19" spans="1:22" s="115" customFormat="1" ht="16">
      <c r="A19" s="252" t="s">
        <v>306</v>
      </c>
      <c r="B19" s="229">
        <f>B18*B17</f>
        <v>237.60000000000002</v>
      </c>
      <c r="C19" s="230">
        <f>C18*C17</f>
        <v>475.20000000000005</v>
      </c>
      <c r="D19" s="269"/>
      <c r="E19" s="269"/>
      <c r="F19" s="371"/>
      <c r="G19" s="292" t="s">
        <v>585</v>
      </c>
      <c r="H19" s="274">
        <f>(VLOOKUP(H15, Database!$A$8:$Y$93, 5, FALSE))-14</f>
        <v>21</v>
      </c>
      <c r="I19" s="274">
        <f>(VLOOKUP(I15, Database!$A$8:$Y$93, 5, FALSE))-14</f>
        <v>28</v>
      </c>
      <c r="J19" s="274">
        <f>(VLOOKUP(J15, Database!$A$8:$Y$93, 5, FALSE))-14</f>
        <v>28</v>
      </c>
      <c r="K19" s="274">
        <f>(VLOOKUP(K15, Database!$A$8:$Y$93, 5, FALSE))-14</f>
        <v>-14</v>
      </c>
      <c r="M19" s="210"/>
      <c r="N19" s="210"/>
      <c r="O19" s="210"/>
      <c r="P19" s="210"/>
      <c r="Q19" s="210"/>
      <c r="R19" s="210"/>
      <c r="S19" s="210"/>
      <c r="T19" s="210"/>
      <c r="U19" s="210"/>
      <c r="V19" s="210"/>
    </row>
    <row r="20" spans="1:22" ht="13" customHeight="1">
      <c r="A20" s="171" t="s">
        <v>591</v>
      </c>
      <c r="B20" s="231" t="s">
        <v>592</v>
      </c>
      <c r="C20" s="232" t="s">
        <v>592</v>
      </c>
      <c r="D20" s="269"/>
      <c r="E20" s="269"/>
      <c r="F20" s="185" t="s">
        <v>114</v>
      </c>
      <c r="G20" s="323" t="s">
        <v>586</v>
      </c>
      <c r="H20" s="175">
        <v>0.1</v>
      </c>
      <c r="I20" s="175">
        <v>7.4999999999999997E-2</v>
      </c>
      <c r="J20" s="175">
        <v>7.4999999999999997E-2</v>
      </c>
      <c r="K20" s="175">
        <v>0.5</v>
      </c>
      <c r="L20" s="206"/>
      <c r="M20" s="210"/>
      <c r="N20" s="210"/>
      <c r="O20" s="210"/>
      <c r="P20" s="210"/>
      <c r="Q20" s="210"/>
      <c r="R20" s="210"/>
      <c r="S20" s="210"/>
      <c r="T20" s="210"/>
      <c r="U20" s="210"/>
      <c r="V20" s="210"/>
    </row>
    <row r="21" spans="1:22" s="115" customFormat="1" ht="14" customHeight="1">
      <c r="A21" s="171" t="s">
        <v>320</v>
      </c>
      <c r="B21" s="233">
        <v>2</v>
      </c>
      <c r="C21" s="234"/>
      <c r="D21" s="269"/>
      <c r="E21" s="269"/>
      <c r="F21" s="185" t="s">
        <v>619</v>
      </c>
      <c r="G21" s="325" t="s">
        <v>612</v>
      </c>
      <c r="H21" s="175">
        <v>0.2</v>
      </c>
      <c r="I21" s="175">
        <v>7.4999999999999997E-2</v>
      </c>
      <c r="J21" s="175">
        <v>7.4999999999999997E-2</v>
      </c>
      <c r="K21" s="175">
        <v>0.5</v>
      </c>
      <c r="L21" s="277"/>
    </row>
    <row r="22" spans="1:22" s="152" customFormat="1" ht="13" customHeight="1">
      <c r="A22" s="171" t="s">
        <v>493</v>
      </c>
      <c r="B22" s="233">
        <v>128</v>
      </c>
      <c r="C22" s="235">
        <f>B22*B21</f>
        <v>256</v>
      </c>
      <c r="D22" s="269"/>
      <c r="E22" s="269"/>
      <c r="F22" s="185" t="s">
        <v>597</v>
      </c>
      <c r="G22" s="325" t="s">
        <v>598</v>
      </c>
      <c r="H22" s="289">
        <v>1</v>
      </c>
      <c r="I22" s="289">
        <v>1</v>
      </c>
      <c r="J22" s="289">
        <v>1</v>
      </c>
      <c r="K22" s="175">
        <v>0</v>
      </c>
    </row>
    <row r="23" spans="1:22" s="115" customFormat="1" ht="28" customHeight="1">
      <c r="A23" s="253" t="s">
        <v>18</v>
      </c>
      <c r="B23" s="239">
        <v>2</v>
      </c>
      <c r="C23" s="240">
        <v>1.5</v>
      </c>
      <c r="D23" s="269"/>
      <c r="E23" s="269"/>
      <c r="F23" s="380" t="s">
        <v>316</v>
      </c>
      <c r="G23" s="326" t="s">
        <v>595</v>
      </c>
      <c r="H23" s="176">
        <v>6</v>
      </c>
      <c r="I23" s="176">
        <v>1.5</v>
      </c>
      <c r="J23" s="176">
        <v>1.5</v>
      </c>
      <c r="K23" s="176">
        <v>7.5</v>
      </c>
      <c r="L23" s="277"/>
    </row>
    <row r="24" spans="1:22" ht="23" customHeight="1">
      <c r="A24" s="222" t="s">
        <v>19</v>
      </c>
      <c r="B24" s="241">
        <v>0.08</v>
      </c>
      <c r="C24" s="242">
        <v>2.5000000000000001E-2</v>
      </c>
      <c r="D24" s="269"/>
      <c r="E24" s="269"/>
      <c r="F24" s="380"/>
      <c r="G24" s="326" t="s">
        <v>596</v>
      </c>
      <c r="H24" s="176">
        <v>0</v>
      </c>
      <c r="I24" s="176">
        <v>0</v>
      </c>
      <c r="J24" s="176">
        <v>0</v>
      </c>
      <c r="K24" s="176">
        <v>7.5</v>
      </c>
      <c r="L24" s="277"/>
    </row>
    <row r="25" spans="1:22" ht="28" customHeight="1">
      <c r="A25" s="171" t="s">
        <v>516</v>
      </c>
      <c r="B25" s="236">
        <f>SUM(F68:F71)</f>
        <v>323.72088710333099</v>
      </c>
      <c r="C25" s="235">
        <f>SUM(G68:G71)</f>
        <v>661.45668796183475</v>
      </c>
      <c r="D25" s="269"/>
      <c r="E25" s="269"/>
      <c r="F25" s="379" t="s">
        <v>542</v>
      </c>
      <c r="G25" s="323" t="s">
        <v>314</v>
      </c>
      <c r="H25" s="177">
        <f>VLOOKUP(H15, Database!$A$8:$Y$93, MATCH(H17,Database!$A$7:$AA$7, 0),0)*$B$19*H16/12</f>
        <v>571.72500000000002</v>
      </c>
      <c r="I25" s="177">
        <f>VLOOKUP(I15, Database!$A$8:$Y$93, MATCH(I17,Database!$A$7:$AA$7, 0),0)*$B$19*I16/12</f>
        <v>16.170412500000001</v>
      </c>
      <c r="J25" s="177">
        <f>VLOOKUP(J15, Database!$A$8:$Y$93, MATCH(J17,Database!$A$7:$AA$7, 0),0)*$B$19*J16/12</f>
        <v>12.131035714285716</v>
      </c>
      <c r="K25" s="177">
        <f>VLOOKUP(K15, Database!$A$8:$Y$93, MATCH(K17,Database!$A$7:$AA$7, 0),0)*$B$19*K16/12</f>
        <v>0</v>
      </c>
      <c r="L25" s="183">
        <f t="shared" ref="L25:L30" si="0">SUM(H25:K25)</f>
        <v>600.02644821428578</v>
      </c>
    </row>
    <row r="26" spans="1:22" ht="13" customHeight="1">
      <c r="A26" s="171" t="s">
        <v>515</v>
      </c>
      <c r="B26" s="237">
        <f>F72</f>
        <v>9558.9371783341212</v>
      </c>
      <c r="C26" s="238">
        <f>G72</f>
        <v>19531.711354781699</v>
      </c>
      <c r="D26" s="269"/>
      <c r="E26" s="269"/>
      <c r="F26" s="379"/>
      <c r="G26" s="323" t="s">
        <v>315</v>
      </c>
      <c r="H26" s="178">
        <f>VLOOKUP(H15, Database!$A$8:$Y$93, MATCH(H17,Database!$A$7:$AA$7, 0),0)*$C$19*H16/12</f>
        <v>1143.45</v>
      </c>
      <c r="I26" s="178">
        <f>VLOOKUP(I15, Database!$A$8:$Y$93, MATCH(I17,Database!$A$7:$AA$7, 0),0)*$C$19*I16/12</f>
        <v>32.340825000000002</v>
      </c>
      <c r="J26" s="178">
        <f>VLOOKUP(J15, Database!$A$8:$Y$93, MATCH(J17,Database!$A$7:$AA$7, 0),0)*$C$19*J16/12</f>
        <v>24.262071428571431</v>
      </c>
      <c r="K26" s="178">
        <f>VLOOKUP(K15, Database!$A$8:$Y$93, MATCH(K17,Database!$A$7:$AA$7, 0),0)*$C$19*K16/12</f>
        <v>0</v>
      </c>
      <c r="L26" s="184">
        <f t="shared" si="0"/>
        <v>1200.0528964285716</v>
      </c>
    </row>
    <row r="27" spans="1:22" ht="14" customHeight="1">
      <c r="A27" s="4"/>
      <c r="B27" s="40"/>
      <c r="C27" s="40"/>
      <c r="F27" s="377" t="s">
        <v>588</v>
      </c>
      <c r="G27" s="185" t="s">
        <v>314</v>
      </c>
      <c r="H27" s="179">
        <f>(H25/H21)*H23</f>
        <v>17151.75</v>
      </c>
      <c r="I27" s="179">
        <f>(I25/I21)*I23</f>
        <v>323.40825000000007</v>
      </c>
      <c r="J27" s="179">
        <f>(J25/J21)*J23</f>
        <v>242.62071428571431</v>
      </c>
      <c r="K27" s="179">
        <f>(K25/K21)*K23</f>
        <v>0</v>
      </c>
      <c r="L27" s="183">
        <f t="shared" si="0"/>
        <v>17717.778964285713</v>
      </c>
    </row>
    <row r="28" spans="1:22" ht="29" customHeight="1">
      <c r="A28" s="2" t="s">
        <v>81</v>
      </c>
      <c r="B28" s="54"/>
      <c r="C28" s="47"/>
      <c r="F28" s="378"/>
      <c r="G28" s="185" t="s">
        <v>315</v>
      </c>
      <c r="H28" s="180">
        <f>(H26/H21)*H23</f>
        <v>34303.5</v>
      </c>
      <c r="I28" s="180">
        <f>(I26/I21)*I23</f>
        <v>646.81650000000013</v>
      </c>
      <c r="J28" s="180">
        <f>(J26/J21)*J23</f>
        <v>485.24142857142863</v>
      </c>
      <c r="K28" s="178">
        <f>(K26/K21)*K23</f>
        <v>0</v>
      </c>
      <c r="L28" s="184">
        <f t="shared" si="0"/>
        <v>35435.557928571427</v>
      </c>
    </row>
    <row r="29" spans="1:22" ht="29" customHeight="1">
      <c r="A29" s="250" t="s">
        <v>80</v>
      </c>
      <c r="B29" s="310" t="s">
        <v>79</v>
      </c>
      <c r="C29" s="47"/>
      <c r="F29" s="381" t="s">
        <v>587</v>
      </c>
      <c r="G29" s="185" t="s">
        <v>482</v>
      </c>
      <c r="H29" s="181">
        <f>H39/H20</f>
        <v>3751.0877250000003</v>
      </c>
      <c r="I29" s="181">
        <f>I39/I20</f>
        <v>141.45876855000006</v>
      </c>
      <c r="J29" s="181">
        <f>J39/J20</f>
        <v>106.12230042857146</v>
      </c>
      <c r="K29" s="181">
        <f>K39/K20</f>
        <v>0</v>
      </c>
      <c r="L29" s="183">
        <f t="shared" si="0"/>
        <v>3998.668793978572</v>
      </c>
    </row>
    <row r="30" spans="1:22" s="26" customFormat="1" ht="16">
      <c r="A30" s="250" t="s">
        <v>223</v>
      </c>
      <c r="B30" s="361" t="s">
        <v>865</v>
      </c>
      <c r="C30" s="170"/>
      <c r="F30" s="378"/>
      <c r="G30" s="185" t="s">
        <v>483</v>
      </c>
      <c r="H30" s="182">
        <f>H40/H20</f>
        <v>7502.1754500000006</v>
      </c>
      <c r="I30" s="182">
        <f>I40/I20</f>
        <v>282.91753710000012</v>
      </c>
      <c r="J30" s="182">
        <f>J40/J20</f>
        <v>212.24460085714293</v>
      </c>
      <c r="K30" s="182">
        <f>K40/K20</f>
        <v>0</v>
      </c>
      <c r="L30" s="266">
        <f t="shared" si="0"/>
        <v>7997.337587957144</v>
      </c>
    </row>
    <row r="31" spans="1:22" s="26" customFormat="1" ht="16">
      <c r="A31" s="250" t="s">
        <v>77</v>
      </c>
      <c r="B31" s="311" t="s">
        <v>165</v>
      </c>
      <c r="C31" s="170"/>
      <c r="F31" s="373" t="s">
        <v>531</v>
      </c>
      <c r="G31" s="212" t="s">
        <v>314</v>
      </c>
      <c r="H31" s="208">
        <f>H29*LOOKUP(H15, Consumables!$A$35:$A$116, Consumables!$D$35:$D$116)*(1/LOOKUP(H15, Consumables!$A$35:$A$116, Consumables!$G$35:$G$116))</f>
        <v>116.01302242268044</v>
      </c>
      <c r="I31" s="208">
        <f>I29*LOOKUP(I15, Consumables!$A$35:$A$116, Consumables!$D$35:$D$116)*(1/LOOKUP(I15, Consumables!$A$35:$A$116, Consumables!$G$35:$G$116))/4</f>
        <v>1.0937533650773201</v>
      </c>
      <c r="J31" s="208">
        <f>J29*LOOKUP(J15, Consumables!$A$35:$A$116, Consumables!$D$35:$D$116)*(1/LOOKUP(J15, Consumables!$A$35:$A$116, Consumables!$G$35:$G$116))/4</f>
        <v>0.8205332507363774</v>
      </c>
      <c r="K31" s="208">
        <f>K29*LOOKUP(K15, Consumables!$A$35:$A$116, Consumables!$D$35:$D$116)*(1/LOOKUP(K15, Consumables!$A$35:$A$116, Consumables!$G$35:$G$116))</f>
        <v>0</v>
      </c>
      <c r="L31" s="267"/>
    </row>
    <row r="32" spans="1:22" s="26" customFormat="1" ht="16">
      <c r="A32" s="250" t="s">
        <v>76</v>
      </c>
      <c r="B32" s="310" t="s">
        <v>164</v>
      </c>
      <c r="C32" s="170"/>
      <c r="F32" s="374"/>
      <c r="G32" s="212" t="s">
        <v>315</v>
      </c>
      <c r="H32" s="208">
        <f>H30*LOOKUP(H15, Consumables!$A$35:$A$116, Consumables!$D$35:$D$116)*(1/LOOKUP(H15, Consumables!$A$35:$A$116, Consumables!$G$35:$G$116))</f>
        <v>232.02604484536087</v>
      </c>
      <c r="I32" s="208">
        <f>I30*LOOKUP(I15,Consumables!$A$35:$A$116,Consumables!$D$35:$D$116)/(1/LOOKUP(H15,Consumables!$A$35:$A$116,Consumables!$G$35:$G$116))/4</f>
        <v>2.0582250824025006</v>
      </c>
      <c r="J32" s="208">
        <f>J30*LOOKUP(J15, Consumables!$A$35:$A$116, Consumables!$D$35:$D$116)*(1/LOOKUP(H15, Consumables!$A$35:$A$116, Consumables!$G$35:$G$116))/4</f>
        <v>1.6410665014727548</v>
      </c>
      <c r="K32" s="208">
        <f>K30*LOOKUP(K15, Consumables!$A$35:$A$116, Consumables!$D$35:$D$116)*(1/LOOKUP(H15, Consumables!$A$35:$A$116, Consumables!$G$35:$G$116))</f>
        <v>0</v>
      </c>
      <c r="L32" s="268"/>
    </row>
    <row r="33" spans="1:12" s="26" customFormat="1" ht="16">
      <c r="A33" s="250" t="s">
        <v>75</v>
      </c>
      <c r="B33" s="356" t="s">
        <v>165</v>
      </c>
      <c r="C33" s="170"/>
      <c r="F33" s="273" t="s">
        <v>552</v>
      </c>
      <c r="G33" s="269"/>
      <c r="H33" s="293">
        <f>(H32/H30)+(H16*$G$84/H30)+(H16*$C$37*(VLOOKUP(Overview!$B$37,Database!$A$109:$X$130,6,FALSE)*H18*$B$46*H19)/(H30*1000))+VLOOKUP($B$39, Consumables!$A$23:$F$25, 2, FALSE)</f>
        <v>0.27199333339309739</v>
      </c>
      <c r="I33" s="293">
        <f>(I32/I30)+(I16*$G$84/I30)+(I16*$C$37*(VLOOKUP(Overview!$B$37,Database!$A$109:$X$130,6,FALSE)*I18*$B$46*I19)/(I30*1000))+VLOOKUP($B$39, Consumables!$A$23:$F$25, 2, FALSE)</f>
        <v>0.44845205601573312</v>
      </c>
      <c r="J33" s="293">
        <f>(J32/J30)+(J16*$G$84/J30)+(J16*$C$37*(VLOOKUP(Overview!$B$37,Database!$A$109:$X$130,6,FALSE)*J18*$B$46*J19)/(J30*1000))+VLOOKUP($B$39, Consumables!$A$23:$F$25, 2, FALSE)</f>
        <v>0.58582222598385858</v>
      </c>
      <c r="K33" s="293" t="e">
        <f>(K32/K30)+(K16*$G$84/K30)+(K16*$C$37*(VLOOKUP(Overview!$B$37,Database!$A$109:$X$130,6,FALSE)*K18*$B$46*K19)/(K30*1000))+VLOOKUP($B$39, Consumables!$A$23:$F$25, 2, FALSE)</f>
        <v>#DIV/0!</v>
      </c>
      <c r="L33" s="277"/>
    </row>
    <row r="34" spans="1:12" s="26" customFormat="1" ht="16">
      <c r="A34" s="250" t="s">
        <v>159</v>
      </c>
      <c r="B34" s="356" t="s">
        <v>165</v>
      </c>
      <c r="F34" s="370" t="s">
        <v>615</v>
      </c>
      <c r="G34" s="185" t="s">
        <v>532</v>
      </c>
      <c r="H34" s="271">
        <f>VLOOKUP($B33,'Production Technologies'!$A$71:$F$73,3,FALSE)</f>
        <v>0.9</v>
      </c>
      <c r="I34" s="271">
        <f>VLOOKUP($B33,'Production Technologies'!$A$71:$F$73,3,FALSE)</f>
        <v>0.9</v>
      </c>
      <c r="J34" s="271">
        <f>VLOOKUP($B33,'Production Technologies'!$A$71:$F$73,3,FALSE)</f>
        <v>0.9</v>
      </c>
      <c r="K34" s="271">
        <f>VLOOKUP($B33,'Production Technologies'!$A$71:$F$73,3,FALSE)</f>
        <v>0.9</v>
      </c>
      <c r="L34" s="277"/>
    </row>
    <row r="35" spans="1:12" s="26" customFormat="1" ht="16">
      <c r="A35" s="263" t="s">
        <v>537</v>
      </c>
      <c r="B35" s="356" t="s">
        <v>165</v>
      </c>
      <c r="C35" s="254" t="s">
        <v>489</v>
      </c>
      <c r="F35" s="370"/>
      <c r="G35" s="185" t="s">
        <v>533</v>
      </c>
      <c r="H35" s="271">
        <f>VLOOKUP($B35,'Production Technologies'!$A$71:$F$73,4,FALSE)</f>
        <v>0.9</v>
      </c>
      <c r="I35" s="271">
        <f>VLOOKUP($B35,'Production Technologies'!$A$71:$F$73,4,FALSE)</f>
        <v>0.9</v>
      </c>
      <c r="J35" s="271">
        <f>VLOOKUP($B35,'Production Technologies'!$A$71:$F$73,4,FALSE)</f>
        <v>0.9</v>
      </c>
      <c r="K35" s="271">
        <f>VLOOKUP($B35,'Production Technologies'!$A$71:$F$73,4,FALSE)</f>
        <v>0.9</v>
      </c>
      <c r="L35" s="277"/>
    </row>
    <row r="36" spans="1:12" s="128" customFormat="1" ht="16">
      <c r="A36" s="250" t="s">
        <v>74</v>
      </c>
      <c r="B36" s="312" t="s">
        <v>230</v>
      </c>
      <c r="C36" s="264">
        <v>8</v>
      </c>
      <c r="F36" s="370"/>
      <c r="G36" s="185" t="s">
        <v>534</v>
      </c>
      <c r="H36" s="271">
        <f>VLOOKUP($B34,'Production Technologies'!$A$71:$F$73,2,FALSE)</f>
        <v>0.9</v>
      </c>
      <c r="I36" s="271">
        <f>VLOOKUP($B34,'Production Technologies'!$A$71:$F$73,2,FALSE)</f>
        <v>0.9</v>
      </c>
      <c r="J36" s="271">
        <f>VLOOKUP($B34,'Production Technologies'!$A$71:$F$73,2,FALSE)</f>
        <v>0.9</v>
      </c>
      <c r="K36" s="271">
        <f>VLOOKUP($B34,'Production Technologies'!$A$71:$F$73,2,FALSE)</f>
        <v>0.9</v>
      </c>
      <c r="L36" s="277"/>
    </row>
    <row r="37" spans="1:12" s="26" customFormat="1" ht="16">
      <c r="A37" s="251" t="s">
        <v>321</v>
      </c>
      <c r="B37" s="313" t="s">
        <v>381</v>
      </c>
      <c r="C37" s="243">
        <f>C36*16</f>
        <v>128</v>
      </c>
      <c r="F37" s="370"/>
      <c r="G37" s="185" t="s">
        <v>535</v>
      </c>
      <c r="H37" s="183">
        <f>VLOOKUP($B$43,'Production Technologies'!$A74:$F75, 6, FALSE)</f>
        <v>0.9</v>
      </c>
      <c r="I37" s="183">
        <f>VLOOKUP($B$43,'Production Technologies'!$A74:$F75, 6, FALSE)</f>
        <v>0.9</v>
      </c>
      <c r="J37" s="183">
        <f>VLOOKUP($B$43,'Production Technologies'!$A74:$F75, 6, FALSE)</f>
        <v>0.9</v>
      </c>
      <c r="K37" s="183">
        <f>VLOOKUP($B$43,'Production Technologies'!$A74:$F75, 6, FALSE)</f>
        <v>0.9</v>
      </c>
      <c r="L37" s="277"/>
    </row>
    <row r="38" spans="1:12" s="26" customFormat="1" ht="16">
      <c r="A38" s="303" t="str">
        <f>Database!E96</f>
        <v>Plant sites</v>
      </c>
      <c r="B38" s="183">
        <f>C36*VLOOKUP(B36, Database!A97:I107, 5, FALSE)</f>
        <v>2880</v>
      </c>
      <c r="F38" s="370"/>
      <c r="G38" s="185" t="s">
        <v>536</v>
      </c>
      <c r="H38" s="183">
        <f>SUM(H34:H37)</f>
        <v>3.6</v>
      </c>
      <c r="I38" s="183">
        <f>SUM(I34:I37)</f>
        <v>3.6</v>
      </c>
      <c r="J38" s="183">
        <f>SUM(J34:J37)</f>
        <v>3.6</v>
      </c>
      <c r="K38" s="183">
        <f>SUM(K34:K37)</f>
        <v>3.6</v>
      </c>
      <c r="L38" s="277"/>
    </row>
    <row r="39" spans="1:12" s="26" customFormat="1" ht="16">
      <c r="A39" s="304" t="s">
        <v>556</v>
      </c>
      <c r="B39" s="314" t="s">
        <v>507</v>
      </c>
      <c r="C39" s="170"/>
      <c r="F39" s="375" t="s">
        <v>589</v>
      </c>
      <c r="G39" s="212" t="s">
        <v>314</v>
      </c>
      <c r="H39" s="283">
        <f>H25*H34*H35*H36*H37</f>
        <v>375.10877250000004</v>
      </c>
      <c r="I39" s="283">
        <f>I25*I34*I35*I36*I37</f>
        <v>10.609407641250003</v>
      </c>
      <c r="J39" s="283">
        <f>J25*J34*J35*J36*J37</f>
        <v>7.9591725321428592</v>
      </c>
      <c r="K39" s="283">
        <f>K25*K34*K35*K36*K37</f>
        <v>0</v>
      </c>
      <c r="L39" s="277"/>
    </row>
    <row r="40" spans="1:12" s="26" customFormat="1" ht="16">
      <c r="A40" s="251" t="s">
        <v>385</v>
      </c>
      <c r="B40" s="313">
        <v>4</v>
      </c>
      <c r="C40" s="170"/>
      <c r="F40" s="376"/>
      <c r="G40" s="212" t="s">
        <v>315</v>
      </c>
      <c r="H40" s="294">
        <f>H26*H34*H35*H36*H37</f>
        <v>750.21754500000009</v>
      </c>
      <c r="I40" s="294">
        <f>I26*I34*I35*I36*I37</f>
        <v>21.218815282500007</v>
      </c>
      <c r="J40" s="294">
        <f>J26*J34*J35*J36*J37</f>
        <v>15.918345064285718</v>
      </c>
      <c r="K40" s="294">
        <f>K26*K34*K35*K36*K37</f>
        <v>0</v>
      </c>
      <c r="L40" s="360">
        <f>crop1_ayield_full*12</f>
        <v>9002.6105400000015</v>
      </c>
    </row>
    <row r="41" spans="1:12" s="26" customFormat="1" ht="16">
      <c r="A41" s="250" t="s">
        <v>73</v>
      </c>
      <c r="B41" s="310" t="s">
        <v>165</v>
      </c>
      <c r="C41" s="170"/>
      <c r="D41" s="55"/>
      <c r="F41" s="371" t="s">
        <v>613</v>
      </c>
      <c r="G41" s="292" t="s">
        <v>314</v>
      </c>
      <c r="H41" s="183">
        <f>(H29/VLOOKUP($B$36, Database!$A$97:$I$107, 5, FALSE))/4</f>
        <v>2.6049220312500001</v>
      </c>
      <c r="I41" s="183">
        <f>(I29/VLOOKUP($B$36, Database!$A$97:$I$107, 5, FALSE))/4</f>
        <v>9.8235255937500043E-2</v>
      </c>
      <c r="J41" s="183">
        <f>(J29/VLOOKUP($B$36, Database!$A$97:$I$107, 5, FALSE))/4</f>
        <v>7.3696041964285738E-2</v>
      </c>
      <c r="K41" s="183">
        <f>(K29/VLOOKUP($B$36, Database!$A$97:$I$107, 5, FALSE))/4</f>
        <v>0</v>
      </c>
    </row>
    <row r="42" spans="1:12" s="128" customFormat="1" ht="16">
      <c r="A42" s="250" t="s">
        <v>71</v>
      </c>
      <c r="B42" s="310" t="s">
        <v>166</v>
      </c>
      <c r="C42" s="170"/>
      <c r="F42" s="371"/>
      <c r="G42" s="212" t="s">
        <v>614</v>
      </c>
      <c r="H42" s="183">
        <f>H41*B21</f>
        <v>5.2098440625000002</v>
      </c>
      <c r="I42" s="183">
        <f t="shared" ref="I42:K42" si="1">I41*C21</f>
        <v>0</v>
      </c>
      <c r="J42" s="183">
        <f t="shared" si="1"/>
        <v>0</v>
      </c>
      <c r="K42" s="183">
        <f t="shared" si="1"/>
        <v>0</v>
      </c>
    </row>
    <row r="43" spans="1:12" s="152" customFormat="1" ht="13">
      <c r="A43" s="171" t="s">
        <v>233</v>
      </c>
      <c r="B43" s="315" t="s">
        <v>540</v>
      </c>
      <c r="C43" s="170"/>
    </row>
    <row r="44" spans="1:12" s="152" customFormat="1" ht="13">
      <c r="A44" s="171" t="s">
        <v>454</v>
      </c>
      <c r="B44" s="316" t="s">
        <v>722</v>
      </c>
      <c r="C44" s="170"/>
      <c r="G44" s="382" t="s">
        <v>602</v>
      </c>
      <c r="H44" s="382"/>
      <c r="I44" s="382"/>
    </row>
    <row r="45" spans="1:12" s="160" customFormat="1" ht="16">
      <c r="A45" s="171" t="s">
        <v>492</v>
      </c>
      <c r="B45" s="317">
        <v>1.91E-3</v>
      </c>
      <c r="C45" s="170"/>
      <c r="F45" s="209" t="s">
        <v>519</v>
      </c>
      <c r="G45" s="212" t="s">
        <v>603</v>
      </c>
      <c r="H45" s="212" t="s">
        <v>551</v>
      </c>
      <c r="I45" s="269"/>
      <c r="J45" s="269" t="s">
        <v>610</v>
      </c>
      <c r="K45" s="269" t="s">
        <v>718</v>
      </c>
      <c r="L45" s="269" t="s">
        <v>719</v>
      </c>
    </row>
    <row r="46" spans="1:12" s="128" customFormat="1" ht="13">
      <c r="A46" s="171" t="s">
        <v>491</v>
      </c>
      <c r="B46" s="318">
        <v>0.06</v>
      </c>
      <c r="C46" s="170"/>
      <c r="F46" s="185" t="s">
        <v>604</v>
      </c>
      <c r="G46" s="183">
        <f>SUM(I68:I71)</f>
        <v>7937.4802555420183</v>
      </c>
      <c r="H46" s="185" t="s">
        <v>511</v>
      </c>
      <c r="I46" s="183">
        <f>SUM(I68:I71)/B17</f>
        <v>133.62761372966361</v>
      </c>
      <c r="J46" s="275">
        <v>205</v>
      </c>
      <c r="K46" s="183">
        <f>I46/J46</f>
        <v>0.65184201819348098</v>
      </c>
      <c r="L46" s="269">
        <v>1</v>
      </c>
    </row>
    <row r="47" spans="1:12" s="26" customFormat="1" ht="13">
      <c r="A47" s="171" t="s">
        <v>495</v>
      </c>
      <c r="B47" s="244">
        <v>0.05</v>
      </c>
      <c r="C47" s="54"/>
      <c r="F47" s="269" t="s">
        <v>520</v>
      </c>
      <c r="G47" s="183">
        <f>((C22*VLOOKUP(Overview!B37, Database!A109:X130, 6, FALSE)*L18*365/1000))*1.25</f>
        <v>220752</v>
      </c>
      <c r="H47" s="185" t="s">
        <v>510</v>
      </c>
      <c r="I47" s="183">
        <f>(SUM(I68:I71)/G47)</f>
        <v>3.5956549682639422E-2</v>
      </c>
      <c r="J47" s="275">
        <v>7.0000000000000007E-2</v>
      </c>
      <c r="K47" s="183">
        <f t="shared" ref="K47:K55" si="2">I47/J47</f>
        <v>0.51366499546627742</v>
      </c>
      <c r="L47" s="269">
        <v>1</v>
      </c>
    </row>
    <row r="48" spans="1:12" s="26" customFormat="1" ht="13">
      <c r="A48" s="129" t="s">
        <v>550</v>
      </c>
      <c r="B48" s="319">
        <v>0</v>
      </c>
      <c r="C48" s="54"/>
      <c r="F48" s="185" t="s">
        <v>605</v>
      </c>
      <c r="G48" s="321">
        <f>M155*12</f>
        <v>2132</v>
      </c>
      <c r="H48" s="185" t="s">
        <v>522</v>
      </c>
      <c r="I48" s="322">
        <f>G46/G48</f>
        <v>3.7230207577589205</v>
      </c>
      <c r="J48" s="275">
        <v>6</v>
      </c>
      <c r="K48" s="183">
        <f t="shared" si="2"/>
        <v>0.62050345962648679</v>
      </c>
      <c r="L48" s="269">
        <v>1</v>
      </c>
    </row>
    <row r="49" spans="1:12" s="26" customFormat="1" ht="13">
      <c r="A49" s="290" t="s">
        <v>599</v>
      </c>
      <c r="B49" s="320" t="s">
        <v>165</v>
      </c>
      <c r="C49" s="54"/>
      <c r="F49" s="185" t="s">
        <v>606</v>
      </c>
      <c r="G49" s="321">
        <f>(C36*0.95*365)+1900*12</f>
        <v>25574</v>
      </c>
      <c r="H49" s="171" t="s">
        <v>512</v>
      </c>
      <c r="I49" s="322">
        <f>G46/G49</f>
        <v>0.31037304510604591</v>
      </c>
      <c r="J49" s="275">
        <v>0.5</v>
      </c>
      <c r="K49" s="183">
        <f t="shared" si="2"/>
        <v>0.62074609021209182</v>
      </c>
      <c r="L49" s="269">
        <v>1</v>
      </c>
    </row>
    <row r="50" spans="1:12" s="26" customFormat="1" ht="13">
      <c r="C50" s="54"/>
      <c r="F50" s="185" t="s">
        <v>607</v>
      </c>
      <c r="G50" s="321">
        <v>1000</v>
      </c>
      <c r="H50" s="185" t="s">
        <v>521</v>
      </c>
      <c r="I50" s="183">
        <f>G46/G50</f>
        <v>7.9374802555420185</v>
      </c>
      <c r="J50" s="275">
        <v>500</v>
      </c>
      <c r="K50" s="183">
        <f t="shared" si="2"/>
        <v>1.5874960511084037E-2</v>
      </c>
      <c r="L50" s="269">
        <v>1</v>
      </c>
    </row>
    <row r="51" spans="1:12" s="96" customFormat="1" ht="13">
      <c r="A51" s="26"/>
      <c r="B51" s="26"/>
      <c r="C51" s="54"/>
      <c r="F51" s="185" t="s">
        <v>608</v>
      </c>
      <c r="G51" s="183">
        <f>B17*B18/2.5</f>
        <v>95.04</v>
      </c>
      <c r="H51" s="185" t="s">
        <v>523</v>
      </c>
      <c r="I51" s="183">
        <f>G46/G51</f>
        <v>83.517258581039755</v>
      </c>
      <c r="J51" s="275">
        <v>130</v>
      </c>
      <c r="K51" s="183">
        <f t="shared" si="2"/>
        <v>0.64244045062338273</v>
      </c>
      <c r="L51" s="269">
        <v>1</v>
      </c>
    </row>
    <row r="52" spans="1:12" s="26" customFormat="1" ht="16">
      <c r="A52" s="2" t="s">
        <v>209</v>
      </c>
      <c r="B52" s="60"/>
      <c r="C52" s="54"/>
      <c r="D52" s="55"/>
      <c r="E52" s="55"/>
      <c r="F52" s="185" t="s">
        <v>554</v>
      </c>
      <c r="G52" s="322">
        <f>(G47*(1-B48)*0.283*IF(B48=100, -1, 1))/1000</f>
        <v>62.472815999999995</v>
      </c>
      <c r="H52" s="185" t="s">
        <v>593</v>
      </c>
      <c r="I52" s="269">
        <f>G46/G52</f>
        <v>127.05494587505098</v>
      </c>
      <c r="J52" s="275">
        <v>500</v>
      </c>
      <c r="K52" s="183">
        <f t="shared" si="2"/>
        <v>0.25410989175010196</v>
      </c>
      <c r="L52" s="269">
        <v>1</v>
      </c>
    </row>
    <row r="53" spans="1:12" s="26" customFormat="1" ht="16">
      <c r="A53" s="245" t="s">
        <v>211</v>
      </c>
      <c r="B53" s="246">
        <v>108000</v>
      </c>
      <c r="D53" s="6"/>
      <c r="E53" s="48"/>
      <c r="F53" s="185" t="s">
        <v>555</v>
      </c>
      <c r="G53" s="322">
        <f>((G47*B48*0.283)/1000)+((G49*20/1000000)*344/1000)</f>
        <v>0.17594912000000001</v>
      </c>
      <c r="H53" s="185" t="s">
        <v>594</v>
      </c>
      <c r="I53" s="183">
        <f>G46/G53</f>
        <v>45112.361207274109</v>
      </c>
      <c r="J53" s="275">
        <v>50000</v>
      </c>
      <c r="K53" s="183">
        <f>I53/J53</f>
        <v>0.9022472241454822</v>
      </c>
      <c r="L53" s="269">
        <v>1</v>
      </c>
    </row>
    <row r="54" spans="1:12" s="26" customFormat="1" ht="16">
      <c r="A54" s="247" t="s">
        <v>72</v>
      </c>
      <c r="B54" s="248">
        <v>0</v>
      </c>
      <c r="C54" s="48"/>
      <c r="D54" s="6"/>
      <c r="E54" s="48"/>
      <c r="F54" s="185" t="s">
        <v>609</v>
      </c>
      <c r="G54" s="183">
        <f>G52-G53</f>
        <v>62.296866879999996</v>
      </c>
      <c r="H54" s="185" t="s">
        <v>600</v>
      </c>
      <c r="I54" s="183">
        <f>G46/G54</f>
        <v>127.41379547757472</v>
      </c>
      <c r="J54" s="275">
        <v>-400</v>
      </c>
      <c r="K54" s="183">
        <f t="shared" si="2"/>
        <v>-0.3185344886939368</v>
      </c>
      <c r="L54" s="269">
        <v>1</v>
      </c>
    </row>
    <row r="55" spans="1:12" s="26" customFormat="1" ht="16">
      <c r="A55" s="247" t="s">
        <v>210</v>
      </c>
      <c r="B55" s="248">
        <v>0.05</v>
      </c>
      <c r="C55" s="48"/>
      <c r="D55" s="6"/>
      <c r="E55" s="48"/>
      <c r="F55" s="185" t="s">
        <v>721</v>
      </c>
      <c r="G55" s="183">
        <f>SUM(H30:K30)*12</f>
        <v>95968.051055485732</v>
      </c>
      <c r="H55" s="185" t="s">
        <v>720</v>
      </c>
      <c r="I55" s="183">
        <f>G55/C17</f>
        <v>807.81187757142868</v>
      </c>
      <c r="J55" s="275">
        <v>800</v>
      </c>
      <c r="K55" s="183">
        <f t="shared" si="2"/>
        <v>1.0097648469642859</v>
      </c>
      <c r="L55" s="269">
        <v>1</v>
      </c>
    </row>
    <row r="56" spans="1:12" ht="16">
      <c r="A56" s="247" t="s">
        <v>212</v>
      </c>
      <c r="B56" s="249">
        <v>8</v>
      </c>
      <c r="C56" s="48"/>
      <c r="D56" s="26"/>
      <c r="E56" s="26"/>
      <c r="F56" s="26"/>
      <c r="G56" s="26"/>
      <c r="H56" s="26"/>
      <c r="I56" s="26"/>
      <c r="J56" s="26"/>
    </row>
    <row r="57" spans="1:12" s="28" customFormat="1" ht="16">
      <c r="A57" s="247" t="s">
        <v>217</v>
      </c>
      <c r="B57" s="249" t="s">
        <v>218</v>
      </c>
      <c r="C57" s="54"/>
      <c r="J57" s="26"/>
    </row>
    <row r="58" spans="1:12" s="102" customFormat="1" ht="13">
      <c r="A58" s="26"/>
      <c r="B58" s="26"/>
      <c r="C58" s="54"/>
      <c r="J58" s="26"/>
    </row>
    <row r="59" spans="1:12" s="28" customFormat="1" ht="16">
      <c r="A59" s="2" t="s">
        <v>222</v>
      </c>
      <c r="B59" s="6"/>
      <c r="C59" s="54"/>
      <c r="J59"/>
    </row>
    <row r="60" spans="1:12" s="28" customFormat="1" ht="13">
      <c r="A60" s="6" t="s">
        <v>3</v>
      </c>
      <c r="B60" s="48">
        <f>'CapEx Breakdown'!C21+'CapEx Breakdown'!D21</f>
        <v>49362.593242414143</v>
      </c>
    </row>
    <row r="61" spans="1:12" s="128" customFormat="1" ht="13">
      <c r="A61" s="6" t="s">
        <v>31</v>
      </c>
      <c r="B61" s="48">
        <f>'CapEx Breakdown'!C34+'CapEx Breakdown'!D34</f>
        <v>173745.03729696566</v>
      </c>
      <c r="C61" s="28"/>
      <c r="J61" s="102">
        <f>1-0.4-0.002</f>
        <v>0.59799999999999998</v>
      </c>
    </row>
    <row r="62" spans="1:12" s="128" customFormat="1" ht="13">
      <c r="A62" s="6" t="s">
        <v>32</v>
      </c>
      <c r="B62" s="91">
        <f>'CapEx Breakdown'!E37</f>
        <v>223107.63053937981</v>
      </c>
      <c r="J62" s="28"/>
    </row>
    <row r="63" spans="1:12" s="128" customFormat="1" ht="13">
      <c r="A63" s="159" t="s">
        <v>634</v>
      </c>
      <c r="B63" s="106">
        <f>B53-B62</f>
        <v>-115107.63053937981</v>
      </c>
      <c r="J63" s="28"/>
    </row>
    <row r="64" spans="1:12" s="28" customFormat="1" ht="13"/>
    <row r="65" spans="1:22" s="128" customFormat="1" ht="13"/>
    <row r="66" spans="1:22" s="128" customFormat="1" ht="13"/>
    <row r="67" spans="1:22" s="28" customFormat="1" ht="16">
      <c r="A67" s="2" t="s">
        <v>318</v>
      </c>
      <c r="B67" s="91"/>
      <c r="C67" s="54"/>
      <c r="F67" s="29" t="s">
        <v>498</v>
      </c>
      <c r="G67" s="53" t="s">
        <v>499</v>
      </c>
      <c r="H67" s="29" t="s">
        <v>22</v>
      </c>
      <c r="I67" s="29" t="s">
        <v>23</v>
      </c>
      <c r="J67" s="29" t="s">
        <v>146</v>
      </c>
      <c r="K67" s="53" t="s">
        <v>147</v>
      </c>
      <c r="L67" s="53" t="s">
        <v>148</v>
      </c>
      <c r="M67" s="53" t="s">
        <v>149</v>
      </c>
      <c r="N67" s="53" t="s">
        <v>150</v>
      </c>
      <c r="O67" s="53" t="s">
        <v>151</v>
      </c>
      <c r="P67" s="53" t="s">
        <v>152</v>
      </c>
      <c r="Q67" s="53" t="s">
        <v>153</v>
      </c>
      <c r="R67" s="53" t="s">
        <v>154</v>
      </c>
      <c r="S67" s="53" t="s">
        <v>155</v>
      </c>
      <c r="T67" s="53" t="s">
        <v>156</v>
      </c>
      <c r="U67" s="53" t="s">
        <v>157</v>
      </c>
      <c r="V67" s="53" t="s">
        <v>158</v>
      </c>
    </row>
    <row r="68" spans="1:22" ht="16">
      <c r="A68" s="57" t="s">
        <v>544</v>
      </c>
      <c r="B68" s="126" t="s">
        <v>549</v>
      </c>
      <c r="C68" s="54"/>
      <c r="D68" s="28"/>
      <c r="E68" s="28"/>
      <c r="F68" s="11">
        <f>crop1_ayield_pilot-(LOOKUP($B$31,'Production Technologies'!$A$61:$A$63,'Production Technologies'!$B$61:$B$63)*crop1_ayield_pilot)</f>
        <v>308.45194362675005</v>
      </c>
      <c r="G68" s="188">
        <f>crop1_ayield_full-(LOOKUP($B$31,'Production Technologies'!$A$61:$A$63,'Production Technologies'!$C$61:$C$63)*crop1_ayield_full)</f>
        <v>630.25775955450013</v>
      </c>
      <c r="H68" s="129">
        <f>F68*12</f>
        <v>3701.4233235210004</v>
      </c>
      <c r="I68" s="188">
        <f>(crop1_ayield_full*12)-(LOOKUP($B$31, 'Production Technologies'!$A$61:$A$62, 'Production Technologies'!C61:C62)*(crop1_ayield_full*12))</f>
        <v>7563.0931146540015</v>
      </c>
      <c r="J68" s="147">
        <f>(crop1_ayield_full*12)-(LOOKUP($B$31, 'Production Technologies'!$A$61:$A$62, 'Production Technologies'!D61:D62)*(crop1_ayield_full*12))</f>
        <v>7707.1348832940012</v>
      </c>
      <c r="K68" s="147">
        <f>(crop1_ayield_full*12)-(LOOKUP($B$31, 'Production Technologies'!$A$61:$A$62, 'Production Technologies'!E61:E62)*(crop1_ayield_full*12))</f>
        <v>7810.6649045040012</v>
      </c>
      <c r="L68" s="147">
        <f>(crop1_ayield_full*12)-(LOOKUP($B$31, 'Production Technologies'!$A$61:$A$62, 'Production Technologies'!F61:F62)*(crop1_ayield_full*12))</f>
        <v>7906.0925762280012</v>
      </c>
      <c r="M68" s="147">
        <f>(crop1_ayield_full*12)-(LOOKUP($B$31, 'Production Technologies'!$A$61:$A$62, 'Production Technologies'!G61:G62)*(crop1_ayield_full*12))</f>
        <v>7993.4178984660011</v>
      </c>
      <c r="N68" s="147">
        <f>(crop1_ayield_full*12)-(LOOKUP($B$31, 'Production Technologies'!$A$61:$A$62, 'Production Technologies'!H61:H62)*(crop1_ayield_full*12))</f>
        <v>8074.4413933260012</v>
      </c>
      <c r="O68" s="147">
        <f>(crop1_ayield_full*12)-(LOOKUP($B$31, 'Production Technologies'!$A$61:$A$62, 'Production Technologies'!I61:I62)*(crop1_ayield_full*12))</f>
        <v>8130.2575786740017</v>
      </c>
      <c r="P68" s="147">
        <f>(crop1_ayield_full*12)-(LOOKUP($B$31, 'Production Technologies'!$A$61:$A$62, 'Production Technologies'!J61:J62)*(crop1_ayield_full*12))</f>
        <v>8182.4727198060009</v>
      </c>
      <c r="Q68" s="147">
        <f>(crop1_ayield_full*12)-(LOOKUP($B$31, 'Production Technologies'!$A$61:$A$62, 'Production Technologies'!K61:K62)*(crop1_ayield_full*12))</f>
        <v>8231.9870777760007</v>
      </c>
      <c r="R68" s="147">
        <f>(crop1_ayield_full*12)-(LOOKUP($B$31, 'Production Technologies'!$A$61:$A$62, 'Production Technologies'!L61:L62)*(crop1_ayield_full*12))</f>
        <v>8277.9003915300018</v>
      </c>
      <c r="S68" s="147">
        <f>(crop1_ayield_full*12)-(LOOKUP($B$31, 'Production Technologies'!$A$61:$A$62, 'Production Technologies'!M61:M62)*(crop1_ayield_full*12))</f>
        <v>8321.1129221220017</v>
      </c>
      <c r="T68" s="147">
        <f>(crop1_ayield_full*12)-(LOOKUP($B$31, 'Production Technologies'!$A$61:$A$62, 'Production Technologies'!N61:N62)*(crop1_ayield_full*12))</f>
        <v>8362.5249306060014</v>
      </c>
      <c r="U68" s="147">
        <f>(crop1_ayield_full*12)-(LOOKUP($B$31, 'Production Technologies'!$A$61:$A$62, 'Production Technologies'!O61:O62)*(crop1_ayield_full*12))</f>
        <v>8401.2361559280016</v>
      </c>
      <c r="V68" s="147">
        <f>(crop1_ayield_full*12)-(LOOKUP($B$31, 'Production Technologies'!$A$61:$A$62, 'Production Technologies'!P61:P62)*(crop1_ayield_full*12))</f>
        <v>8437.2465980880006</v>
      </c>
    </row>
    <row r="69" spans="1:22" ht="16">
      <c r="A69" s="57" t="s">
        <v>545</v>
      </c>
      <c r="B69" s="126"/>
      <c r="C69" s="54"/>
      <c r="D69" s="128"/>
      <c r="E69" s="128"/>
      <c r="F69" s="137">
        <f>crop2_ayield_pilot-(LOOKUP($B$31,'Production Technologies'!$A$61:$A$62,'Production Technologies'!$B$61:$B$62)*crop2_ayield_pilot)</f>
        <v>8.724115903399877</v>
      </c>
      <c r="G69" s="188">
        <f>crop2_ayield_full-(LOOKUP($B$31,'Production Technologies'!$A$61:$A$63,'Production Technologies'!$C$61:$C$63)*crop2_ayield_full)</f>
        <v>17.825926718828256</v>
      </c>
      <c r="H69" s="207">
        <f>F69*12</f>
        <v>104.68939084079852</v>
      </c>
      <c r="I69" s="188">
        <f>(crop2_ayield_full*12)-(LOOKUP($B$31, 'Production Technologies'!$A$61:$A$62, 'Production Technologies'!C61:C62)*(crop2_ayield_full*12))</f>
        <v>213.91112062593908</v>
      </c>
      <c r="J69" s="147">
        <f>(crop2_ayield_full*12)-(LOOKUP($B$31, 'Production Technologies'!$A$61:$A$62, 'Production Technologies'!D61:D62)*(crop2_ayield_full*12))</f>
        <v>217.98513316017909</v>
      </c>
      <c r="K69" s="147">
        <f>(crop2_ayield_full*12)-(LOOKUP($B$31, 'Production Technologies'!$A$61:$A$62, 'Production Technologies'!E61:E62)*(crop2_ayield_full*12))</f>
        <v>220.91332966916409</v>
      </c>
      <c r="L69" s="147">
        <f>(crop2_ayield_full*12)-(LOOKUP($B$31, 'Production Technologies'!$A$61:$A$62, 'Production Technologies'!F61:F62)*(crop2_ayield_full*12))</f>
        <v>223.61236297309807</v>
      </c>
      <c r="M69" s="147">
        <f>(crop2_ayield_full*12)-(LOOKUP($B$31, 'Production Technologies'!$A$61:$A$62, 'Production Technologies'!G61:G62)*(crop2_ayield_full*12))</f>
        <v>226.08223307198108</v>
      </c>
      <c r="N69" s="147">
        <f>(crop2_ayield_full*12)-(LOOKUP($B$31, 'Production Technologies'!$A$61:$A$62, 'Production Technologies'!H61:H62)*(crop2_ayield_full*12))</f>
        <v>228.37386512249108</v>
      </c>
      <c r="O69" s="147">
        <f>(crop2_ayield_full*12)-(LOOKUP($B$31, 'Production Technologies'!$A$61:$A$62, 'Production Technologies'!I61:I62)*(crop2_ayield_full*12))</f>
        <v>229.95254497950907</v>
      </c>
      <c r="P69" s="147">
        <f>(crop2_ayield_full*12)-(LOOKUP($B$31, 'Production Technologies'!$A$61:$A$62, 'Production Technologies'!J61:J62)*(crop2_ayield_full*12))</f>
        <v>231.42937452317108</v>
      </c>
      <c r="Q69" s="147">
        <f>(crop2_ayield_full*12)-(LOOKUP($B$31, 'Production Technologies'!$A$61:$A$62, 'Production Technologies'!K61:K62)*(crop2_ayield_full*12))</f>
        <v>232.82981633181609</v>
      </c>
      <c r="R69" s="147">
        <f>(crop2_ayield_full*12)-(LOOKUP($B$31, 'Production Technologies'!$A$61:$A$62, 'Production Technologies'!L61:L62)*(crop2_ayield_full*12))</f>
        <v>234.12840782710509</v>
      </c>
      <c r="S69" s="147">
        <f>(crop2_ayield_full*12)-(LOOKUP($B$31, 'Production Technologies'!$A$61:$A$62, 'Production Technologies'!M61:M62)*(crop2_ayield_full*12))</f>
        <v>235.3506115873771</v>
      </c>
      <c r="T69" s="147">
        <f>(crop2_ayield_full*12)-(LOOKUP($B$31, 'Production Technologies'!$A$61:$A$62, 'Production Technologies'!N61:N62)*(crop2_ayield_full*12))</f>
        <v>236.52189019097108</v>
      </c>
      <c r="U69" s="147">
        <f>(crop2_ayield_full*12)-(LOOKUP($B$31, 'Production Technologies'!$A$61:$A$62, 'Production Technologies'!O61:O62)*(crop2_ayield_full*12))</f>
        <v>237.61678105954809</v>
      </c>
      <c r="V69" s="147">
        <f>(crop2_ayield_full*12)-(LOOKUP($B$31, 'Production Technologies'!$A$61:$A$62, 'Production Technologies'!P61:P62)*(crop2_ayield_full*12))</f>
        <v>238.63528419310808</v>
      </c>
    </row>
    <row r="70" spans="1:22" ht="16">
      <c r="A70" s="57" t="s">
        <v>546</v>
      </c>
      <c r="B70" s="126"/>
      <c r="C70" s="54"/>
      <c r="D70" s="128"/>
      <c r="E70" s="128"/>
      <c r="F70" s="137">
        <f>crop3_ayield_pilot-(LOOKUP($B$31,'Production Technologies'!$A$61:$A$62,'Production Technologies'!$B$61:$B$62)*crop3_ayield_pilot)</f>
        <v>6.544827573181073</v>
      </c>
      <c r="G70" s="188">
        <f>crop3_ayield_full-(LOOKUP($B$31,'Production Technologies'!$A$61:$A$63,'Production Technologies'!$C$61:$C$63)*crop3_ayield_full)</f>
        <v>13.373001688506433</v>
      </c>
      <c r="H70" s="207">
        <f>F70*12</f>
        <v>78.537930878172872</v>
      </c>
      <c r="I70" s="188">
        <f>(crop3_ayield_full*12)-(LOOKUP($B$31,'Production Technologies'!$A$61:$A$62,'Production Technologies'!C61:C62)*(crop3_ayield_full*12))</f>
        <v>160.47602026207718</v>
      </c>
      <c r="J70" s="147">
        <f>(crop3_ayield_full*12)-(LOOKUP($B$31,'Production Technologies'!$A$61:$A$62,'Production Technologies'!D61:D62)*(crop3_ayield_full*12))</f>
        <v>163.53234251442004</v>
      </c>
      <c r="K70" s="147">
        <f>(crop3_ayield_full*12)-(LOOKUP($B$31,'Production Technologies'!$A$61:$A$62,'Production Technologies'!E61:E62)*(crop3_ayield_full*12))</f>
        <v>165.72907413329148</v>
      </c>
      <c r="L70" s="147">
        <f>(crop3_ayield_full*12)-(LOOKUP($B$31,'Production Technologies'!$A$61:$A$62,'Production Technologies'!F61:F62)*(crop3_ayield_full*12))</f>
        <v>167.75388762546862</v>
      </c>
      <c r="M70" s="147">
        <f>(crop3_ayield_full*12)-(LOOKUP($B$31,'Production Technologies'!$A$61:$A$62,'Production Technologies'!G61:G62)*(crop3_ayield_full*12))</f>
        <v>169.60678299095147</v>
      </c>
      <c r="N70" s="147">
        <f>(crop3_ayield_full*12)-(LOOKUP($B$31,'Production Technologies'!$A$61:$A$62,'Production Technologies'!H61:H62)*(crop3_ayield_full*12))</f>
        <v>171.32596425789433</v>
      </c>
      <c r="O70" s="147">
        <f>(crop3_ayield_full*12)-(LOOKUP($B$31,'Production Technologies'!$A$61:$A$62,'Production Technologies'!I61:I62)*(crop3_ayield_full*12))</f>
        <v>172.51028913067719</v>
      </c>
      <c r="P70" s="147">
        <f>(crop3_ayield_full*12)-(LOOKUP($B$31,'Production Technologies'!$A$61:$A$62,'Production Technologies'!J61:J62)*(crop3_ayield_full*12))</f>
        <v>173.61820594715147</v>
      </c>
      <c r="Q70" s="147">
        <f>(crop3_ayield_full*12)-(LOOKUP($B$31,'Production Technologies'!$A$61:$A$62,'Production Technologies'!K61:K62)*(crop3_ayield_full*12))</f>
        <v>174.66881672139434</v>
      </c>
      <c r="R70" s="147">
        <f>(crop3_ayield_full*12)-(LOOKUP($B$31,'Production Technologies'!$A$61:$A$62,'Production Technologies'!L61:L62)*(crop3_ayield_full*12))</f>
        <v>175.64301943932861</v>
      </c>
      <c r="S70" s="147">
        <f>(crop3_ayield_full*12)-(LOOKUP($B$31,'Production Technologies'!$A$61:$A$62,'Production Technologies'!M61:M62)*(crop3_ayield_full*12))</f>
        <v>176.55991611503148</v>
      </c>
      <c r="T70" s="147">
        <f>(crop3_ayield_full*12)-(LOOKUP($B$31,'Production Technologies'!$A$61:$A$62,'Production Technologies'!N61:N62)*(crop3_ayield_full*12))</f>
        <v>177.43860876258006</v>
      </c>
      <c r="U70" s="147">
        <f>(crop3_ayield_full*12)-(LOOKUP($B$31,'Production Technologies'!$A$61:$A$62,'Production Technologies'!O61:O62)*(crop3_ayield_full*12))</f>
        <v>178.2599953678972</v>
      </c>
      <c r="V70" s="147">
        <f>(crop3_ayield_full*12)-(LOOKUP($B$31,'Production Technologies'!$A$61:$A$62,'Production Technologies'!P61:P62)*(crop3_ayield_full*12))</f>
        <v>179.02407593098292</v>
      </c>
    </row>
    <row r="71" spans="1:22" ht="16">
      <c r="A71" s="57" t="s">
        <v>547</v>
      </c>
      <c r="B71" s="91"/>
      <c r="C71" s="54"/>
      <c r="D71" s="206"/>
      <c r="E71" s="206"/>
      <c r="F71" s="137">
        <f>crop4_ayield_pilot-(LOOKUP($B$31,'Production Technologies'!$A$61:$A$62,'Production Technologies'!$B$61:$B$62)*crop4_ayield_pilot)</f>
        <v>0</v>
      </c>
      <c r="G71" s="188">
        <f>crop4_ayield_full-(LOOKUP($B$31,'Production Technologies'!$A$61:$A$63,'Production Technologies'!$C$61:$C$63)*crop4_ayield_full)</f>
        <v>0</v>
      </c>
      <c r="H71" s="207">
        <f>F71*12</f>
        <v>0</v>
      </c>
      <c r="I71" s="188">
        <f>(crop4_ayield_full*12)-(LOOKUP($B$31, 'Production Technologies'!$A$61:$A$62, 'Production Technologies'!C61:C62)*(crop4_ayield_full*12))</f>
        <v>0</v>
      </c>
      <c r="J71" s="147">
        <f>(crop4_ayield_full*12)-(LOOKUP($B$31, 'Production Technologies'!$A$61:$A$62, 'Production Technologies'!D61:D62)*(crop4_ayield_full*12))</f>
        <v>0</v>
      </c>
      <c r="K71" s="147">
        <f>(crop4_ayield_full*12)-(LOOKUP($B$31, 'Production Technologies'!$A$61:$A$62, 'Production Technologies'!E61:E62)*(crop4_ayield_full*12))</f>
        <v>0</v>
      </c>
      <c r="L71" s="147">
        <f>(crop4_ayield_full*12)-(LOOKUP($B$31, 'Production Technologies'!$A$61:$A$62, 'Production Technologies'!F61:F62)*(crop4_ayield_full*12))</f>
        <v>0</v>
      </c>
      <c r="M71" s="147">
        <f>(crop4_ayield_full*12)-(LOOKUP($B$31, 'Production Technologies'!$A$61:$A$62, 'Production Technologies'!G61:G62)*(crop4_ayield_full*12))</f>
        <v>0</v>
      </c>
      <c r="N71" s="147">
        <f>(crop4_ayield_full*12)-(LOOKUP($B$31, 'Production Technologies'!$A$61:$A$62, 'Production Technologies'!H61:H62)*(crop4_ayield_full*12))</f>
        <v>0</v>
      </c>
      <c r="O71" s="147">
        <f>(crop4_ayield_full*12)-(LOOKUP($B$31, 'Production Technologies'!$A$61:$A$62, 'Production Technologies'!I61:I62)*(crop4_ayield_full*12))</f>
        <v>0</v>
      </c>
      <c r="P71" s="147">
        <f>(crop4_ayield_full*12)-(LOOKUP($B$31, 'Production Technologies'!$A$61:$A$62, 'Production Technologies'!J61:J62)*(crop4_ayield_full*12))</f>
        <v>0</v>
      </c>
      <c r="Q71" s="147">
        <f>(crop4_ayield_full*12)-(LOOKUP($B$31, 'Production Technologies'!$A$61:$A$62, 'Production Technologies'!K61:K62)*(crop4_ayield_full*12))</f>
        <v>0</v>
      </c>
      <c r="R71" s="147">
        <f>(crop4_ayield_full*12)-(LOOKUP($B$31, 'Production Technologies'!$A$61:$A$62, 'Production Technologies'!L61:L62)*(crop4_ayield_full*12))</f>
        <v>0</v>
      </c>
      <c r="S71" s="147">
        <f>(crop4_ayield_full*12)-(LOOKUP($B$31, 'Production Technologies'!$A$61:$A$62, 'Production Technologies'!M61:M62)*(crop4_ayield_full*12))</f>
        <v>0</v>
      </c>
      <c r="T71" s="147">
        <f>(crop4_ayield_full*12)-(LOOKUP($B$31, 'Production Technologies'!$A$61:$A$62, 'Production Technologies'!N61:N62)*(crop4_ayield_full*12))</f>
        <v>0</v>
      </c>
      <c r="U71" s="147">
        <f>(crop4_ayield_full*12)-(LOOKUP($B$31, 'Production Technologies'!$A$61:$A$62, 'Production Technologies'!O61:O62)*(crop4_ayield_full*12))</f>
        <v>0</v>
      </c>
      <c r="V71" s="147">
        <f>(crop4_ayield_full*12)-(LOOKUP($B$31, 'Production Technologies'!$A$61:$A$62, 'Production Technologies'!P61:P62)*(crop4_ayield_full*12))</f>
        <v>0</v>
      </c>
    </row>
    <row r="72" spans="1:22" ht="16">
      <c r="A72" s="57" t="s">
        <v>548</v>
      </c>
      <c r="B72" s="91"/>
      <c r="C72" s="54"/>
      <c r="D72" s="206"/>
      <c r="E72" s="206"/>
      <c r="F72" s="220">
        <f>((F68/$H$21)*($H$23*$H$22+$H$24*(1-$H$22)))+((F69/$I$21))*($I$23*$I$22+$I$24*(1-$I$22))+((F70/$J$21)*($J$23*$J$22+$J$24*(1-$J$22)))+((F71/$K$21)*($K$23*$K$22+$K$24*(1-$K$22)))</f>
        <v>9558.9371783341212</v>
      </c>
      <c r="G72" s="189">
        <f>((G68/$H$21)*($H$23*$H$22+$H$24*(1-$H$22)))+((G69/$I$21))*($I$23*$I$22+$I$24*(1-$I$22))+((G70/$J$21)*($J$23*$J$22+$J$24*(1-$J$22)))+((G71/$K$21)*($K$23*$K$22+$K$24*(1-$K$22)))</f>
        <v>19531.711354781699</v>
      </c>
      <c r="H72" s="220">
        <f>((H68/$H$21)*($H$23*$H$22+$H$24*(1-$H$22)))+((H69/$I$21))*($I$23*$I$22+$I$24*(1-$I$22))+((H70/$J$21)*($J$23*$J$22+$J$24*(1-$J$22)))+((H71/$K$21)*($K$23*$K$22+$K$24*(1-$K$22)))</f>
        <v>114707.24614000942</v>
      </c>
      <c r="I72" s="189">
        <f>((I68/$H$21)*($H$23*$H$22+$H$24*(1-$H$22)))+((I69/$I$21))*($I$23*$I$22+$I$24*(1-$I$22))+((I70/$J$21)*($J$23*$J$22+$J$24*(1-$J$22)))+((I71/$K$21)*($K$23*$K$22+$K$24*(1-$K$22)))</f>
        <v>234380.53625738036</v>
      </c>
      <c r="J72" s="220">
        <f>((J68/$H$21)*($H$23*$H$22+$H$24*(1-$H$22)))+((J69/$I$21))*($I$23*$I$22+$I$24*(1-$I$22))+((J70/$J$21)*($J$23*$J$22+$J$24*(1-$J$22)))+((J71/$K$21)*($K$23*$K$22+$K$24*(1-$K$22)))</f>
        <v>238844.39601231203</v>
      </c>
      <c r="K72" s="220">
        <f t="shared" ref="K72:U72" si="3">((K68/$H$21)*($H$23*$H$22+$H$24*(1-$H$22)))+((K69/$I$21))*($I$23*$I$22+$I$24*(1-$I$22))+((K70/$J$21)*($J$23*$J$22+$J$24*(1-$J$22)))+((K71/$K$21)*($K$23*$K$22+$K$24*(1-$K$22)))</f>
        <v>242052.79521116908</v>
      </c>
      <c r="L72" s="220">
        <f t="shared" si="3"/>
        <v>245010.10229881137</v>
      </c>
      <c r="M72" s="220">
        <f t="shared" si="3"/>
        <v>247716.31727523863</v>
      </c>
      <c r="N72" s="220">
        <f t="shared" si="3"/>
        <v>250227.23838738768</v>
      </c>
      <c r="O72" s="220">
        <f t="shared" si="3"/>
        <v>251956.98404242378</v>
      </c>
      <c r="P72" s="220">
        <f t="shared" si="3"/>
        <v>253575.13320358645</v>
      </c>
      <c r="Q72" s="220">
        <f t="shared" si="3"/>
        <v>255109.58499434424</v>
      </c>
      <c r="R72" s="220">
        <f t="shared" si="3"/>
        <v>256532.4402912287</v>
      </c>
      <c r="S72" s="220">
        <f t="shared" si="3"/>
        <v>257871.59821770818</v>
      </c>
      <c r="T72" s="220">
        <f t="shared" si="3"/>
        <v>259154.95789725104</v>
      </c>
      <c r="U72" s="220">
        <f t="shared" si="3"/>
        <v>260354.62020638891</v>
      </c>
      <c r="V72" s="220">
        <f>((V68/$H$21)*($H$23*$H$22+$H$24*(1-$H$22)))+((V69/$I$21))*($I$23*$I$22+$I$24*(1-$I$22))+((V70/$J$21)*($J$23*$J$22+$J$24*(1-$J$22)))+((V71/$K$21)*($K$23*$K$22+$K$24*(1-$K$22)))</f>
        <v>261470.58514512182</v>
      </c>
    </row>
    <row r="73" spans="1:22" ht="15.75" customHeight="1">
      <c r="A73" s="159"/>
      <c r="B73" s="206"/>
      <c r="C73" s="206"/>
      <c r="D73" s="206"/>
      <c r="E73" s="206"/>
      <c r="F73" s="159"/>
      <c r="G73" s="206"/>
      <c r="H73" s="159">
        <v>1</v>
      </c>
      <c r="I73" s="159">
        <v>2</v>
      </c>
      <c r="J73" s="206">
        <v>3</v>
      </c>
      <c r="K73" s="159">
        <v>4</v>
      </c>
      <c r="L73" s="159">
        <v>5</v>
      </c>
      <c r="M73" s="159">
        <v>6</v>
      </c>
      <c r="N73" s="159">
        <v>7</v>
      </c>
      <c r="O73" s="159">
        <v>8</v>
      </c>
      <c r="P73" s="159">
        <v>9</v>
      </c>
      <c r="Q73" s="159">
        <v>10</v>
      </c>
      <c r="R73" s="159">
        <v>11</v>
      </c>
      <c r="S73" s="159">
        <v>12</v>
      </c>
      <c r="T73" s="159">
        <v>13</v>
      </c>
      <c r="U73" s="159">
        <v>14</v>
      </c>
      <c r="V73" s="159">
        <v>15</v>
      </c>
    </row>
    <row r="74" spans="1:22" ht="16">
      <c r="A74" s="2" t="s">
        <v>125</v>
      </c>
      <c r="B74" s="159" t="s">
        <v>20</v>
      </c>
      <c r="C74" s="159" t="s">
        <v>500</v>
      </c>
      <c r="D74" s="206"/>
      <c r="E74" s="206"/>
      <c r="F74" s="159" t="s">
        <v>497</v>
      </c>
      <c r="G74" s="53" t="s">
        <v>496</v>
      </c>
      <c r="H74" s="159" t="s">
        <v>22</v>
      </c>
      <c r="I74" s="159" t="s">
        <v>23</v>
      </c>
      <c r="J74" s="60" t="s">
        <v>146</v>
      </c>
      <c r="K74" s="60" t="s">
        <v>147</v>
      </c>
      <c r="L74" s="60" t="s">
        <v>148</v>
      </c>
      <c r="M74" s="60" t="s">
        <v>149</v>
      </c>
      <c r="N74" s="60" t="s">
        <v>150</v>
      </c>
      <c r="O74" s="60" t="s">
        <v>151</v>
      </c>
      <c r="P74" s="60" t="s">
        <v>152</v>
      </c>
      <c r="Q74" s="60" t="s">
        <v>153</v>
      </c>
      <c r="R74" s="60" t="s">
        <v>154</v>
      </c>
      <c r="S74" s="60" t="s">
        <v>155</v>
      </c>
      <c r="T74" s="60" t="s">
        <v>156</v>
      </c>
      <c r="U74" s="60" t="s">
        <v>157</v>
      </c>
      <c r="V74" s="60" t="s">
        <v>158</v>
      </c>
    </row>
    <row r="75" spans="1:22" ht="13">
      <c r="A75" s="205" t="s">
        <v>24</v>
      </c>
      <c r="B75" s="205" t="s">
        <v>25</v>
      </c>
      <c r="C75" s="192"/>
      <c r="D75" s="206"/>
      <c r="E75" s="206"/>
      <c r="F75" s="35">
        <f>F72</f>
        <v>9558.9371783341212</v>
      </c>
      <c r="G75" s="190">
        <f>G72</f>
        <v>19531.711354781699</v>
      </c>
      <c r="H75" s="35">
        <f t="shared" ref="H75:V75" si="4">H72</f>
        <v>114707.24614000942</v>
      </c>
      <c r="I75" s="35">
        <f t="shared" si="4"/>
        <v>234380.53625738036</v>
      </c>
      <c r="J75" s="35">
        <f t="shared" si="4"/>
        <v>238844.39601231203</v>
      </c>
      <c r="K75" s="35">
        <f t="shared" si="4"/>
        <v>242052.79521116908</v>
      </c>
      <c r="L75" s="35">
        <f t="shared" si="4"/>
        <v>245010.10229881137</v>
      </c>
      <c r="M75" s="35">
        <f t="shared" si="4"/>
        <v>247716.31727523863</v>
      </c>
      <c r="N75" s="35">
        <f t="shared" si="4"/>
        <v>250227.23838738768</v>
      </c>
      <c r="O75" s="35">
        <f t="shared" si="4"/>
        <v>251956.98404242378</v>
      </c>
      <c r="P75" s="35">
        <f t="shared" si="4"/>
        <v>253575.13320358645</v>
      </c>
      <c r="Q75" s="35">
        <f t="shared" si="4"/>
        <v>255109.58499434424</v>
      </c>
      <c r="R75" s="35">
        <f t="shared" si="4"/>
        <v>256532.4402912287</v>
      </c>
      <c r="S75" s="35">
        <f t="shared" si="4"/>
        <v>257871.59821770818</v>
      </c>
      <c r="T75" s="35">
        <f t="shared" si="4"/>
        <v>259154.95789725104</v>
      </c>
      <c r="U75" s="35">
        <f t="shared" si="4"/>
        <v>260354.62020638891</v>
      </c>
      <c r="V75" s="35">
        <f t="shared" si="4"/>
        <v>261470.58514512182</v>
      </c>
    </row>
    <row r="76" spans="1:22" ht="13">
      <c r="A76" s="205" t="s">
        <v>26</v>
      </c>
      <c r="B76" s="205" t="s">
        <v>27</v>
      </c>
      <c r="C76" s="193">
        <v>1</v>
      </c>
      <c r="D76" s="206"/>
      <c r="E76" s="206"/>
      <c r="F76" s="37">
        <v>50</v>
      </c>
      <c r="G76" s="191">
        <f>F76*$C$76</f>
        <v>50</v>
      </c>
      <c r="H76" s="35">
        <f t="shared" ref="H76:I79" si="5">F76*12</f>
        <v>600</v>
      </c>
      <c r="I76" s="101">
        <f t="shared" si="5"/>
        <v>600</v>
      </c>
      <c r="J76" s="82">
        <f t="shared" ref="J76:V79" si="6">I76</f>
        <v>600</v>
      </c>
      <c r="K76" s="82">
        <f t="shared" si="6"/>
        <v>600</v>
      </c>
      <c r="L76" s="82">
        <f t="shared" si="6"/>
        <v>600</v>
      </c>
      <c r="M76" s="82">
        <f t="shared" si="6"/>
        <v>600</v>
      </c>
      <c r="N76" s="82">
        <f t="shared" si="6"/>
        <v>600</v>
      </c>
      <c r="O76" s="82">
        <f t="shared" si="6"/>
        <v>600</v>
      </c>
      <c r="P76" s="82">
        <f t="shared" si="6"/>
        <v>600</v>
      </c>
      <c r="Q76" s="82">
        <f t="shared" si="6"/>
        <v>600</v>
      </c>
      <c r="R76" s="82">
        <f t="shared" si="6"/>
        <v>600</v>
      </c>
      <c r="S76" s="82">
        <f t="shared" si="6"/>
        <v>600</v>
      </c>
      <c r="T76" s="82">
        <f t="shared" si="6"/>
        <v>600</v>
      </c>
      <c r="U76" s="82">
        <f t="shared" si="6"/>
        <v>600</v>
      </c>
      <c r="V76" s="82">
        <f t="shared" si="6"/>
        <v>600</v>
      </c>
    </row>
    <row r="77" spans="1:22" ht="13">
      <c r="A77" s="205" t="s">
        <v>28</v>
      </c>
      <c r="B77" s="205" t="s">
        <v>27</v>
      </c>
      <c r="C77" s="193">
        <v>1</v>
      </c>
      <c r="D77" s="206"/>
      <c r="E77" s="206"/>
      <c r="F77" s="37">
        <v>600</v>
      </c>
      <c r="G77" s="194">
        <f>F77*$C$77</f>
        <v>600</v>
      </c>
      <c r="H77" s="35">
        <f t="shared" si="5"/>
        <v>7200</v>
      </c>
      <c r="I77" s="101">
        <f t="shared" si="5"/>
        <v>7200</v>
      </c>
      <c r="J77" s="82">
        <f t="shared" ref="J77:V77" si="7">I77*$C$77</f>
        <v>7200</v>
      </c>
      <c r="K77" s="82">
        <f t="shared" si="7"/>
        <v>7200</v>
      </c>
      <c r="L77" s="82">
        <f t="shared" si="7"/>
        <v>7200</v>
      </c>
      <c r="M77" s="82">
        <f t="shared" si="7"/>
        <v>7200</v>
      </c>
      <c r="N77" s="82">
        <f t="shared" si="7"/>
        <v>7200</v>
      </c>
      <c r="O77" s="82">
        <f t="shared" si="7"/>
        <v>7200</v>
      </c>
      <c r="P77" s="82">
        <f t="shared" si="7"/>
        <v>7200</v>
      </c>
      <c r="Q77" s="82">
        <f t="shared" si="7"/>
        <v>7200</v>
      </c>
      <c r="R77" s="82">
        <f t="shared" si="7"/>
        <v>7200</v>
      </c>
      <c r="S77" s="82">
        <f t="shared" si="7"/>
        <v>7200</v>
      </c>
      <c r="T77" s="82">
        <f t="shared" si="7"/>
        <v>7200</v>
      </c>
      <c r="U77" s="82">
        <f t="shared" si="7"/>
        <v>7200</v>
      </c>
      <c r="V77" s="82">
        <f t="shared" si="7"/>
        <v>7200</v>
      </c>
    </row>
    <row r="78" spans="1:22" ht="13">
      <c r="A78" s="205" t="s">
        <v>29</v>
      </c>
      <c r="B78" s="205" t="s">
        <v>27</v>
      </c>
      <c r="C78" s="193">
        <v>1.1000000000000001</v>
      </c>
      <c r="D78" s="206"/>
      <c r="E78" s="206"/>
      <c r="F78" s="37">
        <v>150</v>
      </c>
      <c r="G78" s="194">
        <f>F78*$C$78</f>
        <v>165</v>
      </c>
      <c r="H78" s="35">
        <f t="shared" si="5"/>
        <v>1800</v>
      </c>
      <c r="I78" s="101">
        <f t="shared" si="5"/>
        <v>1980</v>
      </c>
      <c r="J78" s="82">
        <f t="shared" si="6"/>
        <v>1980</v>
      </c>
      <c r="K78" s="82">
        <f t="shared" si="6"/>
        <v>1980</v>
      </c>
      <c r="L78" s="82">
        <f t="shared" si="6"/>
        <v>1980</v>
      </c>
      <c r="M78" s="82">
        <f t="shared" si="6"/>
        <v>1980</v>
      </c>
      <c r="N78" s="82">
        <f t="shared" si="6"/>
        <v>1980</v>
      </c>
      <c r="O78" s="82">
        <f t="shared" si="6"/>
        <v>1980</v>
      </c>
      <c r="P78" s="82">
        <f t="shared" si="6"/>
        <v>1980</v>
      </c>
      <c r="Q78" s="82">
        <f t="shared" si="6"/>
        <v>1980</v>
      </c>
      <c r="R78" s="82">
        <f t="shared" si="6"/>
        <v>1980</v>
      </c>
      <c r="S78" s="82">
        <f t="shared" si="6"/>
        <v>1980</v>
      </c>
      <c r="T78" s="82">
        <f t="shared" si="6"/>
        <v>1980</v>
      </c>
      <c r="U78" s="82">
        <f t="shared" si="6"/>
        <v>1980</v>
      </c>
      <c r="V78" s="82">
        <f t="shared" si="6"/>
        <v>1980</v>
      </c>
    </row>
    <row r="79" spans="1:22" ht="13">
      <c r="A79" s="205" t="s">
        <v>30</v>
      </c>
      <c r="B79" s="205" t="s">
        <v>27</v>
      </c>
      <c r="C79" s="193">
        <v>1</v>
      </c>
      <c r="D79" s="206"/>
      <c r="E79" s="206"/>
      <c r="F79" s="37">
        <v>0</v>
      </c>
      <c r="G79" s="194">
        <f>F79*$C$79</f>
        <v>0</v>
      </c>
      <c r="H79" s="35">
        <f t="shared" si="5"/>
        <v>0</v>
      </c>
      <c r="I79" s="101">
        <f t="shared" si="5"/>
        <v>0</v>
      </c>
      <c r="J79" s="82">
        <f t="shared" si="6"/>
        <v>0</v>
      </c>
      <c r="K79" s="82">
        <f t="shared" si="6"/>
        <v>0</v>
      </c>
      <c r="L79" s="82">
        <f t="shared" si="6"/>
        <v>0</v>
      </c>
      <c r="M79" s="82">
        <f t="shared" si="6"/>
        <v>0</v>
      </c>
      <c r="N79" s="82">
        <f t="shared" si="6"/>
        <v>0</v>
      </c>
      <c r="O79" s="82">
        <f t="shared" si="6"/>
        <v>0</v>
      </c>
      <c r="P79" s="82">
        <f t="shared" si="6"/>
        <v>0</v>
      </c>
      <c r="Q79" s="82">
        <f t="shared" si="6"/>
        <v>0</v>
      </c>
      <c r="R79" s="82">
        <f t="shared" si="6"/>
        <v>0</v>
      </c>
      <c r="S79" s="82">
        <f t="shared" si="6"/>
        <v>0</v>
      </c>
      <c r="T79" s="82">
        <f t="shared" si="6"/>
        <v>0</v>
      </c>
      <c r="U79" s="82">
        <f t="shared" si="6"/>
        <v>0</v>
      </c>
      <c r="V79" s="82">
        <f t="shared" si="6"/>
        <v>0</v>
      </c>
    </row>
    <row r="80" spans="1:22" ht="13">
      <c r="A80" s="207" t="s">
        <v>530</v>
      </c>
      <c r="B80" s="257" t="s">
        <v>529</v>
      </c>
      <c r="C80" s="265"/>
      <c r="D80" s="206"/>
      <c r="E80" s="206"/>
      <c r="F80" s="258" t="s">
        <v>102</v>
      </c>
      <c r="G80" s="259" t="s">
        <v>102</v>
      </c>
      <c r="H80" s="261">
        <v>0</v>
      </c>
      <c r="I80" s="260"/>
      <c r="J80" s="262" t="s">
        <v>102</v>
      </c>
      <c r="K80" s="262" t="s">
        <v>102</v>
      </c>
      <c r="L80" s="262" t="s">
        <v>102</v>
      </c>
      <c r="M80" s="262" t="s">
        <v>102</v>
      </c>
      <c r="N80" s="262" t="s">
        <v>102</v>
      </c>
      <c r="O80" s="262" t="s">
        <v>102</v>
      </c>
      <c r="P80" s="262" t="s">
        <v>102</v>
      </c>
      <c r="Q80" s="262" t="s">
        <v>102</v>
      </c>
      <c r="R80" s="262" t="s">
        <v>102</v>
      </c>
      <c r="S80" s="262" t="s">
        <v>102</v>
      </c>
      <c r="T80" s="262" t="s">
        <v>102</v>
      </c>
      <c r="U80" s="262" t="s">
        <v>102</v>
      </c>
      <c r="V80" s="262" t="s">
        <v>102</v>
      </c>
    </row>
    <row r="81" spans="1:22" ht="13">
      <c r="A81" s="20" t="s">
        <v>43</v>
      </c>
      <c r="B81" s="204"/>
      <c r="C81" s="204"/>
      <c r="D81" s="204"/>
      <c r="E81" s="204"/>
      <c r="F81" s="38">
        <f>SUM(F75:F80)</f>
        <v>10358.937178334121</v>
      </c>
      <c r="G81" s="38">
        <f>SUM(G75:G80)</f>
        <v>20346.711354781699</v>
      </c>
      <c r="H81" s="38">
        <f>SUM(H75:H80)</f>
        <v>124307.24614000942</v>
      </c>
      <c r="I81" s="38">
        <f>SUM(I75:I80)</f>
        <v>244160.53625738036</v>
      </c>
      <c r="J81" s="38">
        <f t="shared" ref="J81:V81" si="8">SUM(J75:J80)</f>
        <v>248624.39601231203</v>
      </c>
      <c r="K81" s="38">
        <f t="shared" si="8"/>
        <v>251832.79521116908</v>
      </c>
      <c r="L81" s="38">
        <f t="shared" si="8"/>
        <v>254790.10229881137</v>
      </c>
      <c r="M81" s="38">
        <f t="shared" si="8"/>
        <v>257496.31727523863</v>
      </c>
      <c r="N81" s="38">
        <f t="shared" si="8"/>
        <v>260007.23838738768</v>
      </c>
      <c r="O81" s="38">
        <f t="shared" si="8"/>
        <v>261736.98404242378</v>
      </c>
      <c r="P81" s="38">
        <f>SUM(P75:P80)</f>
        <v>263355.13320358645</v>
      </c>
      <c r="Q81" s="38">
        <f t="shared" si="8"/>
        <v>264889.58499434427</v>
      </c>
      <c r="R81" s="38">
        <f t="shared" si="8"/>
        <v>266312.4402912287</v>
      </c>
      <c r="S81" s="38">
        <f>SUM(S75:S80)</f>
        <v>267651.59821770818</v>
      </c>
      <c r="T81" s="38">
        <f t="shared" si="8"/>
        <v>268934.95789725101</v>
      </c>
      <c r="U81" s="38">
        <f t="shared" si="8"/>
        <v>270134.62020638888</v>
      </c>
      <c r="V81" s="38">
        <f t="shared" si="8"/>
        <v>271250.58514512179</v>
      </c>
    </row>
    <row r="82" spans="1:22" ht="13">
      <c r="A82" s="206"/>
      <c r="B82" s="206"/>
      <c r="C82" s="206"/>
      <c r="D82" s="206"/>
      <c r="E82" s="206"/>
      <c r="F82" s="206"/>
      <c r="G82" s="206"/>
      <c r="H82" s="206"/>
      <c r="I82" s="206"/>
      <c r="J82" s="206"/>
      <c r="K82" s="206"/>
      <c r="L82" s="206"/>
      <c r="M82" s="206"/>
      <c r="N82" s="206"/>
      <c r="O82" s="206"/>
      <c r="P82" s="206"/>
      <c r="Q82" s="206"/>
      <c r="R82" s="206"/>
      <c r="S82" s="206"/>
      <c r="T82" s="206"/>
      <c r="U82" s="206"/>
      <c r="V82" s="206"/>
    </row>
    <row r="83" spans="1:22" ht="16">
      <c r="A83" s="2" t="s">
        <v>297</v>
      </c>
      <c r="B83" s="206"/>
      <c r="C83" s="206"/>
      <c r="D83" s="206"/>
      <c r="E83" s="206"/>
      <c r="F83" s="159" t="s">
        <v>21</v>
      </c>
      <c r="G83" s="53" t="s">
        <v>501</v>
      </c>
      <c r="H83" s="159" t="s">
        <v>22</v>
      </c>
      <c r="I83" s="159" t="s">
        <v>23</v>
      </c>
      <c r="J83" s="159" t="s">
        <v>146</v>
      </c>
      <c r="K83" s="53" t="s">
        <v>147</v>
      </c>
      <c r="L83" s="53" t="s">
        <v>148</v>
      </c>
      <c r="M83" s="53" t="s">
        <v>149</v>
      </c>
      <c r="N83" s="53" t="s">
        <v>150</v>
      </c>
      <c r="O83" s="53" t="s">
        <v>151</v>
      </c>
      <c r="P83" s="53" t="s">
        <v>152</v>
      </c>
      <c r="Q83" s="53" t="s">
        <v>153</v>
      </c>
      <c r="R83" s="53" t="s">
        <v>154</v>
      </c>
      <c r="S83" s="53" t="s">
        <v>155</v>
      </c>
      <c r="T83" s="53" t="s">
        <v>156</v>
      </c>
      <c r="U83" s="53" t="s">
        <v>157</v>
      </c>
      <c r="V83" s="53" t="s">
        <v>158</v>
      </c>
    </row>
    <row r="84" spans="1:22" ht="13">
      <c r="A84" s="205" t="s">
        <v>44</v>
      </c>
      <c r="B84" s="205" t="s">
        <v>45</v>
      </c>
      <c r="C84" s="206"/>
      <c r="D84" s="206"/>
      <c r="E84" s="206"/>
      <c r="F84" s="35">
        <f>F117</f>
        <v>1500</v>
      </c>
      <c r="G84" s="194">
        <f>I84/12</f>
        <v>1500</v>
      </c>
      <c r="H84" s="35">
        <f>H117</f>
        <v>18000</v>
      </c>
      <c r="I84" s="36">
        <f>I117</f>
        <v>18000</v>
      </c>
      <c r="J84" s="82">
        <f>I84</f>
        <v>18000</v>
      </c>
      <c r="K84" s="82">
        <f t="shared" ref="K84:V84" si="9">J84</f>
        <v>18000</v>
      </c>
      <c r="L84" s="82">
        <f t="shared" si="9"/>
        <v>18000</v>
      </c>
      <c r="M84" s="82">
        <f t="shared" si="9"/>
        <v>18000</v>
      </c>
      <c r="N84" s="82">
        <f t="shared" si="9"/>
        <v>18000</v>
      </c>
      <c r="O84" s="82">
        <f t="shared" si="9"/>
        <v>18000</v>
      </c>
      <c r="P84" s="82">
        <f t="shared" si="9"/>
        <v>18000</v>
      </c>
      <c r="Q84" s="82">
        <f t="shared" si="9"/>
        <v>18000</v>
      </c>
      <c r="R84" s="82">
        <f t="shared" si="9"/>
        <v>18000</v>
      </c>
      <c r="S84" s="82">
        <f t="shared" si="9"/>
        <v>18000</v>
      </c>
      <c r="T84" s="82">
        <f t="shared" si="9"/>
        <v>18000</v>
      </c>
      <c r="U84" s="82">
        <f t="shared" si="9"/>
        <v>18000</v>
      </c>
      <c r="V84" s="82">
        <f t="shared" si="9"/>
        <v>18000</v>
      </c>
    </row>
    <row r="85" spans="1:22" ht="13">
      <c r="A85" s="205" t="s">
        <v>46</v>
      </c>
      <c r="B85" s="205" t="s">
        <v>47</v>
      </c>
      <c r="C85" s="206"/>
      <c r="D85" s="206"/>
      <c r="E85" s="206"/>
      <c r="F85" s="41">
        <f>F75*0.025</f>
        <v>238.97342945835305</v>
      </c>
      <c r="G85" s="194">
        <f>I85/12</f>
        <v>477.94685891670611</v>
      </c>
      <c r="H85" s="35">
        <f>F85*12</f>
        <v>2867.6811535002366</v>
      </c>
      <c r="I85" s="36">
        <f>H85*B21</f>
        <v>5735.3623070004733</v>
      </c>
      <c r="J85" s="82">
        <f t="shared" ref="J85:V89" si="10">I85</f>
        <v>5735.3623070004733</v>
      </c>
      <c r="K85" s="82">
        <f t="shared" si="10"/>
        <v>5735.3623070004733</v>
      </c>
      <c r="L85" s="82">
        <f t="shared" si="10"/>
        <v>5735.3623070004733</v>
      </c>
      <c r="M85" s="82">
        <f t="shared" si="10"/>
        <v>5735.3623070004733</v>
      </c>
      <c r="N85" s="82">
        <f t="shared" si="10"/>
        <v>5735.3623070004733</v>
      </c>
      <c r="O85" s="82">
        <f t="shared" si="10"/>
        <v>5735.3623070004733</v>
      </c>
      <c r="P85" s="82">
        <f t="shared" si="10"/>
        <v>5735.3623070004733</v>
      </c>
      <c r="Q85" s="82">
        <f t="shared" si="10"/>
        <v>5735.3623070004733</v>
      </c>
      <c r="R85" s="82">
        <f t="shared" si="10"/>
        <v>5735.3623070004733</v>
      </c>
      <c r="S85" s="82">
        <f t="shared" si="10"/>
        <v>5735.3623070004733</v>
      </c>
      <c r="T85" s="82">
        <f t="shared" si="10"/>
        <v>5735.3623070004733</v>
      </c>
      <c r="U85" s="82">
        <f t="shared" si="10"/>
        <v>5735.3623070004733</v>
      </c>
      <c r="V85" s="82">
        <f t="shared" si="10"/>
        <v>5735.3623070004733</v>
      </c>
    </row>
    <row r="86" spans="1:22" ht="13">
      <c r="A86" s="205" t="s">
        <v>48</v>
      </c>
      <c r="B86" s="205" t="s">
        <v>49</v>
      </c>
      <c r="C86" s="206"/>
      <c r="D86" s="206"/>
      <c r="E86" s="206"/>
      <c r="F86" s="35">
        <f>(B$23*F68/0.2*4)/12</f>
        <v>1028.1731454225001</v>
      </c>
      <c r="G86" s="194">
        <f>I86/12</f>
        <v>4726.9331966587506</v>
      </c>
      <c r="H86" s="35">
        <f>F86*12</f>
        <v>12338.077745070001</v>
      </c>
      <c r="I86" s="36">
        <f>C$23*(y2_wa_yield_crop1/H21)</f>
        <v>56723.198359905007</v>
      </c>
      <c r="J86" s="387">
        <f>$C$23*(y3_wa_yield_crop1/$H$21)</f>
        <v>57803.51162470501</v>
      </c>
      <c r="K86" s="387">
        <f>$C$23*(K68/$H$21)</f>
        <v>58579.986783779997</v>
      </c>
      <c r="L86" s="387">
        <f t="shared" ref="L86:V86" si="11">$C$23*(L68/$H$21)</f>
        <v>59295.694321710005</v>
      </c>
      <c r="M86" s="387">
        <f t="shared" si="11"/>
        <v>59950.634238494997</v>
      </c>
      <c r="N86" s="387">
        <f t="shared" si="11"/>
        <v>60558.310449944998</v>
      </c>
      <c r="O86" s="387">
        <f t="shared" si="11"/>
        <v>60976.931840055011</v>
      </c>
      <c r="P86" s="387">
        <f t="shared" si="11"/>
        <v>61368.545398545</v>
      </c>
      <c r="Q86" s="387">
        <f t="shared" si="11"/>
        <v>61739.903083320009</v>
      </c>
      <c r="R86" s="387">
        <f t="shared" si="11"/>
        <v>62084.252936475008</v>
      </c>
      <c r="S86" s="387">
        <f t="shared" si="11"/>
        <v>62408.346915915005</v>
      </c>
      <c r="T86" s="387">
        <f t="shared" si="11"/>
        <v>62718.936979545004</v>
      </c>
      <c r="U86" s="387">
        <f t="shared" si="11"/>
        <v>63009.27116946</v>
      </c>
      <c r="V86" s="387">
        <f t="shared" si="11"/>
        <v>63279.349485660001</v>
      </c>
    </row>
    <row r="87" spans="1:22" ht="13">
      <c r="A87" s="205" t="s">
        <v>50</v>
      </c>
      <c r="B87" s="205" t="s">
        <v>51</v>
      </c>
      <c r="C87" s="206"/>
      <c r="D87" s="206"/>
      <c r="E87" s="206"/>
      <c r="F87" s="41">
        <f>SUM(H31:K31)</f>
        <v>117.92730903849413</v>
      </c>
      <c r="G87" s="194">
        <f>SUM(H32:K32)</f>
        <v>235.72533642923611</v>
      </c>
      <c r="H87" s="35">
        <f>F87*12</f>
        <v>1415.1277084619296</v>
      </c>
      <c r="I87" s="36">
        <f>G87*12</f>
        <v>2828.7040371508333</v>
      </c>
      <c r="J87" s="82">
        <f t="shared" si="10"/>
        <v>2828.7040371508333</v>
      </c>
      <c r="K87" s="82">
        <f t="shared" si="10"/>
        <v>2828.7040371508333</v>
      </c>
      <c r="L87" s="82">
        <f t="shared" si="10"/>
        <v>2828.7040371508333</v>
      </c>
      <c r="M87" s="82">
        <f t="shared" si="10"/>
        <v>2828.7040371508333</v>
      </c>
      <c r="N87" s="82">
        <f t="shared" si="10"/>
        <v>2828.7040371508333</v>
      </c>
      <c r="O87" s="82">
        <f t="shared" si="10"/>
        <v>2828.7040371508333</v>
      </c>
      <c r="P87" s="82">
        <f t="shared" si="10"/>
        <v>2828.7040371508333</v>
      </c>
      <c r="Q87" s="82">
        <f t="shared" si="10"/>
        <v>2828.7040371508333</v>
      </c>
      <c r="R87" s="82">
        <f t="shared" si="10"/>
        <v>2828.7040371508333</v>
      </c>
      <c r="S87" s="82">
        <f t="shared" si="10"/>
        <v>2828.7040371508333</v>
      </c>
      <c r="T87" s="82">
        <f t="shared" si="10"/>
        <v>2828.7040371508333</v>
      </c>
      <c r="U87" s="82">
        <f t="shared" si="10"/>
        <v>2828.7040371508333</v>
      </c>
      <c r="V87" s="82">
        <f t="shared" si="10"/>
        <v>2828.7040371508333</v>
      </c>
    </row>
    <row r="88" spans="1:22" ht="13">
      <c r="A88" s="205" t="s">
        <v>52</v>
      </c>
      <c r="B88" s="205" t="s">
        <v>53</v>
      </c>
      <c r="C88" s="206"/>
      <c r="D88" s="206"/>
      <c r="E88" s="206"/>
      <c r="F88" s="255">
        <f>(C37*VLOOKUP(Overview!B37, Database!A109:X130, 6, FALSE)*L18*(365/12)/1000)*B46</f>
        <v>441.50399999999996</v>
      </c>
      <c r="G88" s="194">
        <f>I88/12</f>
        <v>1103.76</v>
      </c>
      <c r="H88" s="35">
        <f>F88*12</f>
        <v>5298.0479999999998</v>
      </c>
      <c r="I88" s="36">
        <f>H88*B21*1.25</f>
        <v>13245.119999999999</v>
      </c>
      <c r="J88" s="82">
        <f>I88</f>
        <v>13245.119999999999</v>
      </c>
      <c r="K88" s="82">
        <f t="shared" si="10"/>
        <v>13245.119999999999</v>
      </c>
      <c r="L88" s="82">
        <f t="shared" si="10"/>
        <v>13245.119999999999</v>
      </c>
      <c r="M88" s="82">
        <f t="shared" si="10"/>
        <v>13245.119999999999</v>
      </c>
      <c r="N88" s="82">
        <f t="shared" si="10"/>
        <v>13245.119999999999</v>
      </c>
      <c r="O88" s="82">
        <f t="shared" si="10"/>
        <v>13245.119999999999</v>
      </c>
      <c r="P88" s="82">
        <f t="shared" si="10"/>
        <v>13245.119999999999</v>
      </c>
      <c r="Q88" s="82">
        <f t="shared" si="10"/>
        <v>13245.119999999999</v>
      </c>
      <c r="R88" s="82">
        <f t="shared" si="10"/>
        <v>13245.119999999999</v>
      </c>
      <c r="S88" s="82">
        <f t="shared" si="10"/>
        <v>13245.119999999999</v>
      </c>
      <c r="T88" s="82">
        <f t="shared" si="10"/>
        <v>13245.119999999999</v>
      </c>
      <c r="U88" s="82">
        <f t="shared" si="10"/>
        <v>13245.119999999999</v>
      </c>
      <c r="V88" s="82">
        <f t="shared" si="10"/>
        <v>13245.119999999999</v>
      </c>
    </row>
    <row r="89" spans="1:22" ht="13">
      <c r="A89" s="205" t="s">
        <v>54</v>
      </c>
      <c r="B89" s="205" t="s">
        <v>53</v>
      </c>
      <c r="C89" s="206"/>
      <c r="D89" s="206"/>
      <c r="E89" s="206"/>
      <c r="F89" s="282">
        <f>(G49*B45)/12</f>
        <v>4.0705283333333329</v>
      </c>
      <c r="G89" s="194">
        <f>I89/12</f>
        <v>8.1410566666666657</v>
      </c>
      <c r="H89" s="35">
        <f>F89*12</f>
        <v>48.846339999999998</v>
      </c>
      <c r="I89" s="36">
        <f>H89*B21</f>
        <v>97.692679999999996</v>
      </c>
      <c r="J89" s="82">
        <f>I89</f>
        <v>97.692679999999996</v>
      </c>
      <c r="K89" s="82">
        <f t="shared" si="10"/>
        <v>97.692679999999996</v>
      </c>
      <c r="L89" s="82">
        <f t="shared" si="10"/>
        <v>97.692679999999996</v>
      </c>
      <c r="M89" s="82">
        <f t="shared" si="10"/>
        <v>97.692679999999996</v>
      </c>
      <c r="N89" s="82">
        <f t="shared" si="10"/>
        <v>97.692679999999996</v>
      </c>
      <c r="O89" s="82">
        <f t="shared" si="10"/>
        <v>97.692679999999996</v>
      </c>
      <c r="P89" s="82">
        <f t="shared" si="10"/>
        <v>97.692679999999996</v>
      </c>
      <c r="Q89" s="82">
        <f t="shared" si="10"/>
        <v>97.692679999999996</v>
      </c>
      <c r="R89" s="82">
        <f t="shared" si="10"/>
        <v>97.692679999999996</v>
      </c>
      <c r="S89" s="82">
        <f t="shared" si="10"/>
        <v>97.692679999999996</v>
      </c>
      <c r="T89" s="82">
        <f t="shared" si="10"/>
        <v>97.692679999999996</v>
      </c>
      <c r="U89" s="82">
        <f t="shared" si="10"/>
        <v>97.692679999999996</v>
      </c>
      <c r="V89" s="82">
        <f t="shared" si="10"/>
        <v>97.692679999999996</v>
      </c>
    </row>
    <row r="90" spans="1:22" ht="13">
      <c r="A90" s="20" t="s">
        <v>55</v>
      </c>
      <c r="B90" s="21"/>
      <c r="C90" s="21"/>
      <c r="D90" s="21"/>
      <c r="E90" s="21"/>
      <c r="F90" s="38">
        <f>SUM(F84:F89)</f>
        <v>3330.6484122526804</v>
      </c>
      <c r="G90" s="195">
        <f>SUM(G84:G89)</f>
        <v>8052.50644867136</v>
      </c>
      <c r="H90" s="38">
        <f t="shared" ref="H90:V90" si="12">SUM(H84:H89)</f>
        <v>39967.780947032166</v>
      </c>
      <c r="I90" s="38">
        <f t="shared" si="12"/>
        <v>96630.077384056305</v>
      </c>
      <c r="J90" s="38">
        <f t="shared" si="12"/>
        <v>97710.390648856308</v>
      </c>
      <c r="K90" s="38">
        <f t="shared" si="12"/>
        <v>98486.865807931288</v>
      </c>
      <c r="L90" s="38">
        <f t="shared" si="12"/>
        <v>99202.573345861296</v>
      </c>
      <c r="M90" s="38">
        <f t="shared" si="12"/>
        <v>99857.513262646287</v>
      </c>
      <c r="N90" s="38">
        <f t="shared" si="12"/>
        <v>100465.18947409629</v>
      </c>
      <c r="O90" s="38">
        <f t="shared" si="12"/>
        <v>100883.8108642063</v>
      </c>
      <c r="P90" s="38">
        <f t="shared" si="12"/>
        <v>101275.42442269629</v>
      </c>
      <c r="Q90" s="38">
        <f t="shared" si="12"/>
        <v>101646.7821074713</v>
      </c>
      <c r="R90" s="38">
        <f t="shared" si="12"/>
        <v>101991.1319606263</v>
      </c>
      <c r="S90" s="38">
        <f t="shared" si="12"/>
        <v>102315.2259400663</v>
      </c>
      <c r="T90" s="38">
        <f t="shared" si="12"/>
        <v>102625.81600369629</v>
      </c>
      <c r="U90" s="38">
        <f t="shared" si="12"/>
        <v>102916.15019361129</v>
      </c>
      <c r="V90" s="38">
        <f t="shared" si="12"/>
        <v>103186.22850981129</v>
      </c>
    </row>
    <row r="91" spans="1:22" s="102" customFormat="1" ht="13">
      <c r="A91" s="159"/>
      <c r="B91" s="159"/>
      <c r="C91" s="206"/>
      <c r="D91" s="206"/>
      <c r="E91" s="206"/>
      <c r="F91" s="22"/>
      <c r="G91" s="206"/>
      <c r="H91" s="22"/>
      <c r="I91" s="22"/>
      <c r="J91" s="206"/>
      <c r="K91" s="206"/>
      <c r="L91" s="206"/>
      <c r="M91" s="206"/>
      <c r="N91" s="206"/>
      <c r="O91" s="206"/>
      <c r="P91" s="206"/>
      <c r="Q91" s="206"/>
      <c r="R91" s="206"/>
      <c r="S91" s="206"/>
      <c r="T91" s="206"/>
      <c r="U91" s="206"/>
      <c r="V91" s="206"/>
    </row>
    <row r="92" spans="1:22" ht="13">
      <c r="A92" s="20" t="s">
        <v>56</v>
      </c>
      <c r="B92" s="20"/>
      <c r="C92" s="204"/>
      <c r="D92" s="204"/>
      <c r="E92" s="204"/>
      <c r="F92" s="83">
        <f>F81-F90</f>
        <v>7028.2887660814413</v>
      </c>
      <c r="G92" s="83">
        <f>G81-G90</f>
        <v>12294.204906110339</v>
      </c>
      <c r="H92" s="83">
        <f>H81-H90</f>
        <v>84339.465192977252</v>
      </c>
      <c r="I92" s="83">
        <f t="shared" ref="I92:V92" si="13">I81-I90</f>
        <v>147530.45887332404</v>
      </c>
      <c r="J92" s="83">
        <f t="shared" si="13"/>
        <v>150914.00536345574</v>
      </c>
      <c r="K92" s="83">
        <f t="shared" si="13"/>
        <v>153345.92940323779</v>
      </c>
      <c r="L92" s="83">
        <f t="shared" si="13"/>
        <v>155587.52895295009</v>
      </c>
      <c r="M92" s="83">
        <f t="shared" si="13"/>
        <v>157638.80401259236</v>
      </c>
      <c r="N92" s="83">
        <f t="shared" si="13"/>
        <v>159542.04891329139</v>
      </c>
      <c r="O92" s="83">
        <f t="shared" si="13"/>
        <v>160853.17317821749</v>
      </c>
      <c r="P92" s="83">
        <f t="shared" si="13"/>
        <v>162079.70878089016</v>
      </c>
      <c r="Q92" s="83">
        <f t="shared" si="13"/>
        <v>163242.80288687296</v>
      </c>
      <c r="R92" s="83">
        <f t="shared" si="13"/>
        <v>164321.30833060242</v>
      </c>
      <c r="S92" s="83">
        <f t="shared" si="13"/>
        <v>165336.37227764187</v>
      </c>
      <c r="T92" s="83">
        <f t="shared" si="13"/>
        <v>166309.14189355471</v>
      </c>
      <c r="U92" s="83">
        <f t="shared" si="13"/>
        <v>167218.4700127776</v>
      </c>
      <c r="V92" s="83">
        <f t="shared" si="13"/>
        <v>168064.35663531051</v>
      </c>
    </row>
    <row r="93" spans="1:22" ht="13">
      <c r="A93" s="159"/>
      <c r="B93" s="159"/>
      <c r="C93" s="206"/>
      <c r="D93" s="206"/>
      <c r="E93" s="206"/>
      <c r="F93" s="159"/>
      <c r="G93" s="206"/>
      <c r="H93" s="159"/>
      <c r="I93" s="159"/>
      <c r="J93" s="206"/>
      <c r="K93" s="206"/>
      <c r="L93" s="206"/>
      <c r="M93" s="206"/>
      <c r="N93" s="206"/>
      <c r="O93" s="206"/>
      <c r="P93" s="206"/>
      <c r="Q93" s="206"/>
      <c r="R93" s="206"/>
      <c r="S93" s="206"/>
      <c r="T93" s="206"/>
      <c r="U93" s="206"/>
      <c r="V93" s="206"/>
    </row>
    <row r="94" spans="1:22" ht="16">
      <c r="A94" s="2" t="s">
        <v>298</v>
      </c>
      <c r="B94" s="159"/>
      <c r="C94" s="206"/>
      <c r="D94" s="206"/>
      <c r="E94" s="206"/>
      <c r="F94" s="159" t="s">
        <v>21</v>
      </c>
      <c r="G94" s="53" t="s">
        <v>502</v>
      </c>
      <c r="H94" s="159" t="s">
        <v>22</v>
      </c>
      <c r="I94" s="159" t="s">
        <v>23</v>
      </c>
      <c r="J94" s="159" t="s">
        <v>146</v>
      </c>
      <c r="K94" s="53" t="s">
        <v>147</v>
      </c>
      <c r="L94" s="53" t="s">
        <v>148</v>
      </c>
      <c r="M94" s="53" t="s">
        <v>149</v>
      </c>
      <c r="N94" s="53" t="s">
        <v>150</v>
      </c>
      <c r="O94" s="53" t="s">
        <v>151</v>
      </c>
      <c r="P94" s="53" t="s">
        <v>152</v>
      </c>
      <c r="Q94" s="53" t="s">
        <v>153</v>
      </c>
      <c r="R94" s="53" t="s">
        <v>154</v>
      </c>
      <c r="S94" s="53" t="s">
        <v>155</v>
      </c>
      <c r="T94" s="53" t="s">
        <v>156</v>
      </c>
      <c r="U94" s="53" t="s">
        <v>157</v>
      </c>
      <c r="V94" s="53" t="s">
        <v>158</v>
      </c>
    </row>
    <row r="95" spans="1:22" s="26" customFormat="1" ht="13">
      <c r="A95" s="205" t="s">
        <v>57</v>
      </c>
      <c r="B95" s="205"/>
      <c r="C95" s="206"/>
      <c r="D95" s="206"/>
      <c r="E95" s="206"/>
      <c r="F95" s="199">
        <v>0</v>
      </c>
      <c r="G95" s="200">
        <f>I95/12</f>
        <v>0</v>
      </c>
      <c r="H95" s="35">
        <f>F95*12</f>
        <v>0</v>
      </c>
      <c r="I95" s="36">
        <f>H95*B21</f>
        <v>0</v>
      </c>
      <c r="J95" s="82">
        <f>I95</f>
        <v>0</v>
      </c>
      <c r="K95" s="82">
        <f t="shared" ref="K95:V95" si="14">J95</f>
        <v>0</v>
      </c>
      <c r="L95" s="82">
        <f t="shared" si="14"/>
        <v>0</v>
      </c>
      <c r="M95" s="82">
        <f t="shared" si="14"/>
        <v>0</v>
      </c>
      <c r="N95" s="82">
        <f t="shared" si="14"/>
        <v>0</v>
      </c>
      <c r="O95" s="82">
        <f t="shared" si="14"/>
        <v>0</v>
      </c>
      <c r="P95" s="82">
        <f t="shared" si="14"/>
        <v>0</v>
      </c>
      <c r="Q95" s="82">
        <f t="shared" si="14"/>
        <v>0</v>
      </c>
      <c r="R95" s="82">
        <f t="shared" si="14"/>
        <v>0</v>
      </c>
      <c r="S95" s="82">
        <f t="shared" si="14"/>
        <v>0</v>
      </c>
      <c r="T95" s="82">
        <f t="shared" si="14"/>
        <v>0</v>
      </c>
      <c r="U95" s="82">
        <f t="shared" si="14"/>
        <v>0</v>
      </c>
      <c r="V95" s="82">
        <f t="shared" si="14"/>
        <v>0</v>
      </c>
    </row>
    <row r="96" spans="1:22" s="26" customFormat="1" ht="13">
      <c r="A96" s="207" t="s">
        <v>299</v>
      </c>
      <c r="B96" s="205" t="s">
        <v>45</v>
      </c>
      <c r="C96" s="205"/>
      <c r="D96" s="206"/>
      <c r="E96" s="206"/>
      <c r="F96" s="201">
        <f>F127</f>
        <v>5062.5</v>
      </c>
      <c r="G96" s="194">
        <f>I96/12</f>
        <v>6781.5</v>
      </c>
      <c r="H96" s="35">
        <f>H127</f>
        <v>60750</v>
      </c>
      <c r="I96" s="36">
        <f>I127</f>
        <v>81378</v>
      </c>
      <c r="J96" s="82">
        <f>I96</f>
        <v>81378</v>
      </c>
      <c r="K96" s="82">
        <f t="shared" ref="K96:V96" si="15">J96</f>
        <v>81378</v>
      </c>
      <c r="L96" s="82">
        <f t="shared" si="15"/>
        <v>81378</v>
      </c>
      <c r="M96" s="82">
        <f t="shared" si="15"/>
        <v>81378</v>
      </c>
      <c r="N96" s="82">
        <f t="shared" si="15"/>
        <v>81378</v>
      </c>
      <c r="O96" s="82">
        <f t="shared" si="15"/>
        <v>81378</v>
      </c>
      <c r="P96" s="82">
        <f t="shared" si="15"/>
        <v>81378</v>
      </c>
      <c r="Q96" s="82">
        <f t="shared" si="15"/>
        <v>81378</v>
      </c>
      <c r="R96" s="82">
        <f t="shared" si="15"/>
        <v>81378</v>
      </c>
      <c r="S96" s="82">
        <f t="shared" si="15"/>
        <v>81378</v>
      </c>
      <c r="T96" s="82">
        <f t="shared" si="15"/>
        <v>81378</v>
      </c>
      <c r="U96" s="82">
        <f t="shared" si="15"/>
        <v>81378</v>
      </c>
      <c r="V96" s="82">
        <f t="shared" si="15"/>
        <v>81378</v>
      </c>
    </row>
    <row r="97" spans="1:22" s="26" customFormat="1" ht="13">
      <c r="A97" s="207" t="s">
        <v>300</v>
      </c>
      <c r="B97" s="207" t="s">
        <v>303</v>
      </c>
      <c r="C97" s="206"/>
      <c r="D97" s="206"/>
      <c r="E97" s="206"/>
      <c r="F97" s="35">
        <f>F127*$B$24</f>
        <v>405</v>
      </c>
      <c r="G97" s="194">
        <f>I97/12</f>
        <v>169.53749999999999</v>
      </c>
      <c r="H97" s="35">
        <f>H127*B$24</f>
        <v>4860</v>
      </c>
      <c r="I97" s="36">
        <f>I127*C$24</f>
        <v>2034.45</v>
      </c>
      <c r="J97" s="82">
        <f>I97</f>
        <v>2034.45</v>
      </c>
      <c r="K97" s="82">
        <f t="shared" ref="K97:V99" si="16">J97</f>
        <v>2034.45</v>
      </c>
      <c r="L97" s="82">
        <f t="shared" si="16"/>
        <v>2034.45</v>
      </c>
      <c r="M97" s="82">
        <f t="shared" si="16"/>
        <v>2034.45</v>
      </c>
      <c r="N97" s="82">
        <f t="shared" si="16"/>
        <v>2034.45</v>
      </c>
      <c r="O97" s="82">
        <f t="shared" si="16"/>
        <v>2034.45</v>
      </c>
      <c r="P97" s="82">
        <f t="shared" si="16"/>
        <v>2034.45</v>
      </c>
      <c r="Q97" s="82">
        <f t="shared" si="16"/>
        <v>2034.45</v>
      </c>
      <c r="R97" s="82">
        <f t="shared" si="16"/>
        <v>2034.45</v>
      </c>
      <c r="S97" s="82">
        <f t="shared" si="16"/>
        <v>2034.45</v>
      </c>
      <c r="T97" s="82">
        <f t="shared" si="16"/>
        <v>2034.45</v>
      </c>
      <c r="U97" s="82">
        <f t="shared" si="16"/>
        <v>2034.45</v>
      </c>
      <c r="V97" s="82">
        <f t="shared" si="16"/>
        <v>2034.45</v>
      </c>
    </row>
    <row r="98" spans="1:22" ht="13">
      <c r="A98" s="207" t="s">
        <v>301</v>
      </c>
      <c r="B98" s="207" t="s">
        <v>102</v>
      </c>
      <c r="C98" s="206"/>
      <c r="D98" s="206"/>
      <c r="E98" s="206"/>
      <c r="F98" s="357">
        <v>0</v>
      </c>
      <c r="G98" s="288">
        <v>1000</v>
      </c>
      <c r="H98" s="202">
        <f>F98*12</f>
        <v>0</v>
      </c>
      <c r="I98" s="39">
        <f>G98*12</f>
        <v>12000</v>
      </c>
      <c r="J98" s="106">
        <f>I98</f>
        <v>12000</v>
      </c>
      <c r="K98" s="106">
        <f t="shared" si="16"/>
        <v>12000</v>
      </c>
      <c r="L98" s="106">
        <f t="shared" si="16"/>
        <v>12000</v>
      </c>
      <c r="M98" s="106">
        <f t="shared" si="16"/>
        <v>12000</v>
      </c>
      <c r="N98" s="106">
        <f t="shared" si="16"/>
        <v>12000</v>
      </c>
      <c r="O98" s="106">
        <f t="shared" si="16"/>
        <v>12000</v>
      </c>
      <c r="P98" s="106">
        <f t="shared" si="16"/>
        <v>12000</v>
      </c>
      <c r="Q98" s="106">
        <f t="shared" si="16"/>
        <v>12000</v>
      </c>
      <c r="R98" s="106">
        <f t="shared" si="16"/>
        <v>12000</v>
      </c>
      <c r="S98" s="106">
        <f t="shared" si="16"/>
        <v>12000</v>
      </c>
      <c r="T98" s="106">
        <f t="shared" si="16"/>
        <v>12000</v>
      </c>
      <c r="U98" s="106">
        <f t="shared" si="16"/>
        <v>12000</v>
      </c>
      <c r="V98" s="106">
        <f t="shared" si="16"/>
        <v>12000</v>
      </c>
    </row>
    <row r="99" spans="1:22" ht="13">
      <c r="A99" s="207" t="s">
        <v>302</v>
      </c>
      <c r="B99" s="207" t="s">
        <v>102</v>
      </c>
      <c r="C99" s="206"/>
      <c r="D99" s="206"/>
      <c r="E99" s="206"/>
      <c r="F99" s="287">
        <v>800</v>
      </c>
      <c r="G99" s="288">
        <v>1200</v>
      </c>
      <c r="H99" s="39">
        <f>F99*12</f>
        <v>9600</v>
      </c>
      <c r="I99" s="39">
        <f>G99*12</f>
        <v>14400</v>
      </c>
      <c r="J99" s="106">
        <f>I99</f>
        <v>14400</v>
      </c>
      <c r="K99" s="82">
        <f t="shared" si="16"/>
        <v>14400</v>
      </c>
      <c r="L99" s="82">
        <f t="shared" si="16"/>
        <v>14400</v>
      </c>
      <c r="M99" s="82">
        <f t="shared" si="16"/>
        <v>14400</v>
      </c>
      <c r="N99" s="82">
        <f t="shared" si="16"/>
        <v>14400</v>
      </c>
      <c r="O99" s="82">
        <f t="shared" si="16"/>
        <v>14400</v>
      </c>
      <c r="P99" s="82">
        <f t="shared" si="16"/>
        <v>14400</v>
      </c>
      <c r="Q99" s="82">
        <f t="shared" si="16"/>
        <v>14400</v>
      </c>
      <c r="R99" s="82">
        <f t="shared" si="16"/>
        <v>14400</v>
      </c>
      <c r="S99" s="82">
        <f t="shared" si="16"/>
        <v>14400</v>
      </c>
      <c r="T99" s="82">
        <f t="shared" si="16"/>
        <v>14400</v>
      </c>
      <c r="U99" s="82">
        <f t="shared" si="16"/>
        <v>14400</v>
      </c>
      <c r="V99" s="82">
        <f t="shared" si="16"/>
        <v>14400</v>
      </c>
    </row>
    <row r="100" spans="1:22" ht="13">
      <c r="A100" s="20" t="s">
        <v>58</v>
      </c>
      <c r="B100" s="204"/>
      <c r="C100" s="204"/>
      <c r="D100" s="204"/>
      <c r="E100" s="204"/>
      <c r="F100" s="38">
        <f t="shared" ref="F100:V100" si="17">SUM(F95:F99)</f>
        <v>6267.5</v>
      </c>
      <c r="G100" s="38">
        <f t="shared" si="17"/>
        <v>9151.0375000000004</v>
      </c>
      <c r="H100" s="38">
        <f t="shared" si="17"/>
        <v>75210</v>
      </c>
      <c r="I100" s="38">
        <f t="shared" si="17"/>
        <v>109812.45</v>
      </c>
      <c r="J100" s="38">
        <f>SUM(J95:J99)</f>
        <v>109812.45</v>
      </c>
      <c r="K100" s="38">
        <f t="shared" si="17"/>
        <v>109812.45</v>
      </c>
      <c r="L100" s="38">
        <f t="shared" si="17"/>
        <v>109812.45</v>
      </c>
      <c r="M100" s="38">
        <f t="shared" si="17"/>
        <v>109812.45</v>
      </c>
      <c r="N100" s="38">
        <f t="shared" si="17"/>
        <v>109812.45</v>
      </c>
      <c r="O100" s="38">
        <f t="shared" si="17"/>
        <v>109812.45</v>
      </c>
      <c r="P100" s="38">
        <f t="shared" si="17"/>
        <v>109812.45</v>
      </c>
      <c r="Q100" s="38">
        <f t="shared" si="17"/>
        <v>109812.45</v>
      </c>
      <c r="R100" s="38">
        <f t="shared" si="17"/>
        <v>109812.45</v>
      </c>
      <c r="S100" s="38">
        <f t="shared" si="17"/>
        <v>109812.45</v>
      </c>
      <c r="T100" s="38">
        <f t="shared" si="17"/>
        <v>109812.45</v>
      </c>
      <c r="U100" s="38">
        <f t="shared" si="17"/>
        <v>109812.45</v>
      </c>
      <c r="V100" s="38">
        <f t="shared" si="17"/>
        <v>109812.45</v>
      </c>
    </row>
    <row r="101" spans="1:22" ht="13">
      <c r="A101" s="159"/>
      <c r="B101" s="159"/>
      <c r="C101" s="159"/>
      <c r="D101" s="206"/>
      <c r="E101" s="206"/>
      <c r="F101" s="42"/>
      <c r="G101" s="206"/>
      <c r="H101" s="42"/>
      <c r="I101" s="42"/>
      <c r="J101" s="206"/>
      <c r="K101" s="206"/>
      <c r="L101" s="206"/>
      <c r="M101" s="206"/>
      <c r="N101" s="206"/>
      <c r="O101" s="206"/>
      <c r="P101" s="206"/>
      <c r="Q101" s="206"/>
      <c r="R101" s="206"/>
      <c r="S101" s="206"/>
      <c r="T101" s="206"/>
      <c r="U101" s="206"/>
      <c r="V101" s="206"/>
    </row>
    <row r="102" spans="1:22" ht="13">
      <c r="A102" s="20" t="s">
        <v>206</v>
      </c>
      <c r="B102" s="203"/>
      <c r="C102" s="204"/>
      <c r="D102" s="204"/>
      <c r="E102" s="204"/>
      <c r="F102" s="43">
        <f>F92-F100</f>
        <v>760.78876608144128</v>
      </c>
      <c r="G102" s="43">
        <f>G92-G100</f>
        <v>3143.1674061103386</v>
      </c>
      <c r="H102" s="43">
        <f>H92-H100</f>
        <v>9129.4651929772517</v>
      </c>
      <c r="I102" s="43">
        <f>I92-I100</f>
        <v>37718.008873324041</v>
      </c>
      <c r="J102" s="43">
        <f t="shared" ref="J102:V102" si="18">J92-J100</f>
        <v>41101.555363455744</v>
      </c>
      <c r="K102" s="43">
        <f t="shared" si="18"/>
        <v>43533.479403237798</v>
      </c>
      <c r="L102" s="43">
        <f t="shared" si="18"/>
        <v>45775.078952950091</v>
      </c>
      <c r="M102" s="43">
        <f t="shared" si="18"/>
        <v>47826.354012592361</v>
      </c>
      <c r="N102" s="43">
        <f t="shared" si="18"/>
        <v>49729.598913291396</v>
      </c>
      <c r="O102" s="43">
        <f t="shared" si="18"/>
        <v>51040.723178217493</v>
      </c>
      <c r="P102" s="43">
        <f t="shared" si="18"/>
        <v>52267.258780890159</v>
      </c>
      <c r="Q102" s="43">
        <f t="shared" si="18"/>
        <v>53430.352886872963</v>
      </c>
      <c r="R102" s="43">
        <f t="shared" si="18"/>
        <v>54508.858330602423</v>
      </c>
      <c r="S102" s="43">
        <f t="shared" si="18"/>
        <v>55523.922277641876</v>
      </c>
      <c r="T102" s="43">
        <f t="shared" si="18"/>
        <v>56496.691893554715</v>
      </c>
      <c r="U102" s="43">
        <f t="shared" si="18"/>
        <v>57406.020012777604</v>
      </c>
      <c r="V102" s="43">
        <f t="shared" si="18"/>
        <v>58251.906635310515</v>
      </c>
    </row>
    <row r="103" spans="1:22" ht="13">
      <c r="A103" s="206"/>
      <c r="B103" s="159"/>
      <c r="C103" s="159"/>
      <c r="D103" s="206"/>
      <c r="E103" s="206"/>
      <c r="F103" s="42"/>
      <c r="G103" s="206"/>
      <c r="H103" s="42"/>
      <c r="I103" s="42"/>
      <c r="J103" s="206"/>
      <c r="K103" s="206"/>
      <c r="L103" s="206"/>
      <c r="M103" s="206"/>
      <c r="N103" s="206"/>
      <c r="O103" s="206"/>
      <c r="P103" s="206"/>
      <c r="Q103" s="206"/>
      <c r="R103" s="206"/>
      <c r="S103" s="206"/>
      <c r="T103" s="206"/>
      <c r="U103" s="206"/>
      <c r="V103" s="206"/>
    </row>
    <row r="104" spans="1:22" ht="13">
      <c r="A104" s="77" t="s">
        <v>213</v>
      </c>
      <c r="B104" s="78"/>
      <c r="C104" s="206"/>
      <c r="D104" s="206"/>
      <c r="E104" s="206"/>
      <c r="F104" s="106">
        <f>H104/12</f>
        <v>1392.4963226491307</v>
      </c>
      <c r="G104" s="106">
        <f>I104/12</f>
        <v>1392.4963226491307</v>
      </c>
      <c r="H104" s="78">
        <f>IF($B$56/H73&gt;=1,  (Overview!$B$55*Overview!$B$53)/(1-(1+Overview!$B$55)^(-Overview!$B$56)), 0)</f>
        <v>16709.955871789567</v>
      </c>
      <c r="I104" s="78">
        <f>IF($B$56/I73&gt;=1, H104, 0)</f>
        <v>16709.955871789567</v>
      </c>
      <c r="J104" s="78">
        <f>IF($B$56/J73&gt;=1, I104, 0)</f>
        <v>16709.955871789567</v>
      </c>
      <c r="K104" s="78">
        <f t="shared" ref="K104:V104" si="19">IF($B$56/K73&gt;=1, J104, 0)</f>
        <v>16709.955871789567</v>
      </c>
      <c r="L104" s="78">
        <f t="shared" si="19"/>
        <v>16709.955871789567</v>
      </c>
      <c r="M104" s="78">
        <f t="shared" si="19"/>
        <v>16709.955871789567</v>
      </c>
      <c r="N104" s="78">
        <f t="shared" si="19"/>
        <v>16709.955871789567</v>
      </c>
      <c r="O104" s="78">
        <f t="shared" si="19"/>
        <v>16709.955871789567</v>
      </c>
      <c r="P104" s="78">
        <f t="shared" si="19"/>
        <v>0</v>
      </c>
      <c r="Q104" s="78">
        <f t="shared" si="19"/>
        <v>0</v>
      </c>
      <c r="R104" s="78">
        <f t="shared" si="19"/>
        <v>0</v>
      </c>
      <c r="S104" s="78">
        <f t="shared" si="19"/>
        <v>0</v>
      </c>
      <c r="T104" s="78">
        <f t="shared" si="19"/>
        <v>0</v>
      </c>
      <c r="U104" s="78">
        <f t="shared" si="19"/>
        <v>0</v>
      </c>
      <c r="V104" s="78">
        <f t="shared" si="19"/>
        <v>0</v>
      </c>
    </row>
    <row r="105" spans="1:22" ht="13">
      <c r="A105" s="80" t="s">
        <v>214</v>
      </c>
      <c r="B105" s="81"/>
      <c r="C105" s="206"/>
      <c r="D105" s="206"/>
      <c r="E105" s="206"/>
      <c r="F105" s="81">
        <f>-(Overview!$B$53)</f>
        <v>-108000</v>
      </c>
      <c r="G105" s="196">
        <f>H105</f>
        <v>-96690.044128210429</v>
      </c>
      <c r="H105" s="81">
        <f>F105+H104+(F105*$B$55)</f>
        <v>-96690.044128210429</v>
      </c>
      <c r="I105" s="81">
        <f t="shared" ref="I105:V105" si="20">H105+I104+(H105*$B$55)</f>
        <v>-84814.590462831373</v>
      </c>
      <c r="J105" s="81">
        <f>I105+J104+(I105*$B$55)</f>
        <v>-72345.364114183365</v>
      </c>
      <c r="K105" s="81">
        <f t="shared" si="20"/>
        <v>-59252.67644810296</v>
      </c>
      <c r="L105" s="81">
        <f t="shared" si="20"/>
        <v>-45505.354398718548</v>
      </c>
      <c r="M105" s="81">
        <f t="shared" si="20"/>
        <v>-31070.666246864908</v>
      </c>
      <c r="N105" s="81">
        <f t="shared" si="20"/>
        <v>-15914.243687418588</v>
      </c>
      <c r="O105" s="81">
        <f t="shared" si="20"/>
        <v>4.9794834922067821E-11</v>
      </c>
      <c r="P105" s="81">
        <f t="shared" si="20"/>
        <v>5.2284576668171209E-11</v>
      </c>
      <c r="Q105" s="81">
        <f t="shared" si="20"/>
        <v>5.4898805501579771E-11</v>
      </c>
      <c r="R105" s="81">
        <f t="shared" si="20"/>
        <v>5.7643745776658758E-11</v>
      </c>
      <c r="S105" s="81">
        <f t="shared" si="20"/>
        <v>6.0525933065491697E-11</v>
      </c>
      <c r="T105" s="81">
        <f t="shared" si="20"/>
        <v>6.355222971876628E-11</v>
      </c>
      <c r="U105" s="81">
        <f t="shared" si="20"/>
        <v>6.67298412047046E-11</v>
      </c>
      <c r="V105" s="81">
        <f t="shared" si="20"/>
        <v>7.006633326493983E-11</v>
      </c>
    </row>
    <row r="106" spans="1:22" ht="13">
      <c r="A106" s="89" t="s">
        <v>221</v>
      </c>
      <c r="B106" s="90"/>
      <c r="C106" s="75"/>
      <c r="D106" s="75"/>
      <c r="E106" s="75"/>
      <c r="F106" s="90"/>
      <c r="G106" s="206"/>
      <c r="H106" s="90">
        <f t="shared" ref="H106:V106" si="21">$B$54*H102</f>
        <v>0</v>
      </c>
      <c r="I106" s="90">
        <f t="shared" si="21"/>
        <v>0</v>
      </c>
      <c r="J106" s="90">
        <f t="shared" si="21"/>
        <v>0</v>
      </c>
      <c r="K106" s="90">
        <f t="shared" si="21"/>
        <v>0</v>
      </c>
      <c r="L106" s="90">
        <f t="shared" si="21"/>
        <v>0</v>
      </c>
      <c r="M106" s="90">
        <f t="shared" si="21"/>
        <v>0</v>
      </c>
      <c r="N106" s="90">
        <f t="shared" si="21"/>
        <v>0</v>
      </c>
      <c r="O106" s="90">
        <f t="shared" si="21"/>
        <v>0</v>
      </c>
      <c r="P106" s="90">
        <f t="shared" si="21"/>
        <v>0</v>
      </c>
      <c r="Q106" s="90">
        <f t="shared" si="21"/>
        <v>0</v>
      </c>
      <c r="R106" s="90">
        <f t="shared" si="21"/>
        <v>0</v>
      </c>
      <c r="S106" s="90">
        <f t="shared" si="21"/>
        <v>0</v>
      </c>
      <c r="T106" s="90">
        <f t="shared" si="21"/>
        <v>0</v>
      </c>
      <c r="U106" s="90">
        <f t="shared" si="21"/>
        <v>0</v>
      </c>
      <c r="V106" s="90">
        <f t="shared" si="21"/>
        <v>0</v>
      </c>
    </row>
    <row r="107" spans="1:22" ht="13">
      <c r="A107" s="47" t="s">
        <v>296</v>
      </c>
      <c r="B107" s="159"/>
      <c r="C107" s="159"/>
      <c r="D107" s="206"/>
      <c r="E107" s="206"/>
      <c r="F107" s="42">
        <f>(H107/12)</f>
        <v>845.51534637624582</v>
      </c>
      <c r="G107" s="197">
        <f>I107/12</f>
        <v>1691.0306927524916</v>
      </c>
      <c r="H107" s="125">
        <f>('CapEx Breakdown'!$I$37)/B21</f>
        <v>10146.18415651495</v>
      </c>
      <c r="I107" s="125">
        <f>'CapEx Breakdown'!$I$37</f>
        <v>20292.3683130299</v>
      </c>
      <c r="J107" s="125">
        <f>'CapEx Breakdown'!$I$37</f>
        <v>20292.3683130299</v>
      </c>
      <c r="K107" s="125">
        <f>'CapEx Breakdown'!$I$37</f>
        <v>20292.3683130299</v>
      </c>
      <c r="L107" s="125">
        <f>'CapEx Breakdown'!$I$37</f>
        <v>20292.3683130299</v>
      </c>
      <c r="M107" s="125">
        <f>'CapEx Breakdown'!$I$37</f>
        <v>20292.3683130299</v>
      </c>
      <c r="N107" s="125">
        <f>'CapEx Breakdown'!$I$37</f>
        <v>20292.3683130299</v>
      </c>
      <c r="O107" s="125">
        <f>'CapEx Breakdown'!$I$37</f>
        <v>20292.3683130299</v>
      </c>
      <c r="P107" s="125">
        <f>'CapEx Breakdown'!$I$37</f>
        <v>20292.3683130299</v>
      </c>
      <c r="Q107" s="125">
        <f>'CapEx Breakdown'!$I$37</f>
        <v>20292.3683130299</v>
      </c>
      <c r="R107" s="125">
        <f>'CapEx Breakdown'!$I$37</f>
        <v>20292.3683130299</v>
      </c>
      <c r="S107" s="125">
        <f>'CapEx Breakdown'!$I$37</f>
        <v>20292.3683130299</v>
      </c>
      <c r="T107" s="125">
        <f>'CapEx Breakdown'!$I$37</f>
        <v>20292.3683130299</v>
      </c>
      <c r="U107" s="125">
        <f>'CapEx Breakdown'!$I$37</f>
        <v>20292.3683130299</v>
      </c>
      <c r="V107" s="125">
        <f>'CapEx Breakdown'!$I$37</f>
        <v>20292.3683130299</v>
      </c>
    </row>
    <row r="108" spans="1:22" ht="13">
      <c r="A108" s="159"/>
      <c r="B108" s="159"/>
      <c r="C108" s="159"/>
      <c r="D108" s="206"/>
      <c r="E108" s="206"/>
      <c r="F108" s="42"/>
      <c r="G108" s="206"/>
      <c r="H108" s="42"/>
      <c r="I108" s="42"/>
      <c r="J108" s="206"/>
      <c r="K108" s="206"/>
      <c r="L108" s="206"/>
      <c r="M108" s="206"/>
      <c r="N108" s="206"/>
      <c r="O108" s="206"/>
      <c r="P108" s="206"/>
      <c r="Q108" s="206"/>
      <c r="R108" s="206"/>
      <c r="S108" s="206"/>
      <c r="T108" s="206"/>
      <c r="U108" s="206"/>
      <c r="V108" s="206"/>
    </row>
    <row r="109" spans="1:22" ht="13">
      <c r="A109" s="159" t="s">
        <v>205</v>
      </c>
      <c r="B109" s="159"/>
      <c r="C109" s="159"/>
      <c r="D109" s="206"/>
      <c r="E109" s="206"/>
      <c r="F109" s="42">
        <f>F102</f>
        <v>760.78876608144128</v>
      </c>
      <c r="G109" s="42">
        <f>G102</f>
        <v>3143.1674061103386</v>
      </c>
      <c r="H109" s="42">
        <f>H102-H106-H104-H107</f>
        <v>-17726.674835327263</v>
      </c>
      <c r="I109" s="42">
        <f t="shared" ref="I109:V109" si="22">I102-I106-I104-I107</f>
        <v>715.6846885045743</v>
      </c>
      <c r="J109" s="42">
        <f t="shared" si="22"/>
        <v>4099.231178636277</v>
      </c>
      <c r="K109" s="42">
        <f t="shared" si="22"/>
        <v>6531.1552184183311</v>
      </c>
      <c r="L109" s="42">
        <f t="shared" si="22"/>
        <v>8772.7547681306241</v>
      </c>
      <c r="M109" s="42">
        <f t="shared" si="22"/>
        <v>10824.029827772894</v>
      </c>
      <c r="N109" s="42">
        <f t="shared" si="22"/>
        <v>12727.274728471926</v>
      </c>
      <c r="O109" s="42">
        <f t="shared" si="22"/>
        <v>14038.398993398023</v>
      </c>
      <c r="P109" s="42">
        <f t="shared" si="22"/>
        <v>31974.890467860259</v>
      </c>
      <c r="Q109" s="42">
        <f t="shared" si="22"/>
        <v>33137.984573843059</v>
      </c>
      <c r="R109" s="42">
        <f t="shared" si="22"/>
        <v>34216.49001757252</v>
      </c>
      <c r="S109" s="42">
        <f t="shared" si="22"/>
        <v>35231.553964611972</v>
      </c>
      <c r="T109" s="42">
        <f t="shared" si="22"/>
        <v>36204.323580524811</v>
      </c>
      <c r="U109" s="42">
        <f t="shared" si="22"/>
        <v>37113.651699747701</v>
      </c>
      <c r="V109" s="42">
        <f t="shared" si="22"/>
        <v>37959.538322280612</v>
      </c>
    </row>
    <row r="110" spans="1:22" ht="13">
      <c r="A110" s="159"/>
      <c r="B110" s="159"/>
      <c r="C110" s="159"/>
      <c r="D110" s="206"/>
      <c r="E110" s="206"/>
      <c r="F110" s="159"/>
      <c r="G110" s="206"/>
      <c r="H110" s="159"/>
      <c r="I110" s="159"/>
      <c r="J110" s="206"/>
      <c r="K110" s="206"/>
      <c r="L110" s="206"/>
      <c r="M110" s="206"/>
      <c r="N110" s="206"/>
      <c r="O110" s="206"/>
      <c r="P110" s="206"/>
      <c r="Q110" s="206"/>
      <c r="R110" s="206"/>
      <c r="S110" s="206"/>
      <c r="T110" s="206"/>
      <c r="U110" s="206"/>
      <c r="V110" s="206"/>
    </row>
    <row r="111" spans="1:22" ht="13">
      <c r="A111" s="23" t="s">
        <v>59</v>
      </c>
      <c r="B111" s="23"/>
      <c r="C111" s="23"/>
      <c r="D111" s="24"/>
      <c r="E111" s="24"/>
      <c r="F111" s="23"/>
      <c r="G111" s="23"/>
      <c r="H111" s="23"/>
      <c r="I111" s="23"/>
      <c r="J111" s="206"/>
      <c r="K111" s="206"/>
      <c r="L111" s="206"/>
      <c r="M111" s="206"/>
      <c r="N111" s="206"/>
      <c r="O111" s="206"/>
      <c r="P111" s="206"/>
      <c r="Q111" s="206"/>
      <c r="R111" s="206"/>
      <c r="S111" s="206"/>
      <c r="T111" s="206"/>
      <c r="U111" s="206"/>
      <c r="V111" s="206"/>
    </row>
    <row r="112" spans="1:22" ht="13">
      <c r="A112" s="159"/>
      <c r="B112" s="159"/>
      <c r="C112" s="159"/>
      <c r="D112" s="206"/>
      <c r="E112" s="206"/>
      <c r="F112" s="159"/>
      <c r="G112" s="206"/>
      <c r="H112" s="159"/>
      <c r="I112" s="159"/>
      <c r="J112" s="206"/>
      <c r="K112" s="206"/>
      <c r="L112" s="206"/>
      <c r="M112" s="206"/>
      <c r="N112" s="206"/>
      <c r="O112" s="206"/>
      <c r="P112" s="206"/>
      <c r="Q112" s="206"/>
      <c r="R112" s="206"/>
      <c r="S112" s="206"/>
      <c r="T112" s="206"/>
      <c r="U112" s="206"/>
      <c r="V112" s="206"/>
    </row>
    <row r="113" spans="1:22" ht="13">
      <c r="A113" s="159" t="s">
        <v>504</v>
      </c>
      <c r="B113" s="159" t="s">
        <v>60</v>
      </c>
      <c r="C113" s="159" t="s">
        <v>61</v>
      </c>
      <c r="D113" s="206"/>
      <c r="E113" s="206"/>
      <c r="F113" s="159" t="s">
        <v>21</v>
      </c>
      <c r="G113" s="159" t="s">
        <v>502</v>
      </c>
      <c r="H113" s="159" t="s">
        <v>22</v>
      </c>
      <c r="I113" s="159" t="s">
        <v>23</v>
      </c>
      <c r="J113" s="159" t="s">
        <v>146</v>
      </c>
      <c r="K113" s="53" t="s">
        <v>147</v>
      </c>
      <c r="L113" s="53" t="s">
        <v>148</v>
      </c>
      <c r="M113" s="53" t="s">
        <v>149</v>
      </c>
      <c r="N113" s="53" t="s">
        <v>150</v>
      </c>
      <c r="O113" s="53" t="s">
        <v>151</v>
      </c>
      <c r="P113" s="53" t="s">
        <v>152</v>
      </c>
      <c r="Q113" s="53" t="s">
        <v>153</v>
      </c>
      <c r="R113" s="53" t="s">
        <v>154</v>
      </c>
      <c r="S113" s="53" t="s">
        <v>155</v>
      </c>
      <c r="T113" s="53" t="s">
        <v>156</v>
      </c>
      <c r="U113" s="53" t="s">
        <v>157</v>
      </c>
      <c r="V113" s="53" t="s">
        <v>158</v>
      </c>
    </row>
    <row r="114" spans="1:22" ht="13">
      <c r="A114" s="205" t="s">
        <v>62</v>
      </c>
      <c r="B114" s="44">
        <v>1500</v>
      </c>
      <c r="C114" s="35">
        <f>B114*12</f>
        <v>18000</v>
      </c>
      <c r="D114" s="35"/>
      <c r="E114" s="35"/>
      <c r="F114" s="35">
        <f>F136*B114</f>
        <v>0</v>
      </c>
      <c r="G114" s="190">
        <f>G136*B114</f>
        <v>0</v>
      </c>
      <c r="H114" s="35">
        <f>F136*$C114</f>
        <v>0</v>
      </c>
      <c r="I114" s="36">
        <f>G136*$C114</f>
        <v>0</v>
      </c>
      <c r="J114" s="82">
        <f>I114</f>
        <v>0</v>
      </c>
      <c r="K114" s="82">
        <f t="shared" ref="K114:Q114" si="23">J114</f>
        <v>0</v>
      </c>
      <c r="L114" s="82">
        <f t="shared" si="23"/>
        <v>0</v>
      </c>
      <c r="M114" s="82">
        <f t="shared" si="23"/>
        <v>0</v>
      </c>
      <c r="N114" s="82">
        <f t="shared" si="23"/>
        <v>0</v>
      </c>
      <c r="O114" s="82">
        <f t="shared" si="23"/>
        <v>0</v>
      </c>
      <c r="P114" s="82">
        <f t="shared" si="23"/>
        <v>0</v>
      </c>
      <c r="Q114" s="82">
        <f t="shared" si="23"/>
        <v>0</v>
      </c>
      <c r="R114" s="82">
        <f t="shared" ref="R114:V115" si="24">Q114</f>
        <v>0</v>
      </c>
      <c r="S114" s="82">
        <f t="shared" si="24"/>
        <v>0</v>
      </c>
      <c r="T114" s="82">
        <f t="shared" si="24"/>
        <v>0</v>
      </c>
      <c r="U114" s="82">
        <f t="shared" si="24"/>
        <v>0</v>
      </c>
      <c r="V114" s="82">
        <f t="shared" si="24"/>
        <v>0</v>
      </c>
    </row>
    <row r="115" spans="1:22" ht="15.75" customHeight="1">
      <c r="A115" s="205" t="s">
        <v>63</v>
      </c>
      <c r="B115" s="44">
        <v>1500</v>
      </c>
      <c r="C115" s="35">
        <f>B115*12</f>
        <v>18000</v>
      </c>
      <c r="D115" s="35"/>
      <c r="E115" s="35"/>
      <c r="F115" s="35">
        <f>F137*B115</f>
        <v>1500</v>
      </c>
      <c r="G115" s="190">
        <f>G137*B115</f>
        <v>1500</v>
      </c>
      <c r="H115" s="35">
        <f>F137*$C115</f>
        <v>18000</v>
      </c>
      <c r="I115" s="36">
        <f>G137*$C115</f>
        <v>18000</v>
      </c>
      <c r="J115" s="82">
        <f>I115</f>
        <v>18000</v>
      </c>
      <c r="K115" s="82">
        <f t="shared" ref="K115:Q115" si="25">J115</f>
        <v>18000</v>
      </c>
      <c r="L115" s="82">
        <f t="shared" si="25"/>
        <v>18000</v>
      </c>
      <c r="M115" s="82">
        <f t="shared" si="25"/>
        <v>18000</v>
      </c>
      <c r="N115" s="82">
        <f t="shared" si="25"/>
        <v>18000</v>
      </c>
      <c r="O115" s="82">
        <f t="shared" si="25"/>
        <v>18000</v>
      </c>
      <c r="P115" s="82">
        <f t="shared" si="25"/>
        <v>18000</v>
      </c>
      <c r="Q115" s="82">
        <f t="shared" si="25"/>
        <v>18000</v>
      </c>
      <c r="R115" s="82">
        <f t="shared" si="24"/>
        <v>18000</v>
      </c>
      <c r="S115" s="82">
        <f t="shared" si="24"/>
        <v>18000</v>
      </c>
      <c r="T115" s="82">
        <f t="shared" si="24"/>
        <v>18000</v>
      </c>
      <c r="U115" s="82">
        <f t="shared" si="24"/>
        <v>18000</v>
      </c>
      <c r="V115" s="82">
        <f t="shared" si="24"/>
        <v>18000</v>
      </c>
    </row>
    <row r="116" spans="1:22" s="277" customFormat="1" ht="15.75" customHeight="1">
      <c r="A116" s="207" t="s">
        <v>626</v>
      </c>
      <c r="B116" s="44">
        <v>8.7200000000000006</v>
      </c>
      <c r="C116" s="35"/>
      <c r="D116" s="35"/>
      <c r="E116" s="35"/>
      <c r="F116" s="35">
        <f>F139*$B$116</f>
        <v>0</v>
      </c>
      <c r="G116" s="190">
        <f>F139*$B$116</f>
        <v>0</v>
      </c>
      <c r="H116" s="35">
        <f>F116*12</f>
        <v>0</v>
      </c>
      <c r="I116" s="36">
        <f>G116*12</f>
        <v>0</v>
      </c>
      <c r="J116" s="82">
        <f>I116*(1-labour_improvement)</f>
        <v>0</v>
      </c>
      <c r="K116" s="82">
        <f>J116*(1-labour_improvement)</f>
        <v>0</v>
      </c>
      <c r="L116" s="82">
        <f>K116*(1-labour_improvement)</f>
        <v>0</v>
      </c>
      <c r="M116" s="82">
        <f>L116*(1-labour_improvement)</f>
        <v>0</v>
      </c>
      <c r="N116" s="82">
        <f>M116*(1-labour_improvement)</f>
        <v>0</v>
      </c>
      <c r="O116" s="82">
        <f>N116*(1-labour_improvement)</f>
        <v>0</v>
      </c>
      <c r="P116" s="82">
        <f>O116*(1-labour_improvement)</f>
        <v>0</v>
      </c>
      <c r="Q116" s="82">
        <f>P116*(1-labour_improvement)</f>
        <v>0</v>
      </c>
      <c r="R116" s="82">
        <f>Q116*(1-labour_improvement)</f>
        <v>0</v>
      </c>
      <c r="S116" s="82">
        <f>R116*(1-labour_improvement)</f>
        <v>0</v>
      </c>
      <c r="T116" s="82">
        <f>S116*(1-labour_improvement)</f>
        <v>0</v>
      </c>
      <c r="U116" s="82">
        <f>T116*(1-labour_improvement)</f>
        <v>0</v>
      </c>
      <c r="V116" s="82">
        <f>U116*(1-labour_improvement)</f>
        <v>0</v>
      </c>
    </row>
    <row r="117" spans="1:22" ht="13">
      <c r="A117" s="20" t="s">
        <v>64</v>
      </c>
      <c r="B117" s="45"/>
      <c r="C117" s="45"/>
      <c r="D117" s="45"/>
      <c r="E117" s="45"/>
      <c r="F117" s="38">
        <f>H117/12</f>
        <v>1500</v>
      </c>
      <c r="G117" s="38">
        <f>I117/12</f>
        <v>1500</v>
      </c>
      <c r="H117" s="38">
        <f t="shared" ref="H117:R117" si="26">SUM(H113:H115)</f>
        <v>18000</v>
      </c>
      <c r="I117" s="46">
        <f t="shared" si="26"/>
        <v>18000</v>
      </c>
      <c r="J117" s="84">
        <f t="shared" si="26"/>
        <v>18000</v>
      </c>
      <c r="K117" s="84">
        <f t="shared" si="26"/>
        <v>18000</v>
      </c>
      <c r="L117" s="84">
        <f t="shared" si="26"/>
        <v>18000</v>
      </c>
      <c r="M117" s="84">
        <f t="shared" si="26"/>
        <v>18000</v>
      </c>
      <c r="N117" s="84">
        <f t="shared" si="26"/>
        <v>18000</v>
      </c>
      <c r="O117" s="84">
        <f t="shared" si="26"/>
        <v>18000</v>
      </c>
      <c r="P117" s="84">
        <f t="shared" si="26"/>
        <v>18000</v>
      </c>
      <c r="Q117" s="84">
        <f t="shared" si="26"/>
        <v>18000</v>
      </c>
      <c r="R117" s="84">
        <f t="shared" si="26"/>
        <v>18000</v>
      </c>
      <c r="S117" s="84">
        <f>SUM(S113:S115)</f>
        <v>18000</v>
      </c>
      <c r="T117" s="84">
        <f>SUM(T113:T115)</f>
        <v>18000</v>
      </c>
      <c r="U117" s="84">
        <f>SUM(U113:U115)</f>
        <v>18000</v>
      </c>
      <c r="V117" s="84">
        <f>SUM(V113:V115)</f>
        <v>18000</v>
      </c>
    </row>
    <row r="118" spans="1:22" ht="13">
      <c r="A118" s="159"/>
      <c r="B118" s="159"/>
      <c r="C118" s="159"/>
      <c r="D118" s="206"/>
      <c r="E118" s="206"/>
      <c r="F118" s="159"/>
      <c r="G118" s="206"/>
      <c r="H118" s="159"/>
      <c r="I118" s="159"/>
      <c r="J118" s="206"/>
      <c r="K118" s="206"/>
      <c r="L118" s="206"/>
      <c r="M118" s="206"/>
      <c r="N118" s="206"/>
      <c r="O118" s="206"/>
      <c r="P118" s="206"/>
      <c r="Q118" s="206"/>
      <c r="R118" s="206"/>
      <c r="S118" s="206"/>
      <c r="T118" s="206"/>
      <c r="U118" s="206"/>
      <c r="V118" s="206"/>
    </row>
    <row r="119" spans="1:22" ht="13">
      <c r="A119" s="159" t="s">
        <v>505</v>
      </c>
      <c r="B119" s="159" t="s">
        <v>60</v>
      </c>
      <c r="C119" s="159" t="s">
        <v>61</v>
      </c>
      <c r="D119" s="206"/>
      <c r="E119" s="206"/>
      <c r="F119" s="159"/>
      <c r="G119" s="159"/>
      <c r="H119" s="159" t="s">
        <v>22</v>
      </c>
      <c r="I119" s="159" t="s">
        <v>23</v>
      </c>
      <c r="J119" s="159" t="s">
        <v>146</v>
      </c>
      <c r="K119" s="53" t="s">
        <v>147</v>
      </c>
      <c r="L119" s="53" t="s">
        <v>148</v>
      </c>
      <c r="M119" s="53" t="s">
        <v>149</v>
      </c>
      <c r="N119" s="53" t="s">
        <v>150</v>
      </c>
      <c r="O119" s="53" t="s">
        <v>151</v>
      </c>
      <c r="P119" s="53" t="s">
        <v>152</v>
      </c>
      <c r="Q119" s="53" t="s">
        <v>153</v>
      </c>
      <c r="R119" s="53" t="s">
        <v>154</v>
      </c>
      <c r="S119" s="53" t="s">
        <v>155</v>
      </c>
      <c r="T119" s="53" t="s">
        <v>156</v>
      </c>
      <c r="U119" s="53" t="s">
        <v>157</v>
      </c>
      <c r="V119" s="53" t="s">
        <v>158</v>
      </c>
    </row>
    <row r="120" spans="1:22" ht="13">
      <c r="A120" s="207" t="s">
        <v>65</v>
      </c>
      <c r="B120" s="44">
        <v>2025</v>
      </c>
      <c r="C120" s="35">
        <f>B120*12</f>
        <v>24300</v>
      </c>
      <c r="D120" s="35"/>
      <c r="E120" s="35"/>
      <c r="F120" s="198" t="s">
        <v>102</v>
      </c>
      <c r="G120" s="198" t="s">
        <v>102</v>
      </c>
      <c r="H120" s="35">
        <f t="shared" ref="H120:I125" si="27">F130*$C120</f>
        <v>0</v>
      </c>
      <c r="I120" s="36">
        <f t="shared" si="27"/>
        <v>0</v>
      </c>
      <c r="J120" s="82">
        <f>I120</f>
        <v>0</v>
      </c>
      <c r="K120" s="82">
        <f t="shared" ref="K120:Q120" si="28">J120</f>
        <v>0</v>
      </c>
      <c r="L120" s="82">
        <f t="shared" si="28"/>
        <v>0</v>
      </c>
      <c r="M120" s="82">
        <f t="shared" si="28"/>
        <v>0</v>
      </c>
      <c r="N120" s="82">
        <f t="shared" si="28"/>
        <v>0</v>
      </c>
      <c r="O120" s="82">
        <f t="shared" si="28"/>
        <v>0</v>
      </c>
      <c r="P120" s="82">
        <f t="shared" si="28"/>
        <v>0</v>
      </c>
      <c r="Q120" s="82">
        <f t="shared" si="28"/>
        <v>0</v>
      </c>
      <c r="R120" s="82">
        <f t="shared" ref="R120:V126" si="29">Q120</f>
        <v>0</v>
      </c>
      <c r="S120" s="82">
        <f t="shared" si="29"/>
        <v>0</v>
      </c>
      <c r="T120" s="82">
        <f t="shared" si="29"/>
        <v>0</v>
      </c>
      <c r="U120" s="82">
        <f t="shared" si="29"/>
        <v>0</v>
      </c>
      <c r="V120" s="82">
        <f t="shared" si="29"/>
        <v>0</v>
      </c>
    </row>
    <row r="121" spans="1:22" ht="13">
      <c r="A121" s="205" t="s">
        <v>66</v>
      </c>
      <c r="B121" s="44">
        <v>1560</v>
      </c>
      <c r="C121" s="35">
        <f t="shared" ref="C121:C126" si="30">B121*12</f>
        <v>18720</v>
      </c>
      <c r="D121" s="35"/>
      <c r="E121" s="35"/>
      <c r="F121" s="198" t="s">
        <v>102</v>
      </c>
      <c r="G121" s="198" t="s">
        <v>102</v>
      </c>
      <c r="H121" s="35">
        <f t="shared" si="27"/>
        <v>0</v>
      </c>
      <c r="I121" s="36">
        <f t="shared" si="27"/>
        <v>18720</v>
      </c>
      <c r="J121" s="82">
        <f t="shared" ref="J121:Q126" si="31">I121</f>
        <v>18720</v>
      </c>
      <c r="K121" s="82">
        <f t="shared" si="31"/>
        <v>18720</v>
      </c>
      <c r="L121" s="82">
        <f t="shared" si="31"/>
        <v>18720</v>
      </c>
      <c r="M121" s="82">
        <f t="shared" si="31"/>
        <v>18720</v>
      </c>
      <c r="N121" s="82">
        <f t="shared" si="31"/>
        <v>18720</v>
      </c>
      <c r="O121" s="82">
        <f t="shared" si="31"/>
        <v>18720</v>
      </c>
      <c r="P121" s="82">
        <f t="shared" si="31"/>
        <v>18720</v>
      </c>
      <c r="Q121" s="82">
        <f t="shared" si="31"/>
        <v>18720</v>
      </c>
      <c r="R121" s="82">
        <f t="shared" si="29"/>
        <v>18720</v>
      </c>
      <c r="S121" s="82">
        <f t="shared" si="29"/>
        <v>18720</v>
      </c>
      <c r="T121" s="82">
        <f t="shared" si="29"/>
        <v>18720</v>
      </c>
      <c r="U121" s="82">
        <f t="shared" si="29"/>
        <v>18720</v>
      </c>
      <c r="V121" s="82">
        <f t="shared" si="29"/>
        <v>18720</v>
      </c>
    </row>
    <row r="122" spans="1:22" ht="13">
      <c r="A122" s="207" t="s">
        <v>67</v>
      </c>
      <c r="B122" s="44">
        <v>2025</v>
      </c>
      <c r="C122" s="35">
        <f t="shared" si="30"/>
        <v>24300</v>
      </c>
      <c r="D122" s="35"/>
      <c r="E122" s="35"/>
      <c r="F122" s="198" t="s">
        <v>102</v>
      </c>
      <c r="G122" s="198" t="s">
        <v>102</v>
      </c>
      <c r="H122" s="35">
        <f t="shared" si="27"/>
        <v>12150</v>
      </c>
      <c r="I122" s="36">
        <f t="shared" si="27"/>
        <v>12150</v>
      </c>
      <c r="J122" s="82">
        <f t="shared" si="31"/>
        <v>12150</v>
      </c>
      <c r="K122" s="82">
        <f t="shared" si="31"/>
        <v>12150</v>
      </c>
      <c r="L122" s="82">
        <f t="shared" si="31"/>
        <v>12150</v>
      </c>
      <c r="M122" s="82">
        <f t="shared" si="31"/>
        <v>12150</v>
      </c>
      <c r="N122" s="82">
        <f t="shared" si="31"/>
        <v>12150</v>
      </c>
      <c r="O122" s="82">
        <f t="shared" si="31"/>
        <v>12150</v>
      </c>
      <c r="P122" s="82">
        <f t="shared" si="31"/>
        <v>12150</v>
      </c>
      <c r="Q122" s="82">
        <f t="shared" si="31"/>
        <v>12150</v>
      </c>
      <c r="R122" s="82">
        <f t="shared" si="29"/>
        <v>12150</v>
      </c>
      <c r="S122" s="82">
        <f t="shared" si="29"/>
        <v>12150</v>
      </c>
      <c r="T122" s="82">
        <f t="shared" si="29"/>
        <v>12150</v>
      </c>
      <c r="U122" s="82">
        <f t="shared" si="29"/>
        <v>12150</v>
      </c>
      <c r="V122" s="82">
        <f t="shared" si="29"/>
        <v>12150</v>
      </c>
    </row>
    <row r="123" spans="1:22" ht="13">
      <c r="A123" s="205" t="s">
        <v>68</v>
      </c>
      <c r="B123" s="44">
        <v>2025</v>
      </c>
      <c r="C123" s="35">
        <f>B123*12</f>
        <v>24300</v>
      </c>
      <c r="D123" s="35"/>
      <c r="E123" s="35"/>
      <c r="F123" s="198" t="s">
        <v>102</v>
      </c>
      <c r="G123" s="198" t="s">
        <v>102</v>
      </c>
      <c r="H123" s="35">
        <f t="shared" si="27"/>
        <v>24300</v>
      </c>
      <c r="I123" s="36">
        <f t="shared" si="27"/>
        <v>24300</v>
      </c>
      <c r="J123" s="82">
        <f t="shared" si="31"/>
        <v>24300</v>
      </c>
      <c r="K123" s="82">
        <f t="shared" si="31"/>
        <v>24300</v>
      </c>
      <c r="L123" s="82">
        <f t="shared" si="31"/>
        <v>24300</v>
      </c>
      <c r="M123" s="82">
        <f t="shared" si="31"/>
        <v>24300</v>
      </c>
      <c r="N123" s="82">
        <f t="shared" si="31"/>
        <v>24300</v>
      </c>
      <c r="O123" s="82">
        <f t="shared" si="31"/>
        <v>24300</v>
      </c>
      <c r="P123" s="82">
        <f t="shared" si="31"/>
        <v>24300</v>
      </c>
      <c r="Q123" s="82">
        <f t="shared" si="31"/>
        <v>24300</v>
      </c>
      <c r="R123" s="82">
        <f t="shared" si="29"/>
        <v>24300</v>
      </c>
      <c r="S123" s="82">
        <f t="shared" si="29"/>
        <v>24300</v>
      </c>
      <c r="T123" s="82">
        <f t="shared" si="29"/>
        <v>24300</v>
      </c>
      <c r="U123" s="82">
        <f t="shared" si="29"/>
        <v>24300</v>
      </c>
      <c r="V123" s="82">
        <f t="shared" si="29"/>
        <v>24300</v>
      </c>
    </row>
    <row r="124" spans="1:22" ht="13">
      <c r="A124" s="205" t="s">
        <v>69</v>
      </c>
      <c r="B124" s="44">
        <v>1560</v>
      </c>
      <c r="C124" s="35">
        <f t="shared" si="30"/>
        <v>18720</v>
      </c>
      <c r="D124" s="35"/>
      <c r="E124" s="35"/>
      <c r="F124" s="198" t="s">
        <v>102</v>
      </c>
      <c r="G124" s="198" t="s">
        <v>102</v>
      </c>
      <c r="H124" s="35">
        <f t="shared" si="27"/>
        <v>0</v>
      </c>
      <c r="I124" s="36">
        <f t="shared" si="27"/>
        <v>18720</v>
      </c>
      <c r="J124" s="82">
        <f t="shared" si="31"/>
        <v>18720</v>
      </c>
      <c r="K124" s="82">
        <f t="shared" si="31"/>
        <v>18720</v>
      </c>
      <c r="L124" s="82">
        <f t="shared" si="31"/>
        <v>18720</v>
      </c>
      <c r="M124" s="82">
        <f t="shared" si="31"/>
        <v>18720</v>
      </c>
      <c r="N124" s="82">
        <f t="shared" si="31"/>
        <v>18720</v>
      </c>
      <c r="O124" s="82">
        <f t="shared" si="31"/>
        <v>18720</v>
      </c>
      <c r="P124" s="82">
        <f t="shared" si="31"/>
        <v>18720</v>
      </c>
      <c r="Q124" s="82">
        <f t="shared" si="31"/>
        <v>18720</v>
      </c>
      <c r="R124" s="82">
        <f t="shared" si="29"/>
        <v>18720</v>
      </c>
      <c r="S124" s="82">
        <f t="shared" si="29"/>
        <v>18720</v>
      </c>
      <c r="T124" s="82">
        <f t="shared" si="29"/>
        <v>18720</v>
      </c>
      <c r="U124" s="82">
        <f t="shared" si="29"/>
        <v>18720</v>
      </c>
      <c r="V124" s="82">
        <f t="shared" si="29"/>
        <v>18720</v>
      </c>
    </row>
    <row r="125" spans="1:22" s="211" customFormat="1" ht="13">
      <c r="A125" s="207" t="s">
        <v>527</v>
      </c>
      <c r="B125" s="44">
        <v>2025</v>
      </c>
      <c r="C125" s="35">
        <f t="shared" si="30"/>
        <v>24300</v>
      </c>
      <c r="D125" s="35"/>
      <c r="E125" s="35"/>
      <c r="F125" s="198" t="s">
        <v>102</v>
      </c>
      <c r="G125" s="198" t="s">
        <v>102</v>
      </c>
      <c r="H125" s="35">
        <f t="shared" si="27"/>
        <v>24300</v>
      </c>
      <c r="I125" s="36">
        <f>G135*$C125</f>
        <v>0</v>
      </c>
      <c r="J125" s="82">
        <f>I125</f>
        <v>0</v>
      </c>
      <c r="K125" s="82">
        <f t="shared" si="31"/>
        <v>0</v>
      </c>
      <c r="L125" s="82">
        <f t="shared" si="31"/>
        <v>0</v>
      </c>
      <c r="M125" s="82">
        <f t="shared" si="31"/>
        <v>0</v>
      </c>
      <c r="N125" s="82">
        <f t="shared" si="31"/>
        <v>0</v>
      </c>
      <c r="O125" s="82">
        <f t="shared" si="31"/>
        <v>0</v>
      </c>
      <c r="P125" s="82">
        <f t="shared" si="31"/>
        <v>0</v>
      </c>
      <c r="Q125" s="82">
        <f t="shared" si="31"/>
        <v>0</v>
      </c>
      <c r="R125" s="82">
        <f t="shared" si="29"/>
        <v>0</v>
      </c>
      <c r="S125" s="82">
        <f t="shared" si="29"/>
        <v>0</v>
      </c>
      <c r="T125" s="82">
        <f t="shared" si="29"/>
        <v>0</v>
      </c>
      <c r="U125" s="82">
        <f t="shared" si="29"/>
        <v>0</v>
      </c>
      <c r="V125" s="82">
        <f t="shared" si="29"/>
        <v>0</v>
      </c>
    </row>
    <row r="126" spans="1:22" ht="13">
      <c r="A126" s="207" t="s">
        <v>525</v>
      </c>
      <c r="B126" s="44">
        <v>624</v>
      </c>
      <c r="C126" s="35">
        <f t="shared" si="30"/>
        <v>7488</v>
      </c>
      <c r="D126" s="35"/>
      <c r="E126" s="35"/>
      <c r="F126" s="198" t="s">
        <v>102</v>
      </c>
      <c r="G126" s="198" t="s">
        <v>102</v>
      </c>
      <c r="H126" s="35">
        <f>F138*$C126</f>
        <v>0</v>
      </c>
      <c r="I126" s="36">
        <f>G138*$C126</f>
        <v>7488</v>
      </c>
      <c r="J126" s="82">
        <f t="shared" si="31"/>
        <v>7488</v>
      </c>
      <c r="K126" s="82">
        <f t="shared" si="31"/>
        <v>7488</v>
      </c>
      <c r="L126" s="82">
        <f t="shared" si="31"/>
        <v>7488</v>
      </c>
      <c r="M126" s="82">
        <f t="shared" si="31"/>
        <v>7488</v>
      </c>
      <c r="N126" s="82">
        <f t="shared" si="31"/>
        <v>7488</v>
      </c>
      <c r="O126" s="82">
        <f t="shared" si="31"/>
        <v>7488</v>
      </c>
      <c r="P126" s="82">
        <f t="shared" si="31"/>
        <v>7488</v>
      </c>
      <c r="Q126" s="82">
        <f t="shared" si="31"/>
        <v>7488</v>
      </c>
      <c r="R126" s="82">
        <f t="shared" si="29"/>
        <v>7488</v>
      </c>
      <c r="S126" s="82">
        <f t="shared" si="29"/>
        <v>7488</v>
      </c>
      <c r="T126" s="82">
        <f t="shared" si="29"/>
        <v>7488</v>
      </c>
      <c r="U126" s="82">
        <f t="shared" si="29"/>
        <v>7488</v>
      </c>
      <c r="V126" s="82">
        <f t="shared" si="29"/>
        <v>7488</v>
      </c>
    </row>
    <row r="127" spans="1:22" ht="13">
      <c r="A127" s="20" t="s">
        <v>64</v>
      </c>
      <c r="B127" s="45"/>
      <c r="C127" s="45"/>
      <c r="D127" s="45"/>
      <c r="E127" s="45"/>
      <c r="F127" s="38">
        <f>H127/12</f>
        <v>5062.5</v>
      </c>
      <c r="G127" s="38">
        <f>I127/12</f>
        <v>6781.5</v>
      </c>
      <c r="H127" s="38">
        <f t="shared" ref="H127:V127" si="32">SUM(H120:H126)</f>
        <v>60750</v>
      </c>
      <c r="I127" s="46">
        <f t="shared" si="32"/>
        <v>81378</v>
      </c>
      <c r="J127" s="84">
        <f t="shared" si="32"/>
        <v>81378</v>
      </c>
      <c r="K127" s="84">
        <f t="shared" si="32"/>
        <v>81378</v>
      </c>
      <c r="L127" s="84">
        <f t="shared" si="32"/>
        <v>81378</v>
      </c>
      <c r="M127" s="84">
        <f t="shared" si="32"/>
        <v>81378</v>
      </c>
      <c r="N127" s="84">
        <f t="shared" si="32"/>
        <v>81378</v>
      </c>
      <c r="O127" s="84">
        <f t="shared" si="32"/>
        <v>81378</v>
      </c>
      <c r="P127" s="84">
        <f t="shared" si="32"/>
        <v>81378</v>
      </c>
      <c r="Q127" s="84">
        <f t="shared" si="32"/>
        <v>81378</v>
      </c>
      <c r="R127" s="84">
        <f t="shared" si="32"/>
        <v>81378</v>
      </c>
      <c r="S127" s="84">
        <f t="shared" si="32"/>
        <v>81378</v>
      </c>
      <c r="T127" s="84">
        <f t="shared" si="32"/>
        <v>81378</v>
      </c>
      <c r="U127" s="84">
        <f t="shared" si="32"/>
        <v>81378</v>
      </c>
      <c r="V127" s="84">
        <f t="shared" si="32"/>
        <v>81378</v>
      </c>
    </row>
    <row r="128" spans="1:22" ht="15.75" customHeight="1">
      <c r="A128" s="206"/>
      <c r="B128" s="206"/>
      <c r="C128" s="206"/>
      <c r="D128" s="206"/>
      <c r="E128" s="206"/>
      <c r="F128" s="206"/>
      <c r="G128" s="206"/>
      <c r="H128" s="206"/>
      <c r="I128" s="206"/>
      <c r="J128" s="206"/>
      <c r="K128" s="206"/>
      <c r="L128" s="206"/>
      <c r="M128" s="206"/>
      <c r="N128" s="206"/>
      <c r="O128" s="206"/>
      <c r="P128" s="206"/>
      <c r="Q128" s="206"/>
      <c r="R128" s="206"/>
      <c r="S128" s="206"/>
      <c r="T128" s="206"/>
      <c r="U128" s="206"/>
      <c r="V128" s="206"/>
    </row>
    <row r="129" spans="1:22" ht="15.75" customHeight="1">
      <c r="A129" s="159" t="s">
        <v>503</v>
      </c>
      <c r="B129" s="159"/>
      <c r="C129" s="206"/>
      <c r="D129" s="206"/>
      <c r="E129" s="206"/>
      <c r="F129" s="159" t="s">
        <v>22</v>
      </c>
      <c r="G129" s="159" t="s">
        <v>23</v>
      </c>
      <c r="H129" s="159" t="s">
        <v>146</v>
      </c>
      <c r="I129" s="53" t="s">
        <v>147</v>
      </c>
      <c r="J129" s="53" t="s">
        <v>148</v>
      </c>
      <c r="K129" s="53" t="s">
        <v>149</v>
      </c>
      <c r="L129" s="53" t="s">
        <v>150</v>
      </c>
      <c r="M129" s="53" t="s">
        <v>151</v>
      </c>
      <c r="N129" s="53" t="s">
        <v>152</v>
      </c>
      <c r="O129" s="53" t="s">
        <v>153</v>
      </c>
      <c r="P129" s="53" t="s">
        <v>154</v>
      </c>
      <c r="Q129" s="53" t="s">
        <v>155</v>
      </c>
      <c r="R129" s="53" t="s">
        <v>156</v>
      </c>
      <c r="S129" s="53" t="s">
        <v>157</v>
      </c>
      <c r="T129" s="53" t="s">
        <v>158</v>
      </c>
      <c r="U129" s="206"/>
      <c r="V129" s="206"/>
    </row>
    <row r="130" spans="1:22" ht="15.75" customHeight="1">
      <c r="A130" s="205" t="s">
        <v>65</v>
      </c>
      <c r="B130" s="206"/>
      <c r="C130" s="206"/>
      <c r="D130" s="206"/>
      <c r="E130" s="206"/>
      <c r="F130" s="140">
        <v>0</v>
      </c>
      <c r="G130" s="27">
        <v>0</v>
      </c>
      <c r="H130" s="206">
        <f>G130</f>
        <v>0</v>
      </c>
      <c r="I130" s="206">
        <f t="shared" ref="I130:O130" si="33">H130</f>
        <v>0</v>
      </c>
      <c r="J130" s="206">
        <f t="shared" si="33"/>
        <v>0</v>
      </c>
      <c r="K130" s="206">
        <f t="shared" si="33"/>
        <v>0</v>
      </c>
      <c r="L130" s="206">
        <f t="shared" si="33"/>
        <v>0</v>
      </c>
      <c r="M130" s="206">
        <f t="shared" si="33"/>
        <v>0</v>
      </c>
      <c r="N130" s="206">
        <f t="shared" si="33"/>
        <v>0</v>
      </c>
      <c r="O130" s="206">
        <f t="shared" si="33"/>
        <v>0</v>
      </c>
      <c r="P130" s="206">
        <f t="shared" ref="P130:T139" si="34">O130</f>
        <v>0</v>
      </c>
      <c r="Q130" s="206">
        <f t="shared" si="34"/>
        <v>0</v>
      </c>
      <c r="R130" s="206">
        <f t="shared" si="34"/>
        <v>0</v>
      </c>
      <c r="S130" s="206">
        <f t="shared" si="34"/>
        <v>0</v>
      </c>
      <c r="T130" s="206">
        <f t="shared" si="34"/>
        <v>0</v>
      </c>
      <c r="U130" s="206"/>
      <c r="V130" s="206"/>
    </row>
    <row r="131" spans="1:22" ht="15.75" customHeight="1">
      <c r="A131" s="207" t="s">
        <v>66</v>
      </c>
      <c r="B131" s="206"/>
      <c r="C131" s="206"/>
      <c r="D131" s="206"/>
      <c r="E131" s="206"/>
      <c r="F131" s="140">
        <v>0</v>
      </c>
      <c r="G131" s="27">
        <v>1</v>
      </c>
      <c r="H131" s="206">
        <f t="shared" ref="H131:O139" si="35">G131</f>
        <v>1</v>
      </c>
      <c r="I131" s="206">
        <f t="shared" si="35"/>
        <v>1</v>
      </c>
      <c r="J131" s="206">
        <f t="shared" si="35"/>
        <v>1</v>
      </c>
      <c r="K131" s="206">
        <f t="shared" si="35"/>
        <v>1</v>
      </c>
      <c r="L131" s="206">
        <f t="shared" si="35"/>
        <v>1</v>
      </c>
      <c r="M131" s="206">
        <f t="shared" si="35"/>
        <v>1</v>
      </c>
      <c r="N131" s="206">
        <f t="shared" si="35"/>
        <v>1</v>
      </c>
      <c r="O131" s="206">
        <f t="shared" si="35"/>
        <v>1</v>
      </c>
      <c r="P131" s="206">
        <f t="shared" si="34"/>
        <v>1</v>
      </c>
      <c r="Q131" s="206">
        <f t="shared" si="34"/>
        <v>1</v>
      </c>
      <c r="R131" s="206">
        <f t="shared" si="34"/>
        <v>1</v>
      </c>
      <c r="S131" s="206">
        <f t="shared" si="34"/>
        <v>1</v>
      </c>
      <c r="T131" s="206">
        <f t="shared" si="34"/>
        <v>1</v>
      </c>
      <c r="U131" s="206"/>
      <c r="V131" s="206"/>
    </row>
    <row r="132" spans="1:22" ht="15.75" customHeight="1">
      <c r="A132" s="207" t="s">
        <v>524</v>
      </c>
      <c r="B132" s="206"/>
      <c r="C132" s="206"/>
      <c r="D132" s="206"/>
      <c r="E132" s="206"/>
      <c r="F132" s="140">
        <v>0.5</v>
      </c>
      <c r="G132" s="27">
        <v>0.5</v>
      </c>
      <c r="H132" s="206">
        <f t="shared" si="35"/>
        <v>0.5</v>
      </c>
      <c r="I132" s="206">
        <f t="shared" si="35"/>
        <v>0.5</v>
      </c>
      <c r="J132" s="206">
        <f t="shared" si="35"/>
        <v>0.5</v>
      </c>
      <c r="K132" s="206">
        <f t="shared" si="35"/>
        <v>0.5</v>
      </c>
      <c r="L132" s="206">
        <f t="shared" si="35"/>
        <v>0.5</v>
      </c>
      <c r="M132" s="206">
        <f t="shared" si="35"/>
        <v>0.5</v>
      </c>
      <c r="N132" s="206">
        <f t="shared" si="35"/>
        <v>0.5</v>
      </c>
      <c r="O132" s="206">
        <f t="shared" si="35"/>
        <v>0.5</v>
      </c>
      <c r="P132" s="206">
        <f t="shared" si="34"/>
        <v>0.5</v>
      </c>
      <c r="Q132" s="206">
        <f t="shared" si="34"/>
        <v>0.5</v>
      </c>
      <c r="R132" s="206">
        <f t="shared" si="34"/>
        <v>0.5</v>
      </c>
      <c r="S132" s="206">
        <f t="shared" si="34"/>
        <v>0.5</v>
      </c>
      <c r="T132" s="206">
        <f t="shared" si="34"/>
        <v>0.5</v>
      </c>
      <c r="U132" s="206"/>
      <c r="V132" s="206"/>
    </row>
    <row r="133" spans="1:22" ht="15.75" customHeight="1">
      <c r="A133" s="207" t="s">
        <v>526</v>
      </c>
      <c r="B133" s="206"/>
      <c r="C133" s="206"/>
      <c r="D133" s="206"/>
      <c r="E133" s="206"/>
      <c r="F133" s="140">
        <v>1</v>
      </c>
      <c r="G133" s="27">
        <v>1</v>
      </c>
      <c r="H133" s="206">
        <f t="shared" si="35"/>
        <v>1</v>
      </c>
      <c r="I133" s="206">
        <f t="shared" si="35"/>
        <v>1</v>
      </c>
      <c r="J133" s="206">
        <f t="shared" si="35"/>
        <v>1</v>
      </c>
      <c r="K133" s="206">
        <f t="shared" si="35"/>
        <v>1</v>
      </c>
      <c r="L133" s="206">
        <f t="shared" si="35"/>
        <v>1</v>
      </c>
      <c r="M133" s="206">
        <f t="shared" si="35"/>
        <v>1</v>
      </c>
      <c r="N133" s="206">
        <f t="shared" si="35"/>
        <v>1</v>
      </c>
      <c r="O133" s="206">
        <f t="shared" si="35"/>
        <v>1</v>
      </c>
      <c r="P133" s="206">
        <f t="shared" si="34"/>
        <v>1</v>
      </c>
      <c r="Q133" s="206">
        <f t="shared" si="34"/>
        <v>1</v>
      </c>
      <c r="R133" s="206">
        <f t="shared" si="34"/>
        <v>1</v>
      </c>
      <c r="S133" s="206">
        <f t="shared" si="34"/>
        <v>1</v>
      </c>
      <c r="T133" s="206">
        <f t="shared" si="34"/>
        <v>1</v>
      </c>
      <c r="U133" s="206"/>
      <c r="V133" s="206"/>
    </row>
    <row r="134" spans="1:22" ht="15.75" customHeight="1">
      <c r="A134" s="207" t="s">
        <v>69</v>
      </c>
      <c r="B134" s="206"/>
      <c r="C134" s="206"/>
      <c r="D134" s="206"/>
      <c r="E134" s="206"/>
      <c r="F134" s="140">
        <v>0</v>
      </c>
      <c r="G134" s="27">
        <v>1</v>
      </c>
      <c r="H134" s="206">
        <f t="shared" si="35"/>
        <v>1</v>
      </c>
      <c r="I134" s="206">
        <f t="shared" si="35"/>
        <v>1</v>
      </c>
      <c r="J134" s="206">
        <f t="shared" si="35"/>
        <v>1</v>
      </c>
      <c r="K134" s="206">
        <f t="shared" si="35"/>
        <v>1</v>
      </c>
      <c r="L134" s="206">
        <f t="shared" si="35"/>
        <v>1</v>
      </c>
      <c r="M134" s="206">
        <f t="shared" si="35"/>
        <v>1</v>
      </c>
      <c r="N134" s="206">
        <f t="shared" si="35"/>
        <v>1</v>
      </c>
      <c r="O134" s="206">
        <f t="shared" si="35"/>
        <v>1</v>
      </c>
      <c r="P134" s="206">
        <f t="shared" si="34"/>
        <v>1</v>
      </c>
      <c r="Q134" s="206">
        <f t="shared" si="34"/>
        <v>1</v>
      </c>
      <c r="R134" s="206">
        <f t="shared" si="34"/>
        <v>1</v>
      </c>
      <c r="S134" s="206">
        <f t="shared" si="34"/>
        <v>1</v>
      </c>
      <c r="T134" s="206">
        <f t="shared" si="34"/>
        <v>1</v>
      </c>
      <c r="U134" s="206"/>
      <c r="V134" s="206"/>
    </row>
    <row r="135" spans="1:22" s="211" customFormat="1" ht="15.75" customHeight="1">
      <c r="A135" s="207" t="s">
        <v>528</v>
      </c>
      <c r="F135" s="140">
        <v>1</v>
      </c>
      <c r="G135" s="27">
        <v>0</v>
      </c>
      <c r="H135" s="211">
        <f t="shared" si="35"/>
        <v>0</v>
      </c>
      <c r="I135" s="211">
        <f t="shared" si="35"/>
        <v>0</v>
      </c>
      <c r="J135" s="211">
        <f t="shared" si="35"/>
        <v>0</v>
      </c>
      <c r="K135" s="211">
        <f t="shared" si="35"/>
        <v>0</v>
      </c>
      <c r="L135" s="211">
        <f t="shared" si="35"/>
        <v>0</v>
      </c>
      <c r="M135" s="211">
        <f t="shared" si="35"/>
        <v>0</v>
      </c>
      <c r="N135" s="211">
        <f t="shared" si="35"/>
        <v>0</v>
      </c>
      <c r="O135" s="211">
        <f t="shared" si="35"/>
        <v>0</v>
      </c>
      <c r="P135" s="211">
        <f t="shared" si="34"/>
        <v>0</v>
      </c>
      <c r="Q135" s="211">
        <f t="shared" si="34"/>
        <v>0</v>
      </c>
      <c r="R135" s="211">
        <f t="shared" si="34"/>
        <v>0</v>
      </c>
      <c r="S135" s="211">
        <f t="shared" si="34"/>
        <v>0</v>
      </c>
      <c r="T135" s="211">
        <f t="shared" si="34"/>
        <v>0</v>
      </c>
    </row>
    <row r="136" spans="1:22" ht="15.75" customHeight="1">
      <c r="A136" s="205" t="s">
        <v>62</v>
      </c>
      <c r="B136" s="206"/>
      <c r="C136" s="206"/>
      <c r="D136" s="206"/>
      <c r="E136" s="206"/>
      <c r="F136" s="140">
        <v>0</v>
      </c>
      <c r="G136" s="27">
        <v>0</v>
      </c>
      <c r="H136" s="206">
        <f t="shared" si="35"/>
        <v>0</v>
      </c>
      <c r="I136" s="206">
        <f t="shared" si="35"/>
        <v>0</v>
      </c>
      <c r="J136" s="206">
        <f t="shared" si="35"/>
        <v>0</v>
      </c>
      <c r="K136" s="206">
        <f t="shared" si="35"/>
        <v>0</v>
      </c>
      <c r="L136" s="206">
        <f t="shared" si="35"/>
        <v>0</v>
      </c>
      <c r="M136" s="206">
        <f t="shared" si="35"/>
        <v>0</v>
      </c>
      <c r="N136" s="206">
        <f t="shared" si="35"/>
        <v>0</v>
      </c>
      <c r="O136" s="206">
        <f t="shared" si="35"/>
        <v>0</v>
      </c>
      <c r="P136" s="206">
        <f t="shared" si="34"/>
        <v>0</v>
      </c>
      <c r="Q136" s="206">
        <f t="shared" si="34"/>
        <v>0</v>
      </c>
      <c r="R136" s="206">
        <f t="shared" si="34"/>
        <v>0</v>
      </c>
      <c r="S136" s="206">
        <f t="shared" si="34"/>
        <v>0</v>
      </c>
      <c r="T136" s="206">
        <f t="shared" si="34"/>
        <v>0</v>
      </c>
      <c r="U136" s="206"/>
      <c r="V136" s="206"/>
    </row>
    <row r="137" spans="1:22" ht="15.75" customHeight="1">
      <c r="A137" s="207" t="s">
        <v>611</v>
      </c>
      <c r="B137" s="206"/>
      <c r="C137" s="206"/>
      <c r="D137" s="206"/>
      <c r="E137" s="206"/>
      <c r="F137" s="140">
        <v>1</v>
      </c>
      <c r="G137" s="27">
        <v>1</v>
      </c>
      <c r="H137" s="206">
        <f t="shared" si="35"/>
        <v>1</v>
      </c>
      <c r="I137" s="206">
        <f t="shared" si="35"/>
        <v>1</v>
      </c>
      <c r="J137" s="206">
        <f t="shared" si="35"/>
        <v>1</v>
      </c>
      <c r="K137" s="206">
        <f t="shared" si="35"/>
        <v>1</v>
      </c>
      <c r="L137" s="206">
        <f t="shared" si="35"/>
        <v>1</v>
      </c>
      <c r="M137" s="206">
        <f t="shared" si="35"/>
        <v>1</v>
      </c>
      <c r="N137" s="206">
        <f t="shared" si="35"/>
        <v>1</v>
      </c>
      <c r="O137" s="206">
        <f t="shared" si="35"/>
        <v>1</v>
      </c>
      <c r="P137" s="206">
        <f t="shared" si="34"/>
        <v>1</v>
      </c>
      <c r="Q137" s="206">
        <f t="shared" si="34"/>
        <v>1</v>
      </c>
      <c r="R137" s="206">
        <f t="shared" si="34"/>
        <v>1</v>
      </c>
      <c r="S137" s="206">
        <f t="shared" si="34"/>
        <v>1</v>
      </c>
      <c r="T137" s="206">
        <f t="shared" si="34"/>
        <v>1</v>
      </c>
      <c r="U137" s="206"/>
      <c r="V137" s="206"/>
    </row>
    <row r="138" spans="1:22" ht="15.75" customHeight="1">
      <c r="A138" s="207" t="s">
        <v>525</v>
      </c>
      <c r="B138" s="206"/>
      <c r="C138" s="206"/>
      <c r="D138" s="206"/>
      <c r="E138" s="206"/>
      <c r="F138" s="140">
        <v>0</v>
      </c>
      <c r="G138" s="27">
        <v>1</v>
      </c>
      <c r="H138" s="206">
        <f t="shared" si="35"/>
        <v>1</v>
      </c>
      <c r="I138" s="206">
        <f t="shared" si="35"/>
        <v>1</v>
      </c>
      <c r="J138" s="206">
        <f t="shared" si="35"/>
        <v>1</v>
      </c>
      <c r="K138" s="206">
        <f t="shared" si="35"/>
        <v>1</v>
      </c>
      <c r="L138" s="206">
        <f t="shared" si="35"/>
        <v>1</v>
      </c>
      <c r="M138" s="206">
        <f t="shared" si="35"/>
        <v>1</v>
      </c>
      <c r="N138" s="206">
        <f t="shared" si="35"/>
        <v>1</v>
      </c>
      <c r="O138" s="206">
        <f t="shared" si="35"/>
        <v>1</v>
      </c>
      <c r="P138" s="206">
        <f t="shared" si="34"/>
        <v>1</v>
      </c>
      <c r="Q138" s="206">
        <f t="shared" si="34"/>
        <v>1</v>
      </c>
      <c r="R138" s="206">
        <f t="shared" si="34"/>
        <v>1</v>
      </c>
      <c r="S138" s="206">
        <f t="shared" si="34"/>
        <v>1</v>
      </c>
      <c r="T138" s="206">
        <f t="shared" si="34"/>
        <v>1</v>
      </c>
      <c r="U138" s="206"/>
      <c r="V138" s="206"/>
    </row>
    <row r="139" spans="1:22" s="277" customFormat="1" ht="15.75" customHeight="1">
      <c r="A139" s="207" t="s">
        <v>666</v>
      </c>
      <c r="F139" s="140">
        <v>0</v>
      </c>
      <c r="G139" s="27">
        <v>0</v>
      </c>
      <c r="H139" s="277">
        <f t="shared" si="35"/>
        <v>0</v>
      </c>
      <c r="I139" s="277">
        <f t="shared" si="35"/>
        <v>0</v>
      </c>
      <c r="J139" s="277">
        <f t="shared" si="35"/>
        <v>0</v>
      </c>
      <c r="K139" s="277">
        <f t="shared" si="35"/>
        <v>0</v>
      </c>
      <c r="L139" s="277">
        <f t="shared" si="35"/>
        <v>0</v>
      </c>
      <c r="M139" s="277">
        <f t="shared" si="35"/>
        <v>0</v>
      </c>
      <c r="N139" s="277">
        <f t="shared" si="35"/>
        <v>0</v>
      </c>
      <c r="O139" s="277">
        <f t="shared" si="35"/>
        <v>0</v>
      </c>
      <c r="P139" s="277">
        <f t="shared" si="34"/>
        <v>0</v>
      </c>
      <c r="Q139" s="277">
        <f t="shared" si="34"/>
        <v>0</v>
      </c>
      <c r="R139" s="277">
        <f t="shared" si="34"/>
        <v>0</v>
      </c>
      <c r="S139" s="277">
        <f t="shared" si="34"/>
        <v>0</v>
      </c>
      <c r="T139" s="277">
        <f t="shared" si="34"/>
        <v>0</v>
      </c>
    </row>
    <row r="140" spans="1:22" ht="15.75" customHeight="1">
      <c r="A140" s="20" t="s">
        <v>70</v>
      </c>
      <c r="B140" s="204"/>
      <c r="C140" s="204"/>
      <c r="D140" s="204"/>
      <c r="E140" s="204"/>
      <c r="F140" s="204">
        <f t="shared" ref="F140:T140" si="36">SUM(F130:F139)</f>
        <v>3.5</v>
      </c>
      <c r="G140" s="25">
        <f t="shared" si="36"/>
        <v>5.5</v>
      </c>
      <c r="H140" s="85">
        <f t="shared" si="36"/>
        <v>5.5</v>
      </c>
      <c r="I140" s="85">
        <f t="shared" si="36"/>
        <v>5.5</v>
      </c>
      <c r="J140" s="85">
        <f t="shared" si="36"/>
        <v>5.5</v>
      </c>
      <c r="K140" s="85">
        <f t="shared" si="36"/>
        <v>5.5</v>
      </c>
      <c r="L140" s="85">
        <f t="shared" si="36"/>
        <v>5.5</v>
      </c>
      <c r="M140" s="85">
        <f t="shared" si="36"/>
        <v>5.5</v>
      </c>
      <c r="N140" s="85">
        <f t="shared" si="36"/>
        <v>5.5</v>
      </c>
      <c r="O140" s="85">
        <f t="shared" si="36"/>
        <v>5.5</v>
      </c>
      <c r="P140" s="85">
        <f t="shared" si="36"/>
        <v>5.5</v>
      </c>
      <c r="Q140" s="85">
        <f t="shared" si="36"/>
        <v>5.5</v>
      </c>
      <c r="R140" s="85">
        <f t="shared" si="36"/>
        <v>5.5</v>
      </c>
      <c r="S140" s="85">
        <f t="shared" si="36"/>
        <v>5.5</v>
      </c>
      <c r="T140" s="85">
        <f t="shared" si="36"/>
        <v>5.5</v>
      </c>
      <c r="U140" s="206"/>
      <c r="V140" s="206"/>
    </row>
    <row r="142" spans="1:22" ht="15.75" customHeight="1">
      <c r="F142" s="269"/>
      <c r="G142" s="371" t="s">
        <v>632</v>
      </c>
      <c r="H142" s="372"/>
      <c r="I142" s="372"/>
      <c r="K142" s="269"/>
      <c r="L142" s="371" t="s">
        <v>633</v>
      </c>
      <c r="M142" s="372"/>
      <c r="N142" s="372"/>
    </row>
    <row r="143" spans="1:22" ht="15.75" customHeight="1">
      <c r="F143" s="272" t="s">
        <v>628</v>
      </c>
      <c r="G143" s="185">
        <v>1</v>
      </c>
      <c r="H143" s="185">
        <v>2</v>
      </c>
      <c r="I143" s="185">
        <v>3</v>
      </c>
      <c r="K143" s="272" t="s">
        <v>628</v>
      </c>
      <c r="L143" s="185">
        <v>1</v>
      </c>
      <c r="M143" s="185">
        <v>2</v>
      </c>
      <c r="N143" s="185">
        <v>3</v>
      </c>
      <c r="P143" s="47" t="s">
        <v>723</v>
      </c>
    </row>
    <row r="144" spans="1:22" ht="15.75" customHeight="1">
      <c r="F144" s="185" t="s">
        <v>620</v>
      </c>
      <c r="G144" s="269">
        <v>6</v>
      </c>
      <c r="H144" s="269">
        <v>4.5</v>
      </c>
      <c r="I144" s="269">
        <v>3.5</v>
      </c>
      <c r="K144" s="185" t="s">
        <v>620</v>
      </c>
      <c r="L144" s="269">
        <v>6</v>
      </c>
      <c r="M144" s="269">
        <v>4.5</v>
      </c>
      <c r="N144" s="269">
        <v>3.5</v>
      </c>
      <c r="P144" s="47" t="s">
        <v>731</v>
      </c>
      <c r="Q144" s="47" t="s">
        <v>573</v>
      </c>
    </row>
    <row r="145" spans="6:17" ht="15.75" customHeight="1">
      <c r="F145" s="185" t="s">
        <v>621</v>
      </c>
      <c r="G145" s="269">
        <v>6</v>
      </c>
      <c r="H145" s="269">
        <v>4</v>
      </c>
      <c r="I145" s="269">
        <v>3</v>
      </c>
      <c r="K145" s="185" t="s">
        <v>621</v>
      </c>
      <c r="L145" s="269">
        <v>6</v>
      </c>
      <c r="M145" s="269">
        <v>4</v>
      </c>
      <c r="N145" s="269">
        <v>3</v>
      </c>
      <c r="P145" s="47" t="s">
        <v>579</v>
      </c>
      <c r="Q145" s="213">
        <v>3</v>
      </c>
    </row>
    <row r="146" spans="6:17" ht="15.75" customHeight="1">
      <c r="F146" s="185" t="s">
        <v>622</v>
      </c>
      <c r="G146" s="269">
        <v>6</v>
      </c>
      <c r="H146" s="269">
        <v>4</v>
      </c>
      <c r="I146" s="269">
        <v>3</v>
      </c>
      <c r="K146" s="185" t="s">
        <v>622</v>
      </c>
      <c r="L146" s="269">
        <v>6</v>
      </c>
      <c r="M146" s="269">
        <v>4</v>
      </c>
      <c r="N146" s="269">
        <v>3</v>
      </c>
      <c r="P146" s="47" t="s">
        <v>724</v>
      </c>
      <c r="Q146" s="213">
        <v>7</v>
      </c>
    </row>
    <row r="147" spans="6:17" ht="15.75" customHeight="1">
      <c r="F147" s="185" t="s">
        <v>623</v>
      </c>
      <c r="G147" s="269">
        <v>6</v>
      </c>
      <c r="H147" s="269">
        <v>4</v>
      </c>
      <c r="I147" s="269">
        <v>3.5</v>
      </c>
      <c r="K147" s="185" t="s">
        <v>623</v>
      </c>
      <c r="L147" s="269">
        <v>6</v>
      </c>
      <c r="M147" s="269">
        <v>4</v>
      </c>
      <c r="N147" s="269">
        <v>3.5</v>
      </c>
      <c r="P147" s="47" t="s">
        <v>725</v>
      </c>
      <c r="Q147" s="213">
        <v>21</v>
      </c>
    </row>
    <row r="148" spans="6:17" ht="15.75" customHeight="1">
      <c r="F148" s="185" t="s">
        <v>624</v>
      </c>
      <c r="G148" s="269">
        <v>6</v>
      </c>
      <c r="H148" s="269">
        <v>4</v>
      </c>
      <c r="I148" s="269">
        <v>4</v>
      </c>
      <c r="K148" s="185" t="s">
        <v>624</v>
      </c>
      <c r="L148" s="269">
        <v>6</v>
      </c>
      <c r="M148" s="269">
        <v>4</v>
      </c>
      <c r="N148" s="269">
        <v>4</v>
      </c>
      <c r="P148" s="47" t="s">
        <v>726</v>
      </c>
      <c r="Q148" s="213">
        <v>38</v>
      </c>
    </row>
    <row r="149" spans="6:17" ht="15.75" customHeight="1">
      <c r="F149" s="185" t="s">
        <v>625</v>
      </c>
      <c r="G149" s="269">
        <v>0</v>
      </c>
      <c r="H149" s="269">
        <v>0</v>
      </c>
      <c r="I149" s="269">
        <v>0</v>
      </c>
      <c r="K149" s="185" t="s">
        <v>625</v>
      </c>
      <c r="L149" s="269">
        <v>0</v>
      </c>
      <c r="M149" s="269">
        <v>0</v>
      </c>
      <c r="N149" s="269">
        <v>0</v>
      </c>
      <c r="P149" s="47" t="s">
        <v>727</v>
      </c>
      <c r="Q149" s="213">
        <v>12</v>
      </c>
    </row>
    <row r="150" spans="6:17" ht="15.75" customHeight="1">
      <c r="F150" s="185" t="s">
        <v>629</v>
      </c>
      <c r="G150" s="269">
        <f>SUM(G144:G149)</f>
        <v>30</v>
      </c>
      <c r="H150" s="269">
        <f>SUM(H144:H149)</f>
        <v>20.5</v>
      </c>
      <c r="I150" s="269">
        <f>SUM(I144:I149)</f>
        <v>17</v>
      </c>
      <c r="K150" s="185" t="s">
        <v>629</v>
      </c>
      <c r="L150" s="269">
        <f>SUM(L144:L149)</f>
        <v>30</v>
      </c>
      <c r="M150" s="269">
        <f>SUM(M144:M149)</f>
        <v>20.5</v>
      </c>
      <c r="N150" s="269">
        <f>SUM(N144:N149)</f>
        <v>17</v>
      </c>
      <c r="P150" s="47" t="s">
        <v>728</v>
      </c>
      <c r="Q150" s="213">
        <v>6</v>
      </c>
    </row>
    <row r="151" spans="6:17" ht="15.75" customHeight="1">
      <c r="F151" s="185" t="s">
        <v>627</v>
      </c>
      <c r="G151" s="269">
        <f>G150*G143</f>
        <v>30</v>
      </c>
      <c r="H151" s="269">
        <f t="shared" ref="H151:I151" si="37">H150*H143</f>
        <v>41</v>
      </c>
      <c r="I151" s="269">
        <f t="shared" si="37"/>
        <v>51</v>
      </c>
      <c r="K151" s="185" t="s">
        <v>627</v>
      </c>
      <c r="L151" s="269">
        <f>L150*L143</f>
        <v>30</v>
      </c>
      <c r="M151" s="269">
        <f t="shared" ref="M151" si="38">M150*M143</f>
        <v>41</v>
      </c>
      <c r="N151" s="269">
        <f t="shared" ref="N151" si="39">N150*N143</f>
        <v>51</v>
      </c>
      <c r="P151" s="47" t="s">
        <v>729</v>
      </c>
      <c r="Q151" s="213">
        <v>6</v>
      </c>
    </row>
    <row r="152" spans="6:17" ht="15.75" customHeight="1">
      <c r="F152" s="185" t="s">
        <v>630</v>
      </c>
      <c r="G152" s="270">
        <f>$B$116*G151</f>
        <v>261.60000000000002</v>
      </c>
      <c r="H152" s="270">
        <f t="shared" ref="H152:I152" si="40">$B$116*H151</f>
        <v>357.52000000000004</v>
      </c>
      <c r="I152" s="270">
        <f t="shared" si="40"/>
        <v>444.72</v>
      </c>
      <c r="K152" s="185" t="s">
        <v>630</v>
      </c>
      <c r="L152" s="270">
        <f>$B$116*L151</f>
        <v>261.60000000000002</v>
      </c>
      <c r="M152" s="270">
        <f t="shared" ref="M152" si="41">$B$116*M151</f>
        <v>357.52000000000004</v>
      </c>
      <c r="N152" s="270">
        <f t="shared" ref="N152" si="42">$B$116*N151</f>
        <v>444.72</v>
      </c>
      <c r="P152" s="47" t="s">
        <v>730</v>
      </c>
      <c r="Q152" s="213">
        <v>7</v>
      </c>
    </row>
    <row r="153" spans="6:17" ht="15.75" customHeight="1">
      <c r="F153" s="269"/>
      <c r="G153" s="371" t="s">
        <v>631</v>
      </c>
      <c r="H153" s="371"/>
      <c r="I153" s="371"/>
      <c r="K153" s="269"/>
      <c r="L153" s="371" t="s">
        <v>631</v>
      </c>
      <c r="M153" s="371"/>
      <c r="N153" s="371"/>
      <c r="P153" s="47" t="s">
        <v>64</v>
      </c>
      <c r="Q153">
        <f>SUM(Q145:Q152)</f>
        <v>100</v>
      </c>
    </row>
    <row r="154" spans="6:17" ht="15.75" customHeight="1">
      <c r="F154" s="185" t="s">
        <v>629</v>
      </c>
      <c r="G154" s="269">
        <f>G150*52/12</f>
        <v>130</v>
      </c>
      <c r="H154" s="269">
        <f t="shared" ref="H154:I154" si="43">H150*52/12</f>
        <v>88.833333333333329</v>
      </c>
      <c r="I154" s="269">
        <f t="shared" si="43"/>
        <v>73.666666666666671</v>
      </c>
      <c r="K154" s="185" t="s">
        <v>629</v>
      </c>
      <c r="L154" s="269">
        <f>L150*52/12</f>
        <v>130</v>
      </c>
      <c r="M154" s="269">
        <f t="shared" ref="M154:N154" si="44">M150*52/12</f>
        <v>88.833333333333329</v>
      </c>
      <c r="N154" s="269">
        <f t="shared" si="44"/>
        <v>73.666666666666671</v>
      </c>
    </row>
    <row r="155" spans="6:17" ht="15.75" customHeight="1">
      <c r="F155" s="185" t="s">
        <v>627</v>
      </c>
      <c r="G155" s="269">
        <f>G154*G143</f>
        <v>130</v>
      </c>
      <c r="H155" s="269">
        <f t="shared" ref="H155:I155" si="45">H154*H143</f>
        <v>177.66666666666666</v>
      </c>
      <c r="I155" s="269">
        <f t="shared" si="45"/>
        <v>221</v>
      </c>
      <c r="K155" s="185" t="s">
        <v>627</v>
      </c>
      <c r="L155" s="269">
        <f>L154*L143</f>
        <v>130</v>
      </c>
      <c r="M155" s="269">
        <f t="shared" ref="M155" si="46">M154*M143</f>
        <v>177.66666666666666</v>
      </c>
      <c r="N155" s="269">
        <f t="shared" ref="N155" si="47">N154*N143</f>
        <v>221</v>
      </c>
    </row>
    <row r="156" spans="6:17" ht="15.75" customHeight="1">
      <c r="F156" s="185" t="s">
        <v>630</v>
      </c>
      <c r="G156" s="270">
        <f>G155*$B$116</f>
        <v>1133.6000000000001</v>
      </c>
      <c r="H156" s="270">
        <f t="shared" ref="H156:I156" si="48">H155*$B$116</f>
        <v>1549.2533333333333</v>
      </c>
      <c r="I156" s="270">
        <f t="shared" si="48"/>
        <v>1927.1200000000001</v>
      </c>
      <c r="K156" s="185" t="s">
        <v>630</v>
      </c>
      <c r="L156" s="270">
        <f>L155*$B$116</f>
        <v>1133.6000000000001</v>
      </c>
      <c r="M156" s="270">
        <f t="shared" ref="M156" si="49">M155*$B$116</f>
        <v>1549.2533333333333</v>
      </c>
      <c r="N156" s="270">
        <f t="shared" ref="N156" si="50">N155*$B$116</f>
        <v>1927.1200000000001</v>
      </c>
    </row>
  </sheetData>
  <mergeCells count="19">
    <mergeCell ref="G153:I153"/>
    <mergeCell ref="L142:N142"/>
    <mergeCell ref="L153:N153"/>
    <mergeCell ref="G44:I44"/>
    <mergeCell ref="F41:F42"/>
    <mergeCell ref="F34:F38"/>
    <mergeCell ref="F18:F19"/>
    <mergeCell ref="G142:I142"/>
    <mergeCell ref="F31:F32"/>
    <mergeCell ref="F39:F40"/>
    <mergeCell ref="F27:F28"/>
    <mergeCell ref="F25:F26"/>
    <mergeCell ref="F23:F24"/>
    <mergeCell ref="F29:F30"/>
    <mergeCell ref="T13:U13"/>
    <mergeCell ref="A1:H2"/>
    <mergeCell ref="A4:H4"/>
    <mergeCell ref="A5:H5"/>
    <mergeCell ref="A7:H7"/>
  </mergeCells>
  <phoneticPr fontId="32" type="noConversion"/>
  <conditionalFormatting sqref="L16">
    <cfRule type="cellIs" dxfId="5" priority="7" operator="greaterThan">
      <formula>1</formula>
    </cfRule>
    <cfRule type="cellIs" dxfId="4" priority="8" operator="greaterThan">
      <formula>100</formula>
    </cfRule>
    <cfRule type="cellIs" dxfId="3" priority="9" operator="lessThan">
      <formula>1</formula>
    </cfRule>
  </conditionalFormatting>
  <conditionalFormatting sqref="I52">
    <cfRule type="cellIs" dxfId="2" priority="1" operator="lessThan">
      <formula>0</formula>
    </cfRule>
    <cfRule type="cellIs" dxfId="1" priority="2" operator="greaterThan">
      <formula>0</formula>
    </cfRule>
  </conditionalFormatting>
  <conditionalFormatting sqref="B18">
    <cfRule type="cellIs" dxfId="0" priority="15" operator="greaterThan">
      <formula>$B$40*2.5</formula>
    </cfRule>
  </conditionalFormatting>
  <dataValidations count="7">
    <dataValidation type="list" allowBlank="1" showInputMessage="1" showErrorMessage="1" sqref="B41 B31:B32 B49" xr:uid="{7D71A6BF-D46C-2B45-AA0C-5B85E55589B2}">
      <formula1>"High, Medium, Low"</formula1>
    </dataValidation>
    <dataValidation type="list" allowBlank="1" showInputMessage="1" showErrorMessage="1" sqref="B31 B29" xr:uid="{242E409D-204C-2D42-A4BC-0F1B4901AD7C}">
      <formula1>"Container, Greenhouse, Basement, Plant Factory"</formula1>
    </dataValidation>
    <dataValidation type="whole" allowBlank="1" showInputMessage="1" showErrorMessage="1" sqref="B18" xr:uid="{6B6D35A5-35CC-524E-9619-989B825012CA}">
      <formula1>0</formula1>
      <formula2>30</formula2>
    </dataValidation>
    <dataValidation type="list" allowBlank="1" showInputMessage="1" showErrorMessage="1" sqref="B32" xr:uid="{6F920468-5209-A44D-A9FB-464AED246916}">
      <formula1>"HIgh, Med, Low"</formula1>
    </dataValidation>
    <dataValidation type="list" allowBlank="1" showInputMessage="1" showErrorMessage="1" sqref="B42" xr:uid="{6FA659DB-36A0-DB41-BC4B-A98B31225F76}">
      <formula1>"Pitched roof, Flat roof"</formula1>
    </dataValidation>
    <dataValidation type="list" allowBlank="1" showInputMessage="1" showErrorMessage="1" sqref="B57" xr:uid="{A459DD22-BA10-A141-9360-472E62E9697B}">
      <formula1>"Standard"</formula1>
    </dataValidation>
    <dataValidation type="list" allowBlank="1" showInputMessage="1" showErrorMessage="1" sqref="B30" xr:uid="{EF0D7628-D52D-C04B-9260-03EC3F18C0B2}">
      <formula1>"Retail, Wholesale, Hybrid"</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1094004-AF44-FF4B-98D6-6553A3B2E253}">
          <x14:formula1>
            <xm:f>Database!$A$97:$A$107</xm:f>
          </x14:formula1>
          <xm:sqref>B36</xm:sqref>
        </x14:dataValidation>
        <x14:dataValidation type="list" allowBlank="1" showInputMessage="1" showErrorMessage="1" xr:uid="{86EA2E2C-A4D5-9B4E-A9D2-704975BB8049}">
          <x14:formula1>
            <xm:f>Database!$A$8:$A$93</xm:f>
          </x14:formula1>
          <xm:sqref>H15:K15</xm:sqref>
        </x14:dataValidation>
        <x14:dataValidation type="list" allowBlank="1" showInputMessage="1" showErrorMessage="1" xr:uid="{B040B8C7-4C94-3143-8951-7E5B713B4E1B}">
          <x14:formula1>
            <xm:f>Database!$I$7:$Q$7</xm:f>
          </x14:formula1>
          <xm:sqref>H17:K17</xm:sqref>
        </x14:dataValidation>
        <x14:dataValidation type="list" allowBlank="1" showInputMessage="1" showErrorMessage="1" xr:uid="{4B10787A-800B-9D42-B419-A06AEEE02813}">
          <x14:formula1>
            <xm:f>'Production Technologies'!$A$74:$A$75</xm:f>
          </x14:formula1>
          <xm:sqref>B43</xm:sqref>
        </x14:dataValidation>
        <x14:dataValidation type="list" allowBlank="1" showInputMessage="1" showErrorMessage="1" xr:uid="{E38F3D01-73D8-FD42-9DA6-591B867B7CB5}">
          <x14:formula1>
            <xm:f>'Production Technologies'!$A$71:$A$73</xm:f>
          </x14:formula1>
          <xm:sqref>B33:B35</xm:sqref>
        </x14:dataValidation>
        <x14:dataValidation type="list" allowBlank="1" showInputMessage="1" showErrorMessage="1" xr:uid="{DADEF9AE-A93C-B141-9B3C-41FCDF0EFECA}">
          <x14:formula1>
            <xm:f>Consumables!$A$23:$A$25</xm:f>
          </x14:formula1>
          <xm:sqref>B39</xm:sqref>
        </x14:dataValidation>
        <x14:dataValidation type="list" allowBlank="1" showInputMessage="1" showErrorMessage="1" xr:uid="{AFF2748E-6DC2-3442-B8E8-9748F213AD6C}">
          <x14:formula1>
            <xm:f>Database!$A$110:$A$129</xm:f>
          </x14:formula1>
          <xm:sqref>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AB830-BB86-434F-80B6-DAC5753A91A4}">
  <dimension ref="A1:K80"/>
  <sheetViews>
    <sheetView topLeftCell="A8" zoomScale="89" workbookViewId="0">
      <selection activeCell="G46" sqref="G46"/>
    </sheetView>
  </sheetViews>
  <sheetFormatPr baseColWidth="10" defaultRowHeight="13"/>
  <cols>
    <col min="1" max="1" width="27.5" customWidth="1"/>
    <col min="2" max="2" width="27.5" style="96" customWidth="1"/>
    <col min="3" max="3" width="24.83203125" customWidth="1"/>
    <col min="4" max="4" width="24.83203125" style="96" customWidth="1"/>
    <col min="5" max="5" width="14" style="96" customWidth="1"/>
    <col min="6" max="6" width="7.33203125" style="96" customWidth="1"/>
    <col min="7" max="7" width="8.1640625" customWidth="1"/>
    <col min="8" max="8" width="17.83203125" bestFit="1" customWidth="1"/>
    <col min="9" max="9" width="18.83203125" customWidth="1"/>
  </cols>
  <sheetData>
    <row r="1" spans="1:11">
      <c r="A1" s="59" t="s">
        <v>168</v>
      </c>
      <c r="B1" s="59"/>
      <c r="C1" s="96"/>
      <c r="G1" s="96"/>
      <c r="H1" s="96"/>
      <c r="I1" s="96"/>
      <c r="J1" s="96"/>
      <c r="K1" s="96"/>
    </row>
    <row r="2" spans="1:11">
      <c r="A2" s="367" t="s">
        <v>161</v>
      </c>
      <c r="B2" s="367"/>
      <c r="C2" s="366"/>
      <c r="D2" s="366"/>
      <c r="E2" s="366"/>
      <c r="F2" s="366"/>
      <c r="G2" s="366"/>
      <c r="H2" s="366"/>
      <c r="I2" s="366"/>
      <c r="J2" s="366"/>
      <c r="K2" s="366"/>
    </row>
    <row r="3" spans="1:11" s="96" customFormat="1">
      <c r="A3" s="368" t="s">
        <v>160</v>
      </c>
      <c r="B3" s="368"/>
      <c r="C3" s="366"/>
      <c r="D3" s="366"/>
      <c r="E3" s="366"/>
      <c r="F3" s="366"/>
      <c r="G3" s="366"/>
      <c r="H3" s="366"/>
      <c r="I3" s="366"/>
      <c r="J3" s="366"/>
      <c r="K3" s="366"/>
    </row>
    <row r="4" spans="1:11" s="96" customFormat="1">
      <c r="A4" s="92" t="s">
        <v>225</v>
      </c>
      <c r="B4" s="92"/>
      <c r="C4" s="93"/>
      <c r="D4" s="93"/>
      <c r="E4" s="93"/>
      <c r="F4" s="93"/>
      <c r="G4" s="93"/>
      <c r="H4" s="93"/>
      <c r="I4" s="93"/>
      <c r="J4" s="93"/>
      <c r="K4" s="93"/>
    </row>
    <row r="5" spans="1:11">
      <c r="A5" s="369" t="s">
        <v>162</v>
      </c>
      <c r="B5" s="369"/>
      <c r="C5" s="366"/>
      <c r="D5" s="366"/>
      <c r="E5" s="366"/>
      <c r="F5" s="366"/>
      <c r="G5" s="366"/>
      <c r="H5" s="366"/>
      <c r="I5" s="366"/>
      <c r="J5" s="366"/>
      <c r="K5" s="366"/>
    </row>
    <row r="6" spans="1:11">
      <c r="A6" s="94" t="s">
        <v>226</v>
      </c>
      <c r="B6" s="94"/>
      <c r="C6" s="95"/>
      <c r="D6" s="95"/>
      <c r="E6" s="95"/>
      <c r="F6" s="95"/>
      <c r="G6" s="95"/>
      <c r="H6" s="95"/>
      <c r="I6" s="95"/>
      <c r="J6" s="95"/>
      <c r="K6" s="95"/>
    </row>
    <row r="7" spans="1:11">
      <c r="A7" s="86" t="s">
        <v>215</v>
      </c>
      <c r="B7" s="86"/>
      <c r="C7" s="96"/>
      <c r="G7" s="96"/>
      <c r="H7" s="96"/>
      <c r="I7" s="96"/>
      <c r="J7" s="96"/>
      <c r="K7" s="96"/>
    </row>
    <row r="8" spans="1:11" s="96" customFormat="1">
      <c r="A8" s="56" t="s">
        <v>167</v>
      </c>
      <c r="B8" s="56"/>
      <c r="C8" s="56"/>
      <c r="D8" s="56"/>
      <c r="E8" s="56"/>
      <c r="F8" s="56"/>
      <c r="G8" s="56"/>
      <c r="H8" s="56"/>
      <c r="I8" s="56"/>
      <c r="J8" s="56"/>
      <c r="K8" s="56"/>
    </row>
    <row r="9" spans="1:11" s="96" customFormat="1">
      <c r="A9"/>
      <c r="C9"/>
      <c r="G9"/>
      <c r="H9"/>
      <c r="I9"/>
      <c r="J9"/>
      <c r="K9"/>
    </row>
    <row r="10" spans="1:11" s="96" customFormat="1" ht="16">
      <c r="A10" s="2" t="s">
        <v>222</v>
      </c>
      <c r="B10" s="2"/>
      <c r="C10" s="98"/>
      <c r="D10" s="98"/>
      <c r="E10" s="98"/>
      <c r="F10" s="98"/>
      <c r="H10"/>
      <c r="I10"/>
      <c r="J10"/>
      <c r="K10"/>
    </row>
    <row r="11" spans="1:11" s="134" customFormat="1" ht="16">
      <c r="A11" s="2"/>
      <c r="B11" s="57" t="s">
        <v>460</v>
      </c>
      <c r="C11" s="135"/>
      <c r="D11" s="135"/>
      <c r="E11" s="135"/>
      <c r="F11" s="135"/>
    </row>
    <row r="12" spans="1:11" s="134" customFormat="1" ht="16">
      <c r="A12" s="57" t="s">
        <v>244</v>
      </c>
      <c r="B12" s="57">
        <f>Overview!$B$15</f>
        <v>220</v>
      </c>
      <c r="C12" s="135"/>
      <c r="D12" s="135"/>
      <c r="E12" s="135"/>
      <c r="F12" s="135"/>
    </row>
    <row r="13" spans="1:11" s="134" customFormat="1" ht="16">
      <c r="A13" s="57" t="s">
        <v>458</v>
      </c>
      <c r="B13" s="57">
        <f>Overview!$C$15</f>
        <v>440</v>
      </c>
      <c r="C13" s="135"/>
      <c r="D13" s="135"/>
      <c r="E13" s="135"/>
      <c r="F13" s="135"/>
    </row>
    <row r="14" spans="1:11" ht="16">
      <c r="A14" s="2"/>
      <c r="B14" s="2"/>
      <c r="C14" s="98"/>
      <c r="D14" s="98"/>
      <c r="E14" s="98"/>
      <c r="F14" s="383" t="s">
        <v>262</v>
      </c>
      <c r="G14" s="383"/>
      <c r="H14" s="383"/>
      <c r="I14" s="383"/>
      <c r="J14" s="96"/>
      <c r="K14" s="96"/>
    </row>
    <row r="15" spans="1:11" ht="43">
      <c r="A15" s="2" t="s">
        <v>243</v>
      </c>
      <c r="B15" s="57" t="s">
        <v>248</v>
      </c>
      <c r="C15" s="11" t="s">
        <v>244</v>
      </c>
      <c r="D15" s="11" t="s">
        <v>459</v>
      </c>
      <c r="E15" s="11" t="s">
        <v>263</v>
      </c>
      <c r="F15" s="109" t="s">
        <v>246</v>
      </c>
      <c r="G15" s="108" t="s">
        <v>245</v>
      </c>
      <c r="H15" s="47" t="s">
        <v>241</v>
      </c>
      <c r="I15" s="47" t="s">
        <v>242</v>
      </c>
      <c r="J15" s="96"/>
      <c r="K15" s="277" t="s">
        <v>583</v>
      </c>
    </row>
    <row r="16" spans="1:11" s="96" customFormat="1">
      <c r="A16" s="11" t="s">
        <v>270</v>
      </c>
      <c r="B16" s="116">
        <v>0</v>
      </c>
      <c r="C16" s="133">
        <f>B16*$B$12</f>
        <v>0</v>
      </c>
      <c r="D16" s="104">
        <f t="shared" ref="D16:D21" si="0">(B16*$B$13)-C16</f>
        <v>0</v>
      </c>
      <c r="E16" s="118">
        <f>D16/$D$37</f>
        <v>0</v>
      </c>
      <c r="F16" s="120"/>
      <c r="G16" s="96">
        <v>15</v>
      </c>
      <c r="H16" s="105">
        <f>1/G16</f>
        <v>6.6666666666666666E-2</v>
      </c>
      <c r="I16" s="106">
        <f t="shared" ref="I16:I20" si="1">H16*(D16+C16)</f>
        <v>0</v>
      </c>
      <c r="J16"/>
      <c r="K16" t="s">
        <v>584</v>
      </c>
    </row>
    <row r="17" spans="1:11" s="96" customFormat="1">
      <c r="A17" s="11" t="s">
        <v>271</v>
      </c>
      <c r="B17" s="116">
        <v>0</v>
      </c>
      <c r="C17" s="133">
        <f>B17*$B$12</f>
        <v>0</v>
      </c>
      <c r="D17" s="104">
        <f t="shared" si="0"/>
        <v>0</v>
      </c>
      <c r="E17" s="118">
        <f>D17/$D$37</f>
        <v>0</v>
      </c>
      <c r="F17" s="120"/>
      <c r="G17" s="97">
        <v>15</v>
      </c>
      <c r="H17" s="105">
        <f>1/G17</f>
        <v>6.6666666666666666E-2</v>
      </c>
      <c r="I17" s="106">
        <f t="shared" si="1"/>
        <v>0</v>
      </c>
      <c r="J17"/>
      <c r="K17"/>
    </row>
    <row r="18" spans="1:11" s="96" customFormat="1">
      <c r="A18" s="11" t="s">
        <v>272</v>
      </c>
      <c r="B18" s="116">
        <v>25</v>
      </c>
      <c r="C18" s="133">
        <f>B18*$B$12</f>
        <v>5500</v>
      </c>
      <c r="D18" s="104">
        <f t="shared" si="0"/>
        <v>5500</v>
      </c>
      <c r="E18" s="118">
        <f>D18/$D$37</f>
        <v>4.9303557988611399E-2</v>
      </c>
      <c r="F18" s="120"/>
      <c r="G18" s="96">
        <v>15</v>
      </c>
      <c r="H18" s="105">
        <f>1/G18</f>
        <v>6.6666666666666666E-2</v>
      </c>
      <c r="I18" s="106">
        <f>H18*(D18+C18)</f>
        <v>733.33333333333337</v>
      </c>
      <c r="J18"/>
      <c r="K18"/>
    </row>
    <row r="19" spans="1:11" s="96" customFormat="1">
      <c r="A19" s="11" t="s">
        <v>269</v>
      </c>
      <c r="B19" s="116">
        <v>0</v>
      </c>
      <c r="C19" s="133">
        <f>B19*$B$12</f>
        <v>0</v>
      </c>
      <c r="D19" s="104">
        <f t="shared" si="0"/>
        <v>0</v>
      </c>
      <c r="E19" s="118">
        <f>D19/$D$37</f>
        <v>0</v>
      </c>
      <c r="F19" s="120"/>
      <c r="G19" s="121"/>
      <c r="H19" s="122"/>
      <c r="I19" s="106">
        <f t="shared" si="1"/>
        <v>0</v>
      </c>
    </row>
    <row r="20" spans="1:11" s="96" customFormat="1">
      <c r="A20" s="11" t="s">
        <v>250</v>
      </c>
      <c r="B20" s="133">
        <f>(10*0.81)/0.092903</f>
        <v>87.187711914577591</v>
      </c>
      <c r="C20" s="133">
        <f>B20*$B$12</f>
        <v>19181.296621207071</v>
      </c>
      <c r="D20" s="104">
        <f t="shared" si="0"/>
        <v>19181.296621207071</v>
      </c>
      <c r="E20" s="118">
        <f>D20/$D$37</f>
        <v>0.17194657641098887</v>
      </c>
      <c r="F20" s="120"/>
      <c r="G20" s="121"/>
      <c r="H20" s="122"/>
      <c r="I20" s="106">
        <f t="shared" si="1"/>
        <v>0</v>
      </c>
    </row>
    <row r="21" spans="1:11" s="96" customFormat="1">
      <c r="A21" s="98" t="s">
        <v>239</v>
      </c>
      <c r="B21" s="104">
        <f>SUM(B16:B20)</f>
        <v>112.18771191457759</v>
      </c>
      <c r="C21" s="133">
        <f>SUM(C16:C20)</f>
        <v>24681.296621207071</v>
      </c>
      <c r="D21" s="104">
        <f t="shared" si="0"/>
        <v>24681.296621207071</v>
      </c>
      <c r="E21" s="118">
        <f>D21/D37</f>
        <v>0.22125013439960026</v>
      </c>
      <c r="F21" s="120"/>
      <c r="G21" s="121"/>
      <c r="H21" s="122"/>
      <c r="I21" s="123">
        <f>SUM(I16:I20)</f>
        <v>733.33333333333337</v>
      </c>
    </row>
    <row r="22" spans="1:11" s="96" customFormat="1">
      <c r="A22" s="11"/>
      <c r="B22" s="11"/>
      <c r="C22" s="97"/>
      <c r="D22" s="97"/>
      <c r="E22" s="112"/>
      <c r="F22" s="97"/>
      <c r="I22" s="107"/>
    </row>
    <row r="23" spans="1:11" s="96" customFormat="1" ht="43">
      <c r="A23" s="2" t="s">
        <v>249</v>
      </c>
      <c r="B23" s="57" t="s">
        <v>248</v>
      </c>
      <c r="C23" s="11" t="s">
        <v>244</v>
      </c>
      <c r="D23" s="11" t="s">
        <v>459</v>
      </c>
      <c r="E23" s="11" t="s">
        <v>263</v>
      </c>
      <c r="F23" s="109" t="s">
        <v>246</v>
      </c>
      <c r="G23" s="108" t="s">
        <v>245</v>
      </c>
      <c r="H23" s="47" t="s">
        <v>241</v>
      </c>
      <c r="I23" s="47" t="s">
        <v>242</v>
      </c>
    </row>
    <row r="24" spans="1:11" s="96" customFormat="1">
      <c r="A24" s="11" t="s">
        <v>264</v>
      </c>
      <c r="B24" s="116">
        <v>0</v>
      </c>
      <c r="C24" s="133">
        <f>B24*$B$12</f>
        <v>0</v>
      </c>
      <c r="D24" s="104">
        <f>(B24*$B$13)-C24</f>
        <v>0</v>
      </c>
      <c r="E24" s="118">
        <f t="shared" ref="E24:E34" si="2">D24/$D$37</f>
        <v>0</v>
      </c>
      <c r="F24" s="97"/>
      <c r="G24" s="116">
        <v>10</v>
      </c>
      <c r="H24" s="105">
        <f>1/G24</f>
        <v>0.1</v>
      </c>
      <c r="I24" s="106">
        <f t="shared" ref="I24:I33" si="3">H24*D24</f>
        <v>0</v>
      </c>
    </row>
    <row r="25" spans="1:11" s="96" customFormat="1">
      <c r="A25" s="11" t="s">
        <v>265</v>
      </c>
      <c r="B25" s="116">
        <v>150</v>
      </c>
      <c r="C25" s="133">
        <f>B25*B12</f>
        <v>33000</v>
      </c>
      <c r="D25" s="104">
        <f>(B25*$B$13)-C25</f>
        <v>33000</v>
      </c>
      <c r="E25" s="118">
        <f t="shared" si="2"/>
        <v>0.29582134793166842</v>
      </c>
      <c r="F25" s="169">
        <f>VLOOKUP(Overview!B37, Database!A109:Y130, 16, FALSE)*0.8</f>
        <v>48000</v>
      </c>
      <c r="G25" s="96">
        <f>(F25/Overview!L18)/365</f>
        <v>8.3496412263535547</v>
      </c>
      <c r="H25" s="105">
        <f>1/G25</f>
        <v>0.119765625</v>
      </c>
      <c r="I25" s="106">
        <f>(C25+D25)*H25</f>
        <v>7904.53125</v>
      </c>
      <c r="J25"/>
      <c r="K25"/>
    </row>
    <row r="26" spans="1:11" s="96" customFormat="1">
      <c r="A26" s="11" t="s">
        <v>266</v>
      </c>
      <c r="B26" s="116">
        <v>150</v>
      </c>
      <c r="C26" s="133">
        <f t="shared" ref="C26:C33" si="4">B26*$B$12</f>
        <v>33000</v>
      </c>
      <c r="D26" s="104">
        <f>(B26*$B$13)-C26</f>
        <v>33000</v>
      </c>
      <c r="E26" s="118">
        <f t="shared" si="2"/>
        <v>0.29582134793166842</v>
      </c>
      <c r="F26" s="119"/>
      <c r="G26" s="116">
        <v>10</v>
      </c>
      <c r="H26" s="105">
        <f>1/G26</f>
        <v>0.1</v>
      </c>
      <c r="I26" s="106">
        <f t="shared" ref="I26:I31" si="5">H26*(D26+C26)</f>
        <v>6600</v>
      </c>
    </row>
    <row r="27" spans="1:11" s="96" customFormat="1">
      <c r="A27" s="11" t="s">
        <v>267</v>
      </c>
      <c r="B27" s="116">
        <v>20</v>
      </c>
      <c r="C27" s="133">
        <f t="shared" si="4"/>
        <v>4400</v>
      </c>
      <c r="D27" s="104">
        <f t="shared" ref="D27:D33" si="6">(B27*$B$13)-C27</f>
        <v>4400</v>
      </c>
      <c r="E27" s="118">
        <f t="shared" si="2"/>
        <v>3.9442846390889116E-2</v>
      </c>
      <c r="F27" s="104"/>
      <c r="G27" s="116">
        <v>10</v>
      </c>
      <c r="H27" s="105">
        <f t="shared" ref="H27:H33" si="7">1/G27</f>
        <v>0.1</v>
      </c>
      <c r="I27" s="106">
        <f t="shared" si="5"/>
        <v>880</v>
      </c>
      <c r="J27"/>
      <c r="K27"/>
    </row>
    <row r="28" spans="1:11" s="96" customFormat="1">
      <c r="A28" s="11" t="s">
        <v>268</v>
      </c>
      <c r="B28" s="116">
        <v>20</v>
      </c>
      <c r="C28" s="133">
        <f t="shared" si="4"/>
        <v>4400</v>
      </c>
      <c r="D28" s="104">
        <f t="shared" si="6"/>
        <v>4400</v>
      </c>
      <c r="E28" s="118">
        <f t="shared" si="2"/>
        <v>3.9442846390889116E-2</v>
      </c>
      <c r="F28" s="104"/>
      <c r="G28" s="116">
        <v>10</v>
      </c>
      <c r="H28" s="105">
        <f t="shared" si="7"/>
        <v>0.1</v>
      </c>
      <c r="I28" s="106">
        <f t="shared" si="5"/>
        <v>880</v>
      </c>
    </row>
    <row r="29" spans="1:11">
      <c r="A29" s="11" t="s">
        <v>234</v>
      </c>
      <c r="B29" s="48">
        <f>(1.5*0.81)/0.092903</f>
        <v>13.078156787186636</v>
      </c>
      <c r="C29" s="133">
        <f t="shared" si="4"/>
        <v>2877.1944931810599</v>
      </c>
      <c r="D29" s="104">
        <f t="shared" si="6"/>
        <v>2877.1944931810599</v>
      </c>
      <c r="E29" s="118">
        <f t="shared" si="2"/>
        <v>2.5791986461648323E-2</v>
      </c>
      <c r="F29" s="104"/>
      <c r="G29" s="116">
        <v>10</v>
      </c>
      <c r="H29" s="105">
        <f t="shared" si="7"/>
        <v>0.1</v>
      </c>
      <c r="I29" s="106">
        <f t="shared" si="5"/>
        <v>575.438898636212</v>
      </c>
      <c r="J29" s="96"/>
      <c r="K29" s="96"/>
    </row>
    <row r="30" spans="1:11">
      <c r="A30" s="11" t="s">
        <v>247</v>
      </c>
      <c r="B30" s="124">
        <v>20</v>
      </c>
      <c r="C30" s="133">
        <f t="shared" si="4"/>
        <v>4400</v>
      </c>
      <c r="D30" s="104">
        <f t="shared" si="6"/>
        <v>4400</v>
      </c>
      <c r="E30" s="118">
        <f t="shared" si="2"/>
        <v>3.9442846390889116E-2</v>
      </c>
      <c r="F30" s="104"/>
      <c r="G30" s="96">
        <v>5</v>
      </c>
      <c r="H30" s="105">
        <f t="shared" si="7"/>
        <v>0.2</v>
      </c>
      <c r="I30" s="106">
        <f t="shared" si="5"/>
        <v>1760</v>
      </c>
      <c r="J30" s="96"/>
      <c r="K30" s="96"/>
    </row>
    <row r="31" spans="1:11">
      <c r="A31" s="11" t="s">
        <v>235</v>
      </c>
      <c r="B31" s="124">
        <f>2.5*0.81/0.092903</f>
        <v>21.796927978644398</v>
      </c>
      <c r="C31" s="133">
        <f t="shared" si="4"/>
        <v>4795.3241553017679</v>
      </c>
      <c r="D31" s="104">
        <f t="shared" si="6"/>
        <v>4795.3241553017679</v>
      </c>
      <c r="E31" s="118">
        <f t="shared" si="2"/>
        <v>4.2986644102747218E-2</v>
      </c>
      <c r="F31" s="104"/>
      <c r="G31" s="116">
        <v>10</v>
      </c>
      <c r="H31" s="105">
        <f t="shared" si="7"/>
        <v>0.1</v>
      </c>
      <c r="I31" s="106">
        <f t="shared" si="5"/>
        <v>959.06483106035364</v>
      </c>
      <c r="J31" s="96"/>
      <c r="K31" s="96"/>
    </row>
    <row r="32" spans="1:11">
      <c r="A32" s="11" t="s">
        <v>236</v>
      </c>
      <c r="B32" s="116">
        <v>0</v>
      </c>
      <c r="C32" s="133">
        <f t="shared" si="4"/>
        <v>0</v>
      </c>
      <c r="D32" s="104">
        <f>(B32*$B$13)-C32</f>
        <v>0</v>
      </c>
      <c r="E32" s="118">
        <f t="shared" si="2"/>
        <v>0</v>
      </c>
      <c r="F32" s="104"/>
      <c r="G32" s="116">
        <v>10</v>
      </c>
      <c r="H32" s="105">
        <f t="shared" si="7"/>
        <v>0.1</v>
      </c>
      <c r="I32" s="106">
        <f t="shared" si="3"/>
        <v>0</v>
      </c>
      <c r="J32" s="96"/>
      <c r="K32" s="96"/>
    </row>
    <row r="33" spans="1:11">
      <c r="A33" s="11" t="s">
        <v>237</v>
      </c>
      <c r="B33" s="116">
        <v>0</v>
      </c>
      <c r="C33" s="133">
        <f t="shared" si="4"/>
        <v>0</v>
      </c>
      <c r="D33" s="104">
        <f t="shared" si="6"/>
        <v>0</v>
      </c>
      <c r="E33" s="118">
        <f t="shared" si="2"/>
        <v>0</v>
      </c>
      <c r="F33" s="104"/>
      <c r="G33" s="116">
        <v>10</v>
      </c>
      <c r="H33" s="105">
        <f t="shared" si="7"/>
        <v>0.1</v>
      </c>
      <c r="I33" s="106">
        <f t="shared" si="3"/>
        <v>0</v>
      </c>
      <c r="J33" s="96"/>
      <c r="K33" s="96"/>
    </row>
    <row r="34" spans="1:11">
      <c r="A34" s="98" t="s">
        <v>240</v>
      </c>
      <c r="B34" s="110">
        <f>(28.41*0.81)/0.092903</f>
        <v>247.70028954931487</v>
      </c>
      <c r="C34" s="133">
        <f>SUM(C24:C33)</f>
        <v>86872.51864848283</v>
      </c>
      <c r="D34" s="104">
        <f>SUM(D24:D33)</f>
        <v>86872.51864848283</v>
      </c>
      <c r="E34" s="118">
        <f t="shared" si="2"/>
        <v>0.77874986560039972</v>
      </c>
      <c r="F34" s="104"/>
      <c r="G34" s="96"/>
      <c r="H34" s="105"/>
      <c r="I34" s="106">
        <f>SUM(I24:I33)</f>
        <v>19559.034979696567</v>
      </c>
      <c r="J34" s="96"/>
      <c r="K34" s="96"/>
    </row>
    <row r="35" spans="1:11">
      <c r="A35" s="97"/>
      <c r="B35" s="97"/>
      <c r="C35" s="97"/>
      <c r="D35" s="97"/>
      <c r="E35" s="97"/>
      <c r="F35" s="97"/>
      <c r="G35" s="96"/>
      <c r="H35" s="96"/>
      <c r="I35" s="96"/>
      <c r="J35" s="96"/>
      <c r="K35" s="96"/>
    </row>
    <row r="36" spans="1:11">
      <c r="A36" s="97"/>
      <c r="B36" s="97"/>
      <c r="C36" s="11" t="s">
        <v>293</v>
      </c>
      <c r="D36" s="11" t="s">
        <v>292</v>
      </c>
      <c r="E36" s="11" t="s">
        <v>294</v>
      </c>
      <c r="F36" s="97"/>
      <c r="G36" s="96"/>
      <c r="H36" s="96"/>
      <c r="I36" s="47" t="s">
        <v>295</v>
      </c>
      <c r="J36" s="96"/>
      <c r="K36" s="96"/>
    </row>
    <row r="37" spans="1:11">
      <c r="A37" s="20" t="s">
        <v>238</v>
      </c>
      <c r="B37" s="20"/>
      <c r="C37" s="117">
        <f>C34+C21</f>
        <v>111553.81526968991</v>
      </c>
      <c r="D37" s="117">
        <f>D21+D34</f>
        <v>111553.81526968991</v>
      </c>
      <c r="E37" s="117">
        <f>D37+C37</f>
        <v>223107.63053937981</v>
      </c>
      <c r="F37" s="99"/>
      <c r="G37" s="99"/>
      <c r="H37" s="103"/>
      <c r="I37" s="117">
        <f>I34+I21</f>
        <v>20292.3683130299</v>
      </c>
    </row>
    <row r="38" spans="1:11">
      <c r="E38" s="106"/>
    </row>
    <row r="42" spans="1:11">
      <c r="A42" s="53" t="s">
        <v>251</v>
      </c>
    </row>
    <row r="43" spans="1:11" s="96" customFormat="1">
      <c r="A43" s="53" t="s">
        <v>253</v>
      </c>
      <c r="B43" s="47" t="s">
        <v>259</v>
      </c>
      <c r="C43" s="47" t="s">
        <v>260</v>
      </c>
      <c r="D43" s="47" t="s">
        <v>261</v>
      </c>
      <c r="E43" s="47"/>
    </row>
    <row r="44" spans="1:11">
      <c r="A44" s="59" t="s">
        <v>252</v>
      </c>
    </row>
    <row r="45" spans="1:11">
      <c r="A45" s="47" t="s">
        <v>254</v>
      </c>
      <c r="B45" s="96">
        <v>795</v>
      </c>
      <c r="C45">
        <v>798</v>
      </c>
      <c r="D45" s="111">
        <f>(C45/B45)-1</f>
        <v>3.7735849056603765E-3</v>
      </c>
      <c r="E45" s="111"/>
    </row>
    <row r="46" spans="1:11">
      <c r="A46" s="47" t="s">
        <v>255</v>
      </c>
      <c r="B46" s="96">
        <v>437</v>
      </c>
      <c r="C46">
        <v>478</v>
      </c>
      <c r="D46" s="111">
        <f t="shared" ref="D46:D55" si="8">(C46/B46)-1</f>
        <v>9.3821510297482869E-2</v>
      </c>
      <c r="E46" s="111"/>
    </row>
    <row r="47" spans="1:11">
      <c r="A47" s="47" t="s">
        <v>256</v>
      </c>
      <c r="B47" s="96">
        <v>995</v>
      </c>
      <c r="C47">
        <v>886</v>
      </c>
      <c r="D47" s="111">
        <f t="shared" si="8"/>
        <v>-0.10954773869346734</v>
      </c>
      <c r="E47" s="111"/>
    </row>
    <row r="48" spans="1:11">
      <c r="A48" s="59" t="s">
        <v>257</v>
      </c>
      <c r="D48" s="111"/>
      <c r="E48" s="111"/>
    </row>
    <row r="49" spans="1:6">
      <c r="A49" s="47" t="s">
        <v>254</v>
      </c>
      <c r="B49" s="96">
        <v>2490</v>
      </c>
      <c r="C49">
        <v>2534</v>
      </c>
      <c r="D49" s="111">
        <f t="shared" si="8"/>
        <v>1.7670682730923648E-2</v>
      </c>
      <c r="E49" s="111"/>
    </row>
    <row r="50" spans="1:6">
      <c r="A50" s="47" t="s">
        <v>255</v>
      </c>
      <c r="B50" s="96">
        <v>1328</v>
      </c>
      <c r="C50">
        <v>1664</v>
      </c>
      <c r="D50" s="111">
        <f t="shared" si="8"/>
        <v>0.25301204819277112</v>
      </c>
      <c r="E50" s="111"/>
    </row>
    <row r="51" spans="1:6">
      <c r="A51" s="47" t="s">
        <v>256</v>
      </c>
      <c r="B51" s="96">
        <v>2490</v>
      </c>
      <c r="C51">
        <v>2878</v>
      </c>
      <c r="D51" s="111">
        <f t="shared" si="8"/>
        <v>0.15582329317269084</v>
      </c>
      <c r="E51" s="111"/>
      <c r="F51"/>
    </row>
    <row r="52" spans="1:6">
      <c r="A52" s="59" t="s">
        <v>258</v>
      </c>
      <c r="D52" s="111"/>
      <c r="E52" s="111"/>
      <c r="F52"/>
    </row>
    <row r="53" spans="1:6">
      <c r="A53" s="47" t="s">
        <v>254</v>
      </c>
      <c r="B53" s="96">
        <v>1936</v>
      </c>
      <c r="C53">
        <v>1946</v>
      </c>
      <c r="D53" s="111">
        <f t="shared" si="8"/>
        <v>5.1652892561984132E-3</v>
      </c>
      <c r="E53" s="111"/>
      <c r="F53"/>
    </row>
    <row r="54" spans="1:6">
      <c r="A54" s="47" t="s">
        <v>255</v>
      </c>
      <c r="B54" s="96">
        <v>883</v>
      </c>
      <c r="C54">
        <v>1173</v>
      </c>
      <c r="D54" s="111">
        <f t="shared" si="8"/>
        <v>0.32842582106455276</v>
      </c>
      <c r="E54" s="111"/>
      <c r="F54"/>
    </row>
    <row r="55" spans="1:6">
      <c r="A55" s="47" t="s">
        <v>256</v>
      </c>
      <c r="B55" s="96">
        <v>1787</v>
      </c>
      <c r="C55">
        <v>2173</v>
      </c>
      <c r="D55" s="111">
        <f t="shared" si="8"/>
        <v>0.21600447677672086</v>
      </c>
      <c r="E55" s="111"/>
      <c r="F55"/>
    </row>
    <row r="60" spans="1:6">
      <c r="A60" s="47" t="s">
        <v>563</v>
      </c>
      <c r="B60" s="47" t="s">
        <v>573</v>
      </c>
      <c r="C60" s="47" t="s">
        <v>570</v>
      </c>
      <c r="D60" s="47" t="s">
        <v>574</v>
      </c>
    </row>
    <row r="61" spans="1:6">
      <c r="A61" s="47" t="s">
        <v>564</v>
      </c>
      <c r="B61" s="280">
        <f>SUM(B62:B66)</f>
        <v>1</v>
      </c>
      <c r="C61" s="280">
        <f>SUM(C62:C68)</f>
        <v>1</v>
      </c>
      <c r="D61" s="96">
        <f>B13</f>
        <v>440</v>
      </c>
    </row>
    <row r="62" spans="1:6">
      <c r="A62" s="47" t="s">
        <v>565</v>
      </c>
      <c r="B62" s="96">
        <f>50/1000</f>
        <v>0.05</v>
      </c>
      <c r="C62">
        <f>50/1000</f>
        <v>0.05</v>
      </c>
      <c r="D62" s="96">
        <f>$D$61*C62</f>
        <v>22</v>
      </c>
    </row>
    <row r="63" spans="1:6">
      <c r="A63" s="47" t="s">
        <v>566</v>
      </c>
      <c r="B63" s="96">
        <f>250/1000</f>
        <v>0.25</v>
      </c>
      <c r="C63">
        <f>280/1000</f>
        <v>0.28000000000000003</v>
      </c>
      <c r="D63" s="276">
        <f t="shared" ref="D63:D68" si="9">$D$61*C63</f>
        <v>123.20000000000002</v>
      </c>
    </row>
    <row r="64" spans="1:6">
      <c r="A64" s="47" t="s">
        <v>567</v>
      </c>
      <c r="B64" s="96">
        <f>124/1000</f>
        <v>0.124</v>
      </c>
      <c r="C64">
        <f>100/1000</f>
        <v>0.1</v>
      </c>
      <c r="D64" s="276">
        <f t="shared" si="9"/>
        <v>44</v>
      </c>
    </row>
    <row r="65" spans="1:4">
      <c r="A65" s="47" t="s">
        <v>568</v>
      </c>
      <c r="B65" s="96">
        <f>150/1000</f>
        <v>0.15</v>
      </c>
      <c r="C65">
        <f>150/1000</f>
        <v>0.15</v>
      </c>
      <c r="D65" s="276">
        <f t="shared" si="9"/>
        <v>66</v>
      </c>
    </row>
    <row r="66" spans="1:4">
      <c r="A66" s="47" t="s">
        <v>569</v>
      </c>
      <c r="B66" s="96">
        <f>426/1000</f>
        <v>0.42599999999999999</v>
      </c>
      <c r="C66">
        <f>300/1000</f>
        <v>0.3</v>
      </c>
      <c r="D66" s="276">
        <f t="shared" si="9"/>
        <v>132</v>
      </c>
    </row>
    <row r="67" spans="1:4">
      <c r="A67" s="47" t="s">
        <v>571</v>
      </c>
      <c r="C67">
        <f>100/1000</f>
        <v>0.1</v>
      </c>
      <c r="D67" s="276">
        <f t="shared" si="9"/>
        <v>44</v>
      </c>
    </row>
    <row r="68" spans="1:4">
      <c r="A68" s="47" t="s">
        <v>572</v>
      </c>
      <c r="C68">
        <f>20/1000</f>
        <v>0.02</v>
      </c>
      <c r="D68" s="276">
        <f t="shared" si="9"/>
        <v>8.8000000000000007</v>
      </c>
    </row>
    <row r="70" spans="1:4">
      <c r="A70" s="47" t="s">
        <v>575</v>
      </c>
      <c r="B70" s="47" t="s">
        <v>582</v>
      </c>
    </row>
    <row r="71" spans="1:4">
      <c r="A71" s="47" t="s">
        <v>576</v>
      </c>
      <c r="B71" s="281">
        <v>0.1181</v>
      </c>
    </row>
    <row r="72" spans="1:4">
      <c r="A72" s="47" t="s">
        <v>577</v>
      </c>
      <c r="B72" s="281">
        <v>0.54390000000000005</v>
      </c>
    </row>
    <row r="73" spans="1:4">
      <c r="A73" s="47" t="s">
        <v>578</v>
      </c>
      <c r="B73" s="281">
        <v>0.14649999999999999</v>
      </c>
    </row>
    <row r="74" spans="1:4">
      <c r="A74" s="47" t="s">
        <v>268</v>
      </c>
      <c r="B74" s="281">
        <v>9.1800000000000007E-2</v>
      </c>
    </row>
    <row r="75" spans="1:4">
      <c r="A75" s="47" t="s">
        <v>579</v>
      </c>
      <c r="B75" s="281">
        <v>1.9300000000000001E-2</v>
      </c>
    </row>
    <row r="76" spans="1:4">
      <c r="A76" s="47" t="s">
        <v>514</v>
      </c>
      <c r="B76" s="281">
        <v>1.1999999999999999E-3</v>
      </c>
    </row>
    <row r="77" spans="1:4">
      <c r="A77" s="47" t="s">
        <v>571</v>
      </c>
      <c r="B77" s="281">
        <v>3.5999999999999997E-2</v>
      </c>
    </row>
    <row r="78" spans="1:4">
      <c r="A78" s="47" t="s">
        <v>572</v>
      </c>
      <c r="B78" s="281">
        <v>8.9999999999999993E-3</v>
      </c>
    </row>
    <row r="79" spans="1:4">
      <c r="A79" s="47" t="s">
        <v>580</v>
      </c>
      <c r="B79" s="279">
        <v>0</v>
      </c>
    </row>
    <row r="80" spans="1:4">
      <c r="A80" s="47" t="s">
        <v>581</v>
      </c>
      <c r="B80" s="281">
        <v>3.4200000000000001E-2</v>
      </c>
    </row>
  </sheetData>
  <mergeCells count="4">
    <mergeCell ref="F14:I14"/>
    <mergeCell ref="A2:K2"/>
    <mergeCell ref="A3:K3"/>
    <mergeCell ref="A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31"/>
  <sheetViews>
    <sheetView workbookViewId="0">
      <selection activeCell="D40" sqref="D40"/>
    </sheetView>
  </sheetViews>
  <sheetFormatPr baseColWidth="10" defaultColWidth="14.5" defaultRowHeight="15.75" customHeight="1"/>
  <cols>
    <col min="1" max="1" width="43.6640625" customWidth="1"/>
    <col min="2" max="9" width="11.5" customWidth="1"/>
    <col min="10" max="10" width="11" customWidth="1"/>
  </cols>
  <sheetData>
    <row r="1" spans="1:13" s="26" customFormat="1" ht="15.75" customHeight="1">
      <c r="A1" s="53" t="s">
        <v>173</v>
      </c>
    </row>
    <row r="2" spans="1:13" s="26" customFormat="1" ht="15.75" customHeight="1">
      <c r="A2" s="64" t="s">
        <v>171</v>
      </c>
      <c r="B2" s="65"/>
      <c r="C2" s="65"/>
      <c r="D2" s="65"/>
      <c r="E2" s="65"/>
      <c r="F2" s="65"/>
      <c r="G2" s="65"/>
      <c r="H2" s="65"/>
      <c r="I2" s="65"/>
      <c r="J2" s="65"/>
      <c r="K2" s="65"/>
      <c r="L2" s="65"/>
      <c r="M2" s="65"/>
    </row>
    <row r="3" spans="1:13" s="26" customFormat="1" ht="15.75" customHeight="1">
      <c r="A3" s="62" t="s">
        <v>133</v>
      </c>
      <c r="B3" s="63"/>
      <c r="C3" s="63"/>
      <c r="D3" s="63"/>
      <c r="E3" s="63"/>
      <c r="F3" s="63"/>
      <c r="G3" s="63"/>
      <c r="H3" s="63"/>
      <c r="I3" s="63"/>
      <c r="J3" s="63"/>
      <c r="K3" s="63"/>
      <c r="L3" s="63"/>
      <c r="M3" s="63"/>
    </row>
    <row r="4" spans="1:13" s="26" customFormat="1" ht="15.75" customHeight="1">
      <c r="A4" s="58" t="s">
        <v>48</v>
      </c>
      <c r="B4" s="61"/>
      <c r="C4" s="61"/>
      <c r="D4" s="61"/>
      <c r="E4" s="61"/>
      <c r="F4" s="61"/>
      <c r="G4" s="61"/>
      <c r="H4" s="61"/>
      <c r="I4" s="61"/>
      <c r="J4" s="61"/>
      <c r="K4" s="61"/>
      <c r="L4" s="61"/>
      <c r="M4" s="61"/>
    </row>
    <row r="5" spans="1:13" s="26" customFormat="1" ht="15.75" customHeight="1">
      <c r="A5" s="11" t="s">
        <v>476</v>
      </c>
      <c r="B5" s="55"/>
      <c r="C5" s="55"/>
      <c r="D5" s="55"/>
      <c r="E5" s="55"/>
      <c r="F5" s="55"/>
      <c r="G5" s="55"/>
      <c r="H5" s="55"/>
      <c r="I5" s="55"/>
      <c r="J5" s="55"/>
      <c r="K5" s="55"/>
      <c r="L5" s="55"/>
      <c r="M5" s="55"/>
    </row>
    <row r="6" spans="1:13" ht="15.75" customHeight="1">
      <c r="A6" s="98" t="s">
        <v>0</v>
      </c>
      <c r="B6" s="98" t="s">
        <v>4</v>
      </c>
      <c r="C6" s="98" t="s">
        <v>5</v>
      </c>
      <c r="D6" s="98" t="s">
        <v>6</v>
      </c>
      <c r="E6" s="98" t="s">
        <v>7</v>
      </c>
      <c r="F6" s="98" t="s">
        <v>8</v>
      </c>
      <c r="G6" s="98" t="s">
        <v>9</v>
      </c>
      <c r="H6" s="98" t="s">
        <v>10</v>
      </c>
      <c r="I6" s="98" t="s">
        <v>11</v>
      </c>
      <c r="J6" s="5" t="s">
        <v>12</v>
      </c>
      <c r="K6" s="29" t="s">
        <v>227</v>
      </c>
      <c r="L6" s="29" t="s">
        <v>228</v>
      </c>
    </row>
    <row r="7" spans="1:13" ht="15.75" customHeight="1">
      <c r="A7" s="11" t="s">
        <v>13</v>
      </c>
      <c r="B7" s="113" t="s">
        <v>273</v>
      </c>
      <c r="C7" s="113" t="s">
        <v>273</v>
      </c>
      <c r="D7" s="113" t="s">
        <v>274</v>
      </c>
      <c r="E7" s="113" t="s">
        <v>274</v>
      </c>
      <c r="F7" s="113" t="s">
        <v>275</v>
      </c>
      <c r="G7" s="113" t="s">
        <v>276</v>
      </c>
      <c r="H7" s="113" t="s">
        <v>277</v>
      </c>
      <c r="I7" s="113" t="s">
        <v>278</v>
      </c>
      <c r="J7" s="113" t="s">
        <v>279</v>
      </c>
    </row>
    <row r="8" spans="1:13" ht="15.75" customHeight="1">
      <c r="A8" s="11" t="s">
        <v>14</v>
      </c>
      <c r="B8" s="113" t="s">
        <v>273</v>
      </c>
      <c r="C8" s="113" t="s">
        <v>273</v>
      </c>
      <c r="D8" s="113" t="s">
        <v>280</v>
      </c>
      <c r="E8" s="113" t="s">
        <v>280</v>
      </c>
      <c r="F8" s="113" t="s">
        <v>281</v>
      </c>
      <c r="G8" s="113" t="s">
        <v>282</v>
      </c>
      <c r="H8" s="113" t="s">
        <v>283</v>
      </c>
      <c r="I8" s="113" t="s">
        <v>284</v>
      </c>
      <c r="J8" s="113" t="s">
        <v>285</v>
      </c>
    </row>
    <row r="9" spans="1:13" ht="15.75" customHeight="1">
      <c r="A9" s="11" t="s">
        <v>15</v>
      </c>
      <c r="B9" s="113" t="s">
        <v>274</v>
      </c>
      <c r="C9" s="113" t="s">
        <v>274</v>
      </c>
      <c r="D9" s="113" t="s">
        <v>274</v>
      </c>
      <c r="E9" s="113" t="s">
        <v>274</v>
      </c>
      <c r="F9" s="113" t="s">
        <v>286</v>
      </c>
      <c r="G9" s="113" t="s">
        <v>287</v>
      </c>
      <c r="H9" s="113" t="s">
        <v>288</v>
      </c>
      <c r="I9" s="113" t="s">
        <v>274</v>
      </c>
      <c r="J9" s="113" t="s">
        <v>273</v>
      </c>
    </row>
    <row r="10" spans="1:13" ht="15.75" customHeight="1">
      <c r="A10" s="11" t="s">
        <v>16</v>
      </c>
      <c r="B10" s="113" t="s">
        <v>280</v>
      </c>
      <c r="C10" s="113" t="s">
        <v>280</v>
      </c>
      <c r="D10" s="113" t="s">
        <v>280</v>
      </c>
      <c r="E10" s="113" t="s">
        <v>280</v>
      </c>
      <c r="F10" s="113" t="s">
        <v>289</v>
      </c>
      <c r="G10" s="113" t="s">
        <v>290</v>
      </c>
      <c r="H10" s="113" t="s">
        <v>291</v>
      </c>
      <c r="I10" s="113" t="s">
        <v>280</v>
      </c>
      <c r="J10" s="113" t="s">
        <v>273</v>
      </c>
    </row>
    <row r="11" spans="1:13" ht="15.75" customHeight="1">
      <c r="A11" s="47"/>
      <c r="B11" s="47"/>
      <c r="C11" s="47"/>
      <c r="D11" s="47"/>
      <c r="E11" s="47"/>
      <c r="F11" s="47"/>
      <c r="G11" s="47"/>
      <c r="H11" s="47"/>
      <c r="I11" s="47"/>
      <c r="J11" s="47"/>
    </row>
    <row r="12" spans="1:13" ht="15.75" customHeight="1">
      <c r="A12" s="98" t="s">
        <v>0</v>
      </c>
      <c r="B12" s="98" t="s">
        <v>127</v>
      </c>
      <c r="C12" s="98" t="s">
        <v>126</v>
      </c>
      <c r="D12" s="98" t="s">
        <v>128</v>
      </c>
      <c r="E12" s="98" t="s">
        <v>129</v>
      </c>
      <c r="F12" s="98" t="s">
        <v>130</v>
      </c>
      <c r="G12" s="98" t="s">
        <v>131</v>
      </c>
      <c r="H12" s="98" t="s">
        <v>132</v>
      </c>
      <c r="I12" s="98" t="s">
        <v>11</v>
      </c>
      <c r="J12" s="5" t="s">
        <v>12</v>
      </c>
      <c r="K12" s="29" t="s">
        <v>227</v>
      </c>
      <c r="L12" s="29" t="s">
        <v>228</v>
      </c>
    </row>
    <row r="13" spans="1:13" ht="15.75" customHeight="1">
      <c r="A13" s="11" t="s">
        <v>13</v>
      </c>
      <c r="B13" s="114" t="s">
        <v>273</v>
      </c>
      <c r="C13" s="114" t="s">
        <v>273</v>
      </c>
      <c r="D13" s="114">
        <v>0.05</v>
      </c>
      <c r="E13" s="114">
        <v>0.05</v>
      </c>
      <c r="F13" s="114">
        <v>0.06</v>
      </c>
      <c r="G13" s="114">
        <v>0.13</v>
      </c>
      <c r="H13" s="114">
        <v>0.25</v>
      </c>
      <c r="I13" s="114">
        <v>0.02</v>
      </c>
      <c r="J13" s="114">
        <v>2</v>
      </c>
      <c r="K13" s="144"/>
      <c r="L13" s="144"/>
    </row>
    <row r="14" spans="1:13" ht="15.75" customHeight="1">
      <c r="A14" s="11" t="s">
        <v>14</v>
      </c>
      <c r="B14" s="114" t="s">
        <v>273</v>
      </c>
      <c r="C14" s="114" t="s">
        <v>273</v>
      </c>
      <c r="D14" s="114">
        <v>0.15</v>
      </c>
      <c r="E14" s="114">
        <v>0.15</v>
      </c>
      <c r="F14" s="114">
        <v>0.14000000000000001</v>
      </c>
      <c r="G14" s="114">
        <v>0.28000000000000003</v>
      </c>
      <c r="H14" s="114">
        <v>0.55000000000000004</v>
      </c>
      <c r="I14" s="114">
        <v>0.1</v>
      </c>
      <c r="J14" s="114">
        <v>4</v>
      </c>
    </row>
    <row r="15" spans="1:13" ht="15.75" customHeight="1">
      <c r="A15" s="11" t="s">
        <v>15</v>
      </c>
      <c r="B15" s="114">
        <v>0.05</v>
      </c>
      <c r="C15" s="114">
        <v>0.05</v>
      </c>
      <c r="D15" s="114">
        <v>0.05</v>
      </c>
      <c r="E15" s="114">
        <v>0.05</v>
      </c>
      <c r="F15" s="114">
        <v>0.09</v>
      </c>
      <c r="G15" s="114">
        <v>0.18</v>
      </c>
      <c r="H15" s="114">
        <v>0.35</v>
      </c>
      <c r="I15" s="114">
        <v>0.05</v>
      </c>
      <c r="J15" s="114" t="s">
        <v>273</v>
      </c>
      <c r="K15" s="136">
        <v>1.25</v>
      </c>
      <c r="L15" s="144">
        <v>2</v>
      </c>
    </row>
    <row r="16" spans="1:13" ht="15.75" customHeight="1">
      <c r="A16" s="11" t="s">
        <v>16</v>
      </c>
      <c r="B16" s="114">
        <v>0.15</v>
      </c>
      <c r="C16" s="114">
        <v>0.15</v>
      </c>
      <c r="D16" s="114">
        <v>0.15</v>
      </c>
      <c r="E16" s="114">
        <v>0.15</v>
      </c>
      <c r="F16" s="114">
        <v>0.19</v>
      </c>
      <c r="G16" s="114">
        <v>0.38</v>
      </c>
      <c r="H16" s="114">
        <v>0.75</v>
      </c>
      <c r="I16" s="114">
        <v>0.15</v>
      </c>
      <c r="J16" s="114" t="s">
        <v>273</v>
      </c>
      <c r="K16" s="136">
        <v>1.25</v>
      </c>
      <c r="L16" s="144">
        <v>2</v>
      </c>
    </row>
    <row r="17" spans="1:13" ht="15.75" customHeight="1">
      <c r="A17" s="4" t="s">
        <v>17</v>
      </c>
    </row>
    <row r="18" spans="1:13" ht="15.75" customHeight="1">
      <c r="A18" s="11" t="s">
        <v>133</v>
      </c>
    </row>
    <row r="19" spans="1:13" s="160" customFormat="1" ht="15.75" customHeight="1">
      <c r="A19" s="161"/>
    </row>
    <row r="20" spans="1:13" s="160" customFormat="1" ht="15.75" customHeight="1">
      <c r="A20" s="58" t="s">
        <v>387</v>
      </c>
      <c r="B20" s="61"/>
      <c r="C20" s="61"/>
      <c r="D20" s="61"/>
      <c r="E20" s="61"/>
      <c r="F20" s="61"/>
      <c r="G20" s="61"/>
      <c r="H20" s="61"/>
      <c r="I20" s="61"/>
      <c r="J20" s="61"/>
      <c r="K20" s="61"/>
      <c r="L20" s="61"/>
      <c r="M20" s="61"/>
    </row>
    <row r="21" spans="1:13" s="160" customFormat="1" ht="15.75" customHeight="1">
      <c r="A21" s="147"/>
      <c r="B21" s="384" t="s">
        <v>481</v>
      </c>
      <c r="C21" s="384"/>
      <c r="D21" s="384"/>
      <c r="E21" s="384"/>
      <c r="F21" s="384"/>
      <c r="G21" s="55"/>
      <c r="H21" s="55"/>
      <c r="I21" s="55"/>
      <c r="J21" s="55"/>
      <c r="K21" s="55"/>
      <c r="L21" s="55"/>
      <c r="M21" s="55"/>
    </row>
    <row r="22" spans="1:13" ht="15.75" customHeight="1">
      <c r="A22" s="67" t="s">
        <v>388</v>
      </c>
      <c r="B22" s="47" t="s">
        <v>477</v>
      </c>
      <c r="C22" s="47" t="s">
        <v>478</v>
      </c>
      <c r="D22" s="47" t="s">
        <v>479</v>
      </c>
      <c r="E22" s="47" t="s">
        <v>479</v>
      </c>
      <c r="F22" s="47" t="s">
        <v>480</v>
      </c>
      <c r="G22" s="160"/>
      <c r="H22" s="160"/>
      <c r="I22" s="160"/>
      <c r="J22" s="160"/>
      <c r="K22" s="160"/>
      <c r="L22" s="160"/>
      <c r="M22" s="160"/>
    </row>
    <row r="23" spans="1:13" ht="15.75" customHeight="1">
      <c r="A23" s="57" t="s">
        <v>506</v>
      </c>
      <c r="B23" s="116">
        <v>0.06</v>
      </c>
      <c r="C23" s="116">
        <v>0.03</v>
      </c>
      <c r="D23" s="116">
        <v>0.03</v>
      </c>
      <c r="E23" s="116">
        <v>0.02</v>
      </c>
      <c r="F23" s="116">
        <v>0.01</v>
      </c>
      <c r="G23" s="160"/>
      <c r="H23" s="160"/>
      <c r="I23" s="160"/>
      <c r="J23" s="160"/>
      <c r="K23" s="160"/>
      <c r="L23" s="160"/>
      <c r="M23" s="160"/>
    </row>
    <row r="24" spans="1:13" s="152" customFormat="1" ht="15.75" customHeight="1">
      <c r="A24" s="57" t="s">
        <v>507</v>
      </c>
      <c r="B24" s="116">
        <v>0.03</v>
      </c>
      <c r="C24" s="116">
        <v>0.06</v>
      </c>
      <c r="D24" s="116">
        <v>0.03</v>
      </c>
      <c r="E24" s="116">
        <v>0.02</v>
      </c>
      <c r="F24" s="116">
        <v>0.01</v>
      </c>
      <c r="G24" s="160"/>
      <c r="H24" s="160"/>
      <c r="I24" s="160"/>
      <c r="J24" s="160"/>
      <c r="K24" s="160"/>
      <c r="L24" s="160"/>
      <c r="M24" s="160"/>
    </row>
    <row r="25" spans="1:13" s="160" customFormat="1" ht="15.75" customHeight="1">
      <c r="A25" s="57" t="s">
        <v>508</v>
      </c>
      <c r="B25" s="116">
        <v>0.05</v>
      </c>
      <c r="C25" s="116">
        <v>0.06</v>
      </c>
      <c r="D25" s="116">
        <v>0.03</v>
      </c>
      <c r="E25" s="116">
        <v>0.02</v>
      </c>
      <c r="F25" s="116">
        <v>0.01</v>
      </c>
    </row>
    <row r="26" spans="1:13" s="160" customFormat="1" ht="15.75" customHeight="1">
      <c r="A26" s="161"/>
    </row>
    <row r="27" spans="1:13" ht="15.75" customHeight="1">
      <c r="A27" s="160"/>
      <c r="B27" s="160"/>
      <c r="C27" s="160"/>
      <c r="D27" s="160"/>
      <c r="E27" s="160"/>
      <c r="F27" s="160"/>
      <c r="G27" s="160"/>
      <c r="H27" s="160"/>
      <c r="I27" s="160"/>
      <c r="J27" s="160"/>
      <c r="K27" s="160"/>
      <c r="L27" s="160"/>
      <c r="M27" s="160"/>
    </row>
    <row r="28" spans="1:13" ht="15.75" customHeight="1">
      <c r="A28" s="58" t="s">
        <v>389</v>
      </c>
      <c r="B28" s="61"/>
      <c r="C28" s="61"/>
      <c r="D28" s="61"/>
      <c r="E28" s="61"/>
      <c r="F28" s="61"/>
      <c r="G28" s="61"/>
      <c r="H28" s="61"/>
      <c r="I28" s="61"/>
      <c r="J28" s="61"/>
      <c r="K28" s="61"/>
      <c r="L28" s="61"/>
      <c r="M28" s="61"/>
    </row>
    <row r="29" spans="1:13" s="186" customFormat="1" ht="15.75" customHeight="1">
      <c r="A29" s="147"/>
      <c r="B29" s="148" t="s">
        <v>513</v>
      </c>
      <c r="C29" s="55"/>
      <c r="D29" s="55"/>
      <c r="E29" s="55"/>
      <c r="F29" s="55"/>
      <c r="G29" s="55"/>
      <c r="H29" s="55"/>
      <c r="I29" s="55"/>
      <c r="J29" s="55"/>
      <c r="K29" s="55"/>
      <c r="L29" s="55"/>
      <c r="M29" s="55"/>
    </row>
    <row r="30" spans="1:13" ht="15.75" customHeight="1">
      <c r="A30" s="161" t="s">
        <v>389</v>
      </c>
      <c r="B30" s="160">
        <v>0.01</v>
      </c>
      <c r="C30" s="160"/>
      <c r="D30" s="160"/>
      <c r="E30" s="160"/>
      <c r="F30" s="160"/>
      <c r="G30" s="160"/>
      <c r="H30" s="160"/>
      <c r="I30" s="160"/>
      <c r="J30" s="160"/>
      <c r="K30" s="160"/>
      <c r="L30" s="160"/>
      <c r="M30" s="160"/>
    </row>
    <row r="32" spans="1:13" ht="15.75" customHeight="1">
      <c r="A32" s="58" t="s">
        <v>172</v>
      </c>
      <c r="B32" s="61"/>
      <c r="C32" s="61"/>
      <c r="D32" s="61"/>
      <c r="E32" s="61"/>
      <c r="F32" s="61"/>
      <c r="G32" s="61"/>
      <c r="H32" s="61"/>
      <c r="I32" s="61"/>
      <c r="J32" s="61"/>
      <c r="K32" s="61"/>
      <c r="L32" s="61"/>
      <c r="M32" s="61"/>
    </row>
    <row r="33" spans="1:13" ht="15.75" customHeight="1">
      <c r="A33" s="147"/>
      <c r="B33" s="384" t="s">
        <v>481</v>
      </c>
      <c r="C33" s="384"/>
      <c r="D33" s="384"/>
      <c r="E33" s="384"/>
      <c r="F33" s="384"/>
      <c r="H33" s="55"/>
      <c r="I33" s="55"/>
      <c r="J33" s="55"/>
      <c r="K33" s="55"/>
      <c r="L33" s="55"/>
      <c r="M33" s="55"/>
    </row>
    <row r="34" spans="1:13" ht="15.75" customHeight="1">
      <c r="A34" s="69" t="s">
        <v>509</v>
      </c>
      <c r="B34" s="53" t="s">
        <v>477</v>
      </c>
      <c r="C34" s="53" t="s">
        <v>478</v>
      </c>
      <c r="D34" s="53" t="s">
        <v>479</v>
      </c>
      <c r="E34" s="53" t="s">
        <v>479</v>
      </c>
      <c r="F34" s="53" t="s">
        <v>480</v>
      </c>
      <c r="G34" s="291" t="s">
        <v>601</v>
      </c>
    </row>
    <row r="35" spans="1:13" ht="15.75" customHeight="1">
      <c r="A35" s="67" t="str">
        <f>Database!A8</f>
        <v>Amaranth</v>
      </c>
      <c r="B35" s="116">
        <v>0.03</v>
      </c>
      <c r="C35" s="116">
        <v>0.03</v>
      </c>
      <c r="D35" s="116">
        <v>0.03</v>
      </c>
      <c r="E35" s="116">
        <v>0.02</v>
      </c>
      <c r="F35" s="116">
        <v>0.01</v>
      </c>
      <c r="G35" s="279">
        <v>0.97</v>
      </c>
    </row>
    <row r="36" spans="1:13" ht="15.75" customHeight="1">
      <c r="A36" s="67" t="str">
        <f>Database!A9</f>
        <v>Arugula</v>
      </c>
      <c r="B36" s="116">
        <v>0.03</v>
      </c>
      <c r="C36" s="116">
        <v>0.03</v>
      </c>
      <c r="D36" s="116">
        <v>0.03</v>
      </c>
      <c r="E36" s="116">
        <v>0.02</v>
      </c>
      <c r="F36" s="116">
        <v>0.01</v>
      </c>
      <c r="G36" s="279">
        <v>0.97</v>
      </c>
    </row>
    <row r="37" spans="1:13" ht="15.75" customHeight="1">
      <c r="A37" s="67" t="str">
        <f>Database!A10</f>
        <v>Basil - Dwarf</v>
      </c>
      <c r="B37" s="116">
        <v>0.03</v>
      </c>
      <c r="C37" s="116">
        <v>0.03</v>
      </c>
      <c r="D37" s="116">
        <v>0.03</v>
      </c>
      <c r="E37" s="116">
        <v>0.02</v>
      </c>
      <c r="F37" s="116">
        <v>0.01</v>
      </c>
      <c r="G37" s="279">
        <v>0.97</v>
      </c>
    </row>
    <row r="38" spans="1:13" ht="15.75" customHeight="1">
      <c r="A38" s="67" t="str">
        <f>Database!A11</f>
        <v>Basil - Lemon</v>
      </c>
      <c r="B38" s="116">
        <v>0.03</v>
      </c>
      <c r="C38" s="116">
        <v>0.03</v>
      </c>
      <c r="D38" s="116">
        <v>0.03</v>
      </c>
      <c r="E38" s="116">
        <v>0.02</v>
      </c>
      <c r="F38" s="116">
        <v>0.01</v>
      </c>
      <c r="G38" s="279">
        <v>0.97</v>
      </c>
    </row>
    <row r="39" spans="1:13" s="277" customFormat="1" ht="15.75" customHeight="1">
      <c r="A39" s="67" t="str">
        <f>Database!A12</f>
        <v>Basil - Thai</v>
      </c>
      <c r="B39" s="116">
        <v>0.03</v>
      </c>
      <c r="C39" s="116">
        <v>0.03</v>
      </c>
      <c r="D39" s="116">
        <v>0.03</v>
      </c>
      <c r="E39" s="116">
        <v>0.02</v>
      </c>
      <c r="F39" s="116">
        <v>0.01</v>
      </c>
      <c r="G39" s="279">
        <v>0.97</v>
      </c>
    </row>
    <row r="40" spans="1:13" ht="15.75" customHeight="1">
      <c r="A40" s="67" t="str">
        <f>Database!A13</f>
        <v>Basil - Sweet</v>
      </c>
      <c r="B40" s="116">
        <v>0.03</v>
      </c>
      <c r="C40" s="116">
        <v>0.03</v>
      </c>
      <c r="D40" s="116">
        <v>0.03</v>
      </c>
      <c r="E40" s="116">
        <v>0.02</v>
      </c>
      <c r="F40" s="116">
        <v>0.01</v>
      </c>
      <c r="G40" s="279">
        <v>0.97</v>
      </c>
    </row>
    <row r="41" spans="1:13" ht="15.75" customHeight="1">
      <c r="A41" s="67" t="str">
        <f>Database!A14</f>
        <v>Basil - Genovese</v>
      </c>
      <c r="B41" s="116">
        <v>0.03</v>
      </c>
      <c r="C41" s="116">
        <v>0.03</v>
      </c>
      <c r="D41" s="116">
        <v>0.03</v>
      </c>
      <c r="E41" s="116">
        <v>0.02</v>
      </c>
      <c r="F41" s="116">
        <v>0.01</v>
      </c>
      <c r="G41" s="279">
        <v>0.97</v>
      </c>
    </row>
    <row r="42" spans="1:13" ht="15.75" customHeight="1">
      <c r="A42" s="67" t="str">
        <f>Database!A15</f>
        <v>Bok-Choy</v>
      </c>
      <c r="B42" s="116">
        <v>0.03</v>
      </c>
      <c r="C42" s="116">
        <v>0.03</v>
      </c>
      <c r="D42" s="116">
        <v>0.03</v>
      </c>
      <c r="E42" s="116">
        <v>0.02</v>
      </c>
      <c r="F42" s="116">
        <v>0.01</v>
      </c>
      <c r="G42" s="279">
        <v>0.97</v>
      </c>
    </row>
    <row r="43" spans="1:13" s="128" customFormat="1" ht="15.75" customHeight="1">
      <c r="A43" s="67" t="str">
        <f>Database!A16</f>
        <v>Broccoli</v>
      </c>
      <c r="B43" s="116">
        <v>0.03</v>
      </c>
      <c r="C43" s="116">
        <v>0.03</v>
      </c>
      <c r="D43" s="116">
        <v>0.03</v>
      </c>
      <c r="E43" s="116">
        <v>0.02</v>
      </c>
      <c r="F43" s="116">
        <v>0.01</v>
      </c>
      <c r="G43" s="279">
        <v>0.97</v>
      </c>
      <c r="H43" s="55"/>
      <c r="I43" s="55"/>
      <c r="J43" s="55"/>
      <c r="K43" s="55"/>
      <c r="L43" s="55"/>
      <c r="M43" s="55"/>
    </row>
    <row r="44" spans="1:13" ht="15.75" customHeight="1">
      <c r="A44" s="67" t="str">
        <f>Database!A17</f>
        <v>Cabbage</v>
      </c>
      <c r="B44" s="116">
        <v>0.03</v>
      </c>
      <c r="C44" s="116">
        <v>0.03</v>
      </c>
      <c r="D44" s="116">
        <v>0.03</v>
      </c>
      <c r="E44" s="116">
        <v>0.02</v>
      </c>
      <c r="F44" s="116">
        <v>0.01</v>
      </c>
      <c r="G44" s="279">
        <v>0.97</v>
      </c>
    </row>
    <row r="45" spans="1:13" s="160" customFormat="1" ht="15.75" customHeight="1">
      <c r="A45" s="67" t="str">
        <f>Database!A18</f>
        <v>Cai Xin</v>
      </c>
      <c r="B45" s="116">
        <v>0.03</v>
      </c>
      <c r="C45" s="116">
        <v>0.03</v>
      </c>
      <c r="D45" s="116">
        <v>0.03</v>
      </c>
      <c r="E45" s="116">
        <v>0.02</v>
      </c>
      <c r="F45" s="116">
        <v>0.01</v>
      </c>
      <c r="G45" s="279">
        <v>0.97</v>
      </c>
      <c r="H45"/>
      <c r="I45"/>
      <c r="J45"/>
      <c r="K45"/>
      <c r="L45"/>
      <c r="M45"/>
    </row>
    <row r="46" spans="1:13" ht="15.75" customHeight="1">
      <c r="A46" s="67" t="str">
        <f>Database!A19</f>
        <v>Carrot</v>
      </c>
      <c r="B46" s="116">
        <v>0.03</v>
      </c>
      <c r="C46" s="116">
        <v>0.03</v>
      </c>
      <c r="D46" s="116">
        <v>0.03</v>
      </c>
      <c r="E46" s="116">
        <v>0.02</v>
      </c>
      <c r="F46" s="116">
        <v>0.01</v>
      </c>
      <c r="G46" s="279">
        <v>0.97</v>
      </c>
    </row>
    <row r="47" spans="1:13" ht="15.75" customHeight="1">
      <c r="A47" s="67" t="str">
        <f>Database!A20</f>
        <v>Cauliflower</v>
      </c>
      <c r="B47" s="116">
        <v>0.03</v>
      </c>
      <c r="C47" s="116">
        <v>0.03</v>
      </c>
      <c r="D47" s="116">
        <v>0.03</v>
      </c>
      <c r="E47" s="116">
        <v>0.02</v>
      </c>
      <c r="F47" s="116">
        <v>0.01</v>
      </c>
      <c r="G47" s="279">
        <v>0.97</v>
      </c>
    </row>
    <row r="48" spans="1:13" ht="15.75" customHeight="1">
      <c r="A48" s="67" t="str">
        <f>Database!A21</f>
        <v>Chard Swiss</v>
      </c>
      <c r="B48" s="116">
        <v>0.03</v>
      </c>
      <c r="C48" s="116">
        <v>0.03</v>
      </c>
      <c r="D48" s="116">
        <v>0.03</v>
      </c>
      <c r="E48" s="116">
        <v>0.02</v>
      </c>
      <c r="F48" s="116">
        <v>0.01</v>
      </c>
      <c r="G48" s="279">
        <v>0.97</v>
      </c>
    </row>
    <row r="49" spans="1:13" ht="15.75" customHeight="1">
      <c r="A49" s="67" t="str">
        <f>Database!A22</f>
        <v>Chives</v>
      </c>
      <c r="B49" s="116">
        <v>0.03</v>
      </c>
      <c r="C49" s="116">
        <v>0.03</v>
      </c>
      <c r="D49" s="116">
        <v>0.03</v>
      </c>
      <c r="E49" s="116">
        <v>0.02</v>
      </c>
      <c r="F49" s="116">
        <v>0.01</v>
      </c>
      <c r="G49" s="279">
        <v>0.97</v>
      </c>
      <c r="H49" s="128"/>
      <c r="I49" s="128"/>
      <c r="J49" s="128"/>
      <c r="K49" s="128"/>
      <c r="L49" s="128"/>
      <c r="M49" s="128"/>
    </row>
    <row r="50" spans="1:13" ht="15.75" customHeight="1">
      <c r="A50" s="67" t="str">
        <f>Database!A23</f>
        <v>Chinese Leaf</v>
      </c>
      <c r="B50" s="116">
        <v>0.03</v>
      </c>
      <c r="C50" s="116">
        <v>0.03</v>
      </c>
      <c r="D50" s="116">
        <v>0.03</v>
      </c>
      <c r="E50" s="116">
        <v>0.02</v>
      </c>
      <c r="F50" s="116">
        <v>0.01</v>
      </c>
      <c r="G50" s="279">
        <v>0.97</v>
      </c>
    </row>
    <row r="51" spans="1:13" ht="15.75" customHeight="1">
      <c r="A51" s="67" t="str">
        <f>Database!A24</f>
        <v>Choy Sum</v>
      </c>
      <c r="B51" s="116">
        <v>0.03</v>
      </c>
      <c r="C51" s="116">
        <v>0.03</v>
      </c>
      <c r="D51" s="116">
        <v>0.03</v>
      </c>
      <c r="E51" s="116">
        <v>0.02</v>
      </c>
      <c r="F51" s="116">
        <v>0.01</v>
      </c>
      <c r="G51" s="279">
        <v>0.97</v>
      </c>
      <c r="H51" s="160"/>
      <c r="I51" s="160"/>
      <c r="J51" s="160"/>
      <c r="K51" s="160"/>
      <c r="L51" s="160"/>
      <c r="M51" s="160"/>
    </row>
    <row r="52" spans="1:13" ht="15.75" customHeight="1">
      <c r="A52" s="67" t="str">
        <f>Database!A25</f>
        <v>Cilantro</v>
      </c>
      <c r="B52" s="116">
        <v>0.03</v>
      </c>
      <c r="C52" s="116">
        <v>0.03</v>
      </c>
      <c r="D52" s="116">
        <v>0.03</v>
      </c>
      <c r="E52" s="116">
        <v>0.02</v>
      </c>
      <c r="F52" s="116">
        <v>0.01</v>
      </c>
      <c r="G52" s="279">
        <v>0.97</v>
      </c>
    </row>
    <row r="53" spans="1:13" ht="15.75" customHeight="1">
      <c r="A53" s="67" t="str">
        <f>Database!A26</f>
        <v>Cucumber</v>
      </c>
      <c r="B53" s="116">
        <v>0.03</v>
      </c>
      <c r="C53" s="116">
        <v>0.03</v>
      </c>
      <c r="D53" s="116">
        <v>0.03</v>
      </c>
      <c r="E53" s="116">
        <v>0.02</v>
      </c>
      <c r="F53" s="116">
        <v>0.01</v>
      </c>
      <c r="G53" s="279">
        <v>0.97</v>
      </c>
    </row>
    <row r="54" spans="1:13" ht="15.75" customHeight="1">
      <c r="A54" s="67" t="str">
        <f>Database!A27</f>
        <v>Dill</v>
      </c>
      <c r="B54" s="116">
        <v>0.03</v>
      </c>
      <c r="C54" s="116">
        <v>0.03</v>
      </c>
      <c r="D54" s="116">
        <v>0.03</v>
      </c>
      <c r="E54" s="116">
        <v>0.02</v>
      </c>
      <c r="F54" s="116">
        <v>0.01</v>
      </c>
      <c r="G54" s="279">
        <v>0.97</v>
      </c>
    </row>
    <row r="55" spans="1:13" ht="15.75" customHeight="1">
      <c r="A55" s="67" t="str">
        <f>Database!A28</f>
        <v>Eggplant</v>
      </c>
      <c r="B55" s="116">
        <v>0.03</v>
      </c>
      <c r="C55" s="116">
        <v>0.03</v>
      </c>
      <c r="D55" s="116">
        <v>0.03</v>
      </c>
      <c r="E55" s="116">
        <v>0.02</v>
      </c>
      <c r="F55" s="116">
        <v>0.01</v>
      </c>
      <c r="G55" s="279">
        <v>0.97</v>
      </c>
    </row>
    <row r="56" spans="1:13" ht="15.75" customHeight="1">
      <c r="A56" s="67" t="str">
        <f>Database!A29</f>
        <v>Escarole</v>
      </c>
      <c r="B56" s="116">
        <v>0.03</v>
      </c>
      <c r="C56" s="116">
        <v>0.03</v>
      </c>
      <c r="D56" s="116">
        <v>0.03</v>
      </c>
      <c r="E56" s="116">
        <v>0.02</v>
      </c>
      <c r="F56" s="116">
        <v>0.01</v>
      </c>
      <c r="G56" s="279">
        <v>0.97</v>
      </c>
    </row>
    <row r="57" spans="1:13" ht="15.75" customHeight="1">
      <c r="A57" s="67" t="str">
        <f>Database!A30</f>
        <v>Fennel</v>
      </c>
      <c r="B57" s="116">
        <v>0.03</v>
      </c>
      <c r="C57" s="116">
        <v>0.03</v>
      </c>
      <c r="D57" s="116">
        <v>0.03</v>
      </c>
      <c r="E57" s="116">
        <v>0.02</v>
      </c>
      <c r="F57" s="116">
        <v>0.01</v>
      </c>
      <c r="G57" s="279">
        <v>0.97</v>
      </c>
    </row>
    <row r="58" spans="1:13" ht="15.75" customHeight="1">
      <c r="A58" s="67" t="str">
        <f>Database!A31</f>
        <v>Gai Choi</v>
      </c>
      <c r="B58" s="116">
        <v>0.03</v>
      </c>
      <c r="C58" s="116">
        <v>0.03</v>
      </c>
      <c r="D58" s="116">
        <v>0.03</v>
      </c>
      <c r="E58" s="116">
        <v>0.02</v>
      </c>
      <c r="F58" s="116">
        <v>0.01</v>
      </c>
      <c r="G58" s="279">
        <v>0.97</v>
      </c>
    </row>
    <row r="59" spans="1:13" ht="15.75" customHeight="1">
      <c r="A59" s="67" t="str">
        <f>Database!A32</f>
        <v>Gailan</v>
      </c>
      <c r="B59" s="116">
        <v>0.03</v>
      </c>
      <c r="C59" s="116">
        <v>0.03</v>
      </c>
      <c r="D59" s="116">
        <v>0.03</v>
      </c>
      <c r="E59" s="116">
        <v>0.02</v>
      </c>
      <c r="F59" s="116">
        <v>0.01</v>
      </c>
      <c r="G59" s="279">
        <v>0.97</v>
      </c>
    </row>
    <row r="60" spans="1:13" s="277" customFormat="1" ht="15.75" customHeight="1">
      <c r="A60" s="67" t="str">
        <f>Database!A33</f>
        <v>Kale</v>
      </c>
      <c r="B60" s="116">
        <v>0.03</v>
      </c>
      <c r="C60" s="116">
        <v>0.03</v>
      </c>
      <c r="D60" s="116">
        <v>0.03</v>
      </c>
      <c r="E60" s="116">
        <v>0.02</v>
      </c>
      <c r="F60" s="116">
        <v>0.01</v>
      </c>
      <c r="G60" s="279">
        <v>0.97</v>
      </c>
    </row>
    <row r="61" spans="1:13" ht="15.75" customHeight="1">
      <c r="A61" s="67" t="str">
        <f>Database!A34</f>
        <v>Leeks</v>
      </c>
      <c r="B61" s="116">
        <v>0.03</v>
      </c>
      <c r="C61" s="116">
        <v>0.03</v>
      </c>
      <c r="D61" s="116">
        <v>0.03</v>
      </c>
      <c r="E61" s="116">
        <v>0.02</v>
      </c>
      <c r="F61" s="116">
        <v>0.01</v>
      </c>
      <c r="G61" s="279">
        <v>0.97</v>
      </c>
    </row>
    <row r="62" spans="1:13" ht="15.75" customHeight="1">
      <c r="A62" s="67" t="str">
        <f>Database!A35</f>
        <v>Lettuce (Farm Urban Mix)</v>
      </c>
      <c r="B62" s="116">
        <v>0.03</v>
      </c>
      <c r="C62" s="116">
        <v>0.03</v>
      </c>
      <c r="D62" s="116">
        <v>0.03</v>
      </c>
      <c r="E62" s="116">
        <v>0.02</v>
      </c>
      <c r="F62" s="116">
        <v>0.01</v>
      </c>
      <c r="G62" s="279">
        <v>0.97</v>
      </c>
    </row>
    <row r="63" spans="1:13" ht="15.75" customHeight="1">
      <c r="A63" s="67" t="str">
        <f>Database!A36</f>
        <v>Lettuce - heads</v>
      </c>
      <c r="B63" s="116">
        <v>0.03</v>
      </c>
      <c r="C63" s="116">
        <v>0.03</v>
      </c>
      <c r="D63" s="116">
        <v>0.03</v>
      </c>
      <c r="E63" s="116">
        <v>0.02</v>
      </c>
      <c r="F63" s="116">
        <v>0.01</v>
      </c>
      <c r="G63" s="279">
        <v>0.97</v>
      </c>
    </row>
    <row r="64" spans="1:13" ht="15.75" customHeight="1">
      <c r="A64" s="67" t="str">
        <f>Database!A37</f>
        <v>Lettuce (butterhead)</v>
      </c>
      <c r="B64" s="116">
        <v>0.03</v>
      </c>
      <c r="C64" s="116">
        <v>0.03</v>
      </c>
      <c r="D64" s="116">
        <v>0.03</v>
      </c>
      <c r="E64" s="116">
        <v>0.02</v>
      </c>
      <c r="F64" s="116">
        <v>0.01</v>
      </c>
      <c r="G64" s="279">
        <v>0.97</v>
      </c>
    </row>
    <row r="65" spans="1:10" ht="15.75" customHeight="1">
      <c r="A65" s="67" t="str">
        <f>Database!A38</f>
        <v>Lettuce (iceberg)</v>
      </c>
      <c r="B65" s="116">
        <v>0.03</v>
      </c>
      <c r="C65" s="116">
        <v>0.03</v>
      </c>
      <c r="D65" s="116">
        <v>0.03</v>
      </c>
      <c r="E65" s="116">
        <v>0.02</v>
      </c>
      <c r="F65" s="116">
        <v>0.01</v>
      </c>
      <c r="G65" s="279">
        <v>0.97</v>
      </c>
      <c r="J65" s="67"/>
    </row>
    <row r="66" spans="1:10" ht="15.75" customHeight="1">
      <c r="A66" s="67" t="str">
        <f>Database!A39</f>
        <v>Lettuce (little-gem)</v>
      </c>
      <c r="B66" s="116">
        <v>0.03</v>
      </c>
      <c r="C66" s="116">
        <v>0.03</v>
      </c>
      <c r="D66" s="116">
        <v>0.03</v>
      </c>
      <c r="E66" s="116">
        <v>0.02</v>
      </c>
      <c r="F66" s="116">
        <v>0.01</v>
      </c>
      <c r="G66" s="279">
        <v>0.97</v>
      </c>
    </row>
    <row r="67" spans="1:10" ht="15.75" customHeight="1">
      <c r="A67" s="67" t="str">
        <f>Database!A40</f>
        <v>Lettuce (loose leaf)</v>
      </c>
      <c r="B67" s="116">
        <v>0.03</v>
      </c>
      <c r="C67" s="116">
        <v>0.03</v>
      </c>
      <c r="D67" s="116">
        <v>0.03</v>
      </c>
      <c r="E67" s="116">
        <v>0.02</v>
      </c>
      <c r="F67" s="116">
        <v>0.01</v>
      </c>
      <c r="G67" s="279">
        <v>0.97</v>
      </c>
    </row>
    <row r="68" spans="1:10" ht="15.75" customHeight="1">
      <c r="A68" s="67" t="str">
        <f>Database!A41</f>
        <v>Lettuce Romaine</v>
      </c>
      <c r="B68" s="116">
        <v>0.03</v>
      </c>
      <c r="C68" s="116">
        <v>0.03</v>
      </c>
      <c r="D68" s="116">
        <v>0.03</v>
      </c>
      <c r="E68" s="116">
        <v>0.02</v>
      </c>
      <c r="F68" s="116">
        <v>0.01</v>
      </c>
      <c r="G68" s="279">
        <v>0.97</v>
      </c>
    </row>
    <row r="69" spans="1:10" ht="15.75" customHeight="1">
      <c r="A69" s="67" t="str">
        <f>Database!A42</f>
        <v>Mesclun</v>
      </c>
      <c r="B69" s="116">
        <v>0.03</v>
      </c>
      <c r="C69" s="116">
        <v>0.03</v>
      </c>
      <c r="D69" s="116">
        <v>0.03</v>
      </c>
      <c r="E69" s="116">
        <v>0.02</v>
      </c>
      <c r="F69" s="116">
        <v>0.01</v>
      </c>
      <c r="G69" s="279">
        <v>0.97</v>
      </c>
    </row>
    <row r="70" spans="1:10" ht="15.75" customHeight="1">
      <c r="A70" s="67" t="str">
        <f>Database!A43</f>
        <v>Microgreens - Arugula</v>
      </c>
      <c r="B70" s="116">
        <v>0.03</v>
      </c>
      <c r="C70" s="116">
        <v>0.03</v>
      </c>
      <c r="D70" s="116">
        <v>0.03</v>
      </c>
      <c r="E70" s="116">
        <v>0.02</v>
      </c>
      <c r="F70" s="116">
        <v>0.01</v>
      </c>
      <c r="G70" s="279">
        <v>0.97</v>
      </c>
    </row>
    <row r="71" spans="1:10" ht="15.75" customHeight="1">
      <c r="A71" s="67" t="str">
        <f>Database!A44</f>
        <v>Microgreens - Broccoli</v>
      </c>
      <c r="B71" s="116">
        <v>0.03</v>
      </c>
      <c r="C71" s="116">
        <v>0.03</v>
      </c>
      <c r="D71" s="116">
        <v>0.03</v>
      </c>
      <c r="E71" s="116">
        <v>0.02</v>
      </c>
      <c r="F71" s="116">
        <v>0.01</v>
      </c>
      <c r="G71" s="279">
        <v>0.97</v>
      </c>
    </row>
    <row r="72" spans="1:10" ht="15.75" customHeight="1">
      <c r="A72" s="67" t="str">
        <f>Database!A45</f>
        <v>Microgreens - Bull's Blood Beet</v>
      </c>
      <c r="B72" s="116">
        <v>0.03</v>
      </c>
      <c r="C72" s="116">
        <v>0.03</v>
      </c>
      <c r="D72" s="116">
        <v>0.03</v>
      </c>
      <c r="E72" s="116">
        <v>0.02</v>
      </c>
      <c r="F72" s="116">
        <v>0.01</v>
      </c>
      <c r="G72" s="279">
        <v>0.97</v>
      </c>
    </row>
    <row r="73" spans="1:10" ht="15.75" customHeight="1">
      <c r="A73" s="67" t="str">
        <f>Database!A46</f>
        <v>Microgreens - Buttercrunch Lettuce</v>
      </c>
      <c r="B73" s="116">
        <v>0.03</v>
      </c>
      <c r="C73" s="116">
        <v>0.03</v>
      </c>
      <c r="D73" s="116">
        <v>0.03</v>
      </c>
      <c r="E73" s="116">
        <v>0.02</v>
      </c>
      <c r="F73" s="116">
        <v>0.01</v>
      </c>
      <c r="G73" s="279">
        <v>0.97</v>
      </c>
    </row>
    <row r="74" spans="1:10" ht="15.75" customHeight="1">
      <c r="A74" s="67" t="str">
        <f>Database!A47</f>
        <v>Microgreens - Carrot</v>
      </c>
      <c r="B74" s="116">
        <v>0.03</v>
      </c>
      <c r="C74" s="116">
        <v>0.03</v>
      </c>
      <c r="D74" s="116">
        <v>0.03</v>
      </c>
      <c r="E74" s="116">
        <v>0.02</v>
      </c>
      <c r="F74" s="116">
        <v>0.01</v>
      </c>
      <c r="G74" s="279">
        <v>0.97</v>
      </c>
    </row>
    <row r="75" spans="1:10" ht="15.75" customHeight="1">
      <c r="A75" s="67" t="str">
        <f>Database!A48</f>
        <v>Microgreens - Daikon Radish</v>
      </c>
      <c r="B75" s="116">
        <v>0.03</v>
      </c>
      <c r="C75" s="116">
        <v>0.03</v>
      </c>
      <c r="D75" s="116">
        <v>0.03</v>
      </c>
      <c r="E75" s="116">
        <v>0.02</v>
      </c>
      <c r="F75" s="116">
        <v>0.01</v>
      </c>
      <c r="G75" s="279">
        <v>0.97</v>
      </c>
    </row>
    <row r="76" spans="1:10" ht="15.75" customHeight="1">
      <c r="A76" s="67" t="str">
        <f>Database!A49</f>
        <v>Microgreens - Dwarf Blue Curled Skotch kale</v>
      </c>
      <c r="B76" s="116">
        <v>0.03</v>
      </c>
      <c r="C76" s="116">
        <v>0.03</v>
      </c>
      <c r="D76" s="116">
        <v>0.03</v>
      </c>
      <c r="E76" s="116">
        <v>0.02</v>
      </c>
      <c r="F76" s="116">
        <v>0.01</v>
      </c>
      <c r="G76" s="279">
        <v>0.97</v>
      </c>
    </row>
    <row r="77" spans="1:10" ht="15.75" customHeight="1">
      <c r="A77" s="67" t="str">
        <f>Database!A50</f>
        <v>Microgreens - Kale</v>
      </c>
      <c r="B77" s="116">
        <v>0.03</v>
      </c>
      <c r="C77" s="116">
        <v>0.03</v>
      </c>
      <c r="D77" s="116">
        <v>0.03</v>
      </c>
      <c r="E77" s="116">
        <v>0.02</v>
      </c>
      <c r="F77" s="116">
        <v>0.01</v>
      </c>
      <c r="G77" s="279">
        <v>0.97</v>
      </c>
    </row>
    <row r="78" spans="1:10" ht="15.75" customHeight="1">
      <c r="A78" s="67" t="str">
        <f>Database!A51</f>
        <v>Microgreens - Lacinato Kale</v>
      </c>
      <c r="B78" s="116">
        <v>0.03</v>
      </c>
      <c r="C78" s="116">
        <v>0.03</v>
      </c>
      <c r="D78" s="116">
        <v>0.03</v>
      </c>
      <c r="E78" s="116">
        <v>0.02</v>
      </c>
      <c r="F78" s="116">
        <v>0.01</v>
      </c>
      <c r="G78" s="279">
        <v>0.97</v>
      </c>
    </row>
    <row r="79" spans="1:10" ht="15.75" customHeight="1">
      <c r="A79" s="67" t="str">
        <f>Database!A52</f>
        <v>Microgreens - Mizuna</v>
      </c>
      <c r="B79" s="116">
        <v>0.03</v>
      </c>
      <c r="C79" s="116">
        <v>0.03</v>
      </c>
      <c r="D79" s="116">
        <v>0.03</v>
      </c>
      <c r="E79" s="116">
        <v>0.02</v>
      </c>
      <c r="F79" s="116">
        <v>0.01</v>
      </c>
      <c r="G79" s="279">
        <v>0.97</v>
      </c>
    </row>
    <row r="80" spans="1:10" ht="15.75" customHeight="1">
      <c r="A80" s="67" t="str">
        <f>Database!A53</f>
        <v>Microgreens - Mustard</v>
      </c>
      <c r="B80" s="116">
        <v>0.03</v>
      </c>
      <c r="C80" s="116">
        <v>0.03</v>
      </c>
      <c r="D80" s="116">
        <v>0.03</v>
      </c>
      <c r="E80" s="116">
        <v>0.02</v>
      </c>
      <c r="F80" s="116">
        <v>0.01</v>
      </c>
      <c r="G80" s="279">
        <v>0.97</v>
      </c>
    </row>
    <row r="81" spans="1:7" ht="15.75" customHeight="1">
      <c r="A81" s="67" t="str">
        <f>Database!A54</f>
        <v>Microgreens - Mustard greens</v>
      </c>
      <c r="B81" s="116">
        <v>0.03</v>
      </c>
      <c r="C81" s="116">
        <v>0.03</v>
      </c>
      <c r="D81" s="116">
        <v>0.03</v>
      </c>
      <c r="E81" s="116">
        <v>0.02</v>
      </c>
      <c r="F81" s="116">
        <v>0.01</v>
      </c>
      <c r="G81" s="279">
        <v>0.97</v>
      </c>
    </row>
    <row r="82" spans="1:7" ht="15.75" customHeight="1">
      <c r="A82" s="67" t="str">
        <f>Database!A55</f>
        <v>Microgreens - Parsley</v>
      </c>
      <c r="B82" s="116">
        <v>0.03</v>
      </c>
      <c r="C82" s="116">
        <v>0.03</v>
      </c>
      <c r="D82" s="116">
        <v>0.03</v>
      </c>
      <c r="E82" s="116">
        <v>0.02</v>
      </c>
      <c r="F82" s="116">
        <v>0.01</v>
      </c>
      <c r="G82" s="279">
        <v>0.97</v>
      </c>
    </row>
    <row r="83" spans="1:7" ht="15.75" customHeight="1">
      <c r="A83" s="67" t="str">
        <f>Database!A56</f>
        <v>Microgreens - Peashoots</v>
      </c>
      <c r="B83" s="116">
        <v>0.03</v>
      </c>
      <c r="C83" s="116">
        <v>0.03</v>
      </c>
      <c r="D83" s="116">
        <v>0.03</v>
      </c>
      <c r="E83" s="116">
        <v>0.02</v>
      </c>
      <c r="F83" s="116">
        <v>0.01</v>
      </c>
      <c r="G83" s="279">
        <v>0.97</v>
      </c>
    </row>
    <row r="84" spans="1:7" ht="15.75" customHeight="1">
      <c r="A84" s="67" t="str">
        <f>Database!A57</f>
        <v>Microgreens - Radish</v>
      </c>
      <c r="B84" s="116">
        <v>0.03</v>
      </c>
      <c r="C84" s="116">
        <v>0.03</v>
      </c>
      <c r="D84" s="116">
        <v>0.03</v>
      </c>
      <c r="E84" s="116">
        <v>0.02</v>
      </c>
      <c r="F84" s="116">
        <v>0.01</v>
      </c>
      <c r="G84" s="279">
        <v>0.97</v>
      </c>
    </row>
    <row r="85" spans="1:7" ht="15.75" customHeight="1">
      <c r="A85" s="67" t="str">
        <f>Database!A58</f>
        <v>Microgreens - Red acre cabbage</v>
      </c>
      <c r="B85" s="116">
        <v>0.03</v>
      </c>
      <c r="C85" s="116">
        <v>0.03</v>
      </c>
      <c r="D85" s="116">
        <v>0.03</v>
      </c>
      <c r="E85" s="116">
        <v>0.02</v>
      </c>
      <c r="F85" s="116">
        <v>0.01</v>
      </c>
      <c r="G85" s="279">
        <v>0.97</v>
      </c>
    </row>
    <row r="86" spans="1:7" ht="15.75" customHeight="1">
      <c r="A86" s="67" t="str">
        <f>Database!A59</f>
        <v>Microgreens - Red Russian Kale</v>
      </c>
      <c r="B86" s="116">
        <v>0.03</v>
      </c>
      <c r="C86" s="116">
        <v>0.03</v>
      </c>
      <c r="D86" s="116">
        <v>0.03</v>
      </c>
      <c r="E86" s="116">
        <v>0.02</v>
      </c>
      <c r="F86" s="116">
        <v>0.01</v>
      </c>
      <c r="G86" s="279">
        <v>0.97</v>
      </c>
    </row>
    <row r="87" spans="1:7" ht="15.75" customHeight="1">
      <c r="A87" s="67" t="str">
        <f>Database!A60</f>
        <v>Microgreens - Red Velvet Lettuce</v>
      </c>
      <c r="B87" s="116">
        <v>0.03</v>
      </c>
      <c r="C87" s="116">
        <v>0.03</v>
      </c>
      <c r="D87" s="116">
        <v>0.03</v>
      </c>
      <c r="E87" s="116">
        <v>0.02</v>
      </c>
      <c r="F87" s="116">
        <v>0.01</v>
      </c>
      <c r="G87" s="279">
        <v>0.97</v>
      </c>
    </row>
    <row r="88" spans="1:7" ht="15.75" customHeight="1">
      <c r="A88" s="67" t="str">
        <f>Database!A61</f>
        <v>Microgreens - Scallion</v>
      </c>
      <c r="B88" s="116">
        <v>0.03</v>
      </c>
      <c r="C88" s="116">
        <v>0.03</v>
      </c>
      <c r="D88" s="116">
        <v>0.03</v>
      </c>
      <c r="E88" s="116">
        <v>0.02</v>
      </c>
      <c r="F88" s="116">
        <v>0.01</v>
      </c>
      <c r="G88" s="279">
        <v>0.97</v>
      </c>
    </row>
    <row r="89" spans="1:7" ht="15.75" customHeight="1">
      <c r="A89" s="67" t="str">
        <f>Database!A62</f>
        <v>Microgreens - Sorrell</v>
      </c>
      <c r="B89" s="116">
        <v>0.03</v>
      </c>
      <c r="C89" s="116">
        <v>0.03</v>
      </c>
      <c r="D89" s="116">
        <v>0.03</v>
      </c>
      <c r="E89" s="116">
        <v>0.02</v>
      </c>
      <c r="F89" s="116">
        <v>0.01</v>
      </c>
      <c r="G89" s="279">
        <v>0.97</v>
      </c>
    </row>
    <row r="90" spans="1:7" ht="15.75" customHeight="1">
      <c r="A90" s="67" t="str">
        <f>Database!A63</f>
        <v>Microgreens - Swiss Chard</v>
      </c>
      <c r="B90" s="116">
        <v>0.03</v>
      </c>
      <c r="C90" s="116">
        <v>0.03</v>
      </c>
      <c r="D90" s="116">
        <v>0.03</v>
      </c>
      <c r="E90" s="116">
        <v>0.02</v>
      </c>
      <c r="F90" s="116">
        <v>0.01</v>
      </c>
      <c r="G90" s="279">
        <v>0.97</v>
      </c>
    </row>
    <row r="91" spans="1:7" ht="15.75" customHeight="1">
      <c r="A91" s="67" t="str">
        <f>Database!A64</f>
        <v>Microgreens - Tatsoi</v>
      </c>
      <c r="B91" s="116">
        <v>0.03</v>
      </c>
      <c r="C91" s="116">
        <v>0.03</v>
      </c>
      <c r="D91" s="116">
        <v>0.03</v>
      </c>
      <c r="E91" s="116">
        <v>0.02</v>
      </c>
      <c r="F91" s="116">
        <v>0.01</v>
      </c>
      <c r="G91" s="279">
        <v>0.97</v>
      </c>
    </row>
    <row r="92" spans="1:7" ht="15.75" customHeight="1">
      <c r="A92" s="67" t="str">
        <f>Database!A65</f>
        <v>Microgreens - Watercress</v>
      </c>
      <c r="B92" s="116">
        <v>0.03</v>
      </c>
      <c r="C92" s="116">
        <v>0.03</v>
      </c>
      <c r="D92" s="116">
        <v>0.03</v>
      </c>
      <c r="E92" s="116">
        <v>0.02</v>
      </c>
      <c r="F92" s="116">
        <v>0.01</v>
      </c>
      <c r="G92" s="279">
        <v>0.97</v>
      </c>
    </row>
    <row r="93" spans="1:7" ht="15.75" customHeight="1">
      <c r="A93" s="67" t="str">
        <f>Database!A66</f>
        <v>Mustard Greens</v>
      </c>
      <c r="B93" s="116">
        <v>0.03</v>
      </c>
      <c r="C93" s="116">
        <v>0.03</v>
      </c>
      <c r="D93" s="116">
        <v>0.03</v>
      </c>
      <c r="E93" s="116">
        <v>0.02</v>
      </c>
      <c r="F93" s="116">
        <v>0.01</v>
      </c>
      <c r="G93" s="279">
        <v>0.97</v>
      </c>
    </row>
    <row r="94" spans="1:7" ht="15.75" customHeight="1">
      <c r="A94" s="67" t="str">
        <f>Database!A67</f>
        <v>None</v>
      </c>
      <c r="B94" s="116">
        <v>0.03</v>
      </c>
      <c r="C94" s="116">
        <v>0.03</v>
      </c>
      <c r="D94" s="116">
        <v>0.03</v>
      </c>
      <c r="E94" s="116">
        <v>0.02</v>
      </c>
      <c r="F94" s="116">
        <v>0.01</v>
      </c>
      <c r="G94" s="279">
        <v>0.97</v>
      </c>
    </row>
    <row r="95" spans="1:7" ht="15.75" customHeight="1">
      <c r="A95" s="67" t="str">
        <f>Database!A68</f>
        <v>Oregano</v>
      </c>
      <c r="B95" s="116">
        <v>0.03</v>
      </c>
      <c r="C95" s="116">
        <v>0.03</v>
      </c>
      <c r="D95" s="116">
        <v>0.03</v>
      </c>
      <c r="E95" s="116">
        <v>0.02</v>
      </c>
      <c r="F95" s="116">
        <v>0.01</v>
      </c>
      <c r="G95" s="279">
        <v>0.97</v>
      </c>
    </row>
    <row r="96" spans="1:7" ht="15.75" customHeight="1">
      <c r="A96" s="67" t="str">
        <f>Database!A69</f>
        <v>Papaya - Hawaiian</v>
      </c>
      <c r="B96" s="116">
        <v>0.03</v>
      </c>
      <c r="C96" s="116">
        <v>0.03</v>
      </c>
      <c r="D96" s="116">
        <v>0.03</v>
      </c>
      <c r="E96" s="116">
        <v>0.02</v>
      </c>
      <c r="F96" s="116">
        <v>0.01</v>
      </c>
      <c r="G96" s="279">
        <v>0.97</v>
      </c>
    </row>
    <row r="97" spans="1:7" ht="15.75" customHeight="1">
      <c r="A97" s="67" t="str">
        <f>Database!A70</f>
        <v>Papaya - Maradol</v>
      </c>
      <c r="B97" s="116">
        <v>0.03</v>
      </c>
      <c r="C97" s="116">
        <v>0.03</v>
      </c>
      <c r="D97" s="116">
        <v>0.03</v>
      </c>
      <c r="E97" s="116">
        <v>0.02</v>
      </c>
      <c r="F97" s="116">
        <v>0.01</v>
      </c>
      <c r="G97" s="279">
        <v>0.97</v>
      </c>
    </row>
    <row r="98" spans="1:7" ht="15.75" customHeight="1">
      <c r="A98" s="67" t="str">
        <f>Database!A71</f>
        <v>Parsley</v>
      </c>
      <c r="B98" s="116">
        <v>0.03</v>
      </c>
      <c r="C98" s="116">
        <v>0.03</v>
      </c>
      <c r="D98" s="116">
        <v>0.03</v>
      </c>
      <c r="E98" s="116">
        <v>0.02</v>
      </c>
      <c r="F98" s="116">
        <v>0.01</v>
      </c>
      <c r="G98" s="279">
        <v>0.97</v>
      </c>
    </row>
    <row r="99" spans="1:7" ht="15.75" customHeight="1">
      <c r="A99" s="67" t="str">
        <f>Database!A72</f>
        <v>Pepperbell</v>
      </c>
      <c r="B99" s="116">
        <v>0.03</v>
      </c>
      <c r="C99" s="116">
        <v>0.03</v>
      </c>
      <c r="D99" s="116">
        <v>0.03</v>
      </c>
      <c r="E99" s="116">
        <v>0.02</v>
      </c>
      <c r="F99" s="116">
        <v>0.01</v>
      </c>
      <c r="G99" s="279">
        <v>0.97</v>
      </c>
    </row>
    <row r="100" spans="1:7" ht="15.75" customHeight="1">
      <c r="A100" s="67" t="str">
        <f>Database!A73</f>
        <v>Peppermint</v>
      </c>
      <c r="B100" s="116">
        <v>0.03</v>
      </c>
      <c r="C100" s="116">
        <v>0.03</v>
      </c>
      <c r="D100" s="116">
        <v>0.03</v>
      </c>
      <c r="E100" s="116">
        <v>0.02</v>
      </c>
      <c r="F100" s="116">
        <v>0.01</v>
      </c>
      <c r="G100" s="279">
        <v>0.97</v>
      </c>
    </row>
    <row r="101" spans="1:7" ht="15.75" customHeight="1">
      <c r="A101" s="67" t="str">
        <f>Database!A74</f>
        <v>Raspberry</v>
      </c>
      <c r="B101" s="116">
        <v>0.03</v>
      </c>
      <c r="C101" s="116">
        <v>0.03</v>
      </c>
      <c r="D101" s="116">
        <v>0.03</v>
      </c>
      <c r="E101" s="116">
        <v>0.02</v>
      </c>
      <c r="F101" s="116">
        <v>0.01</v>
      </c>
      <c r="G101" s="279">
        <v>0.97</v>
      </c>
    </row>
    <row r="102" spans="1:7" ht="15.75" customHeight="1">
      <c r="A102" s="67" t="str">
        <f>Database!A75</f>
        <v>Rosemary</v>
      </c>
      <c r="B102" s="116">
        <v>0.03</v>
      </c>
      <c r="C102" s="116">
        <v>0.03</v>
      </c>
      <c r="D102" s="116">
        <v>0.03</v>
      </c>
      <c r="E102" s="116">
        <v>0.02</v>
      </c>
      <c r="F102" s="116">
        <v>0.01</v>
      </c>
      <c r="G102" s="279">
        <v>0.97</v>
      </c>
    </row>
    <row r="103" spans="1:7" ht="15.75" customHeight="1">
      <c r="A103" s="67" t="str">
        <f>Database!A76</f>
        <v>Sage</v>
      </c>
      <c r="B103" s="116">
        <v>0.03</v>
      </c>
      <c r="C103" s="116">
        <v>0.03</v>
      </c>
      <c r="D103" s="116">
        <v>0.03</v>
      </c>
      <c r="E103" s="116">
        <v>0.02</v>
      </c>
      <c r="F103" s="116">
        <v>0.01</v>
      </c>
      <c r="G103" s="279">
        <v>0.97</v>
      </c>
    </row>
    <row r="104" spans="1:7" ht="15.75" customHeight="1">
      <c r="A104" s="67" t="str">
        <f>Database!A77</f>
        <v>Salad Mix - Baby Greens</v>
      </c>
      <c r="B104" s="116">
        <v>0.03</v>
      </c>
      <c r="C104" s="116">
        <v>0.03</v>
      </c>
      <c r="D104" s="116">
        <v>0.03</v>
      </c>
      <c r="E104" s="116">
        <v>0.02</v>
      </c>
      <c r="F104" s="116">
        <v>0.01</v>
      </c>
      <c r="G104" s="279">
        <v>0.97</v>
      </c>
    </row>
    <row r="105" spans="1:7" ht="15.75" customHeight="1">
      <c r="A105" s="67" t="str">
        <f>Database!A78</f>
        <v>Scallion</v>
      </c>
      <c r="B105" s="116">
        <v>0.03</v>
      </c>
      <c r="C105" s="116">
        <v>0.03</v>
      </c>
      <c r="D105" s="116">
        <v>0.03</v>
      </c>
      <c r="E105" s="116">
        <v>0.02</v>
      </c>
      <c r="F105" s="116">
        <v>0.01</v>
      </c>
      <c r="G105" s="279">
        <v>0.97</v>
      </c>
    </row>
    <row r="106" spans="1:7" ht="15.75" customHeight="1">
      <c r="A106" s="67" t="str">
        <f>Database!A79</f>
        <v>Shallot</v>
      </c>
      <c r="B106" s="116">
        <v>0.03</v>
      </c>
      <c r="C106" s="116">
        <v>0.03</v>
      </c>
      <c r="D106" s="116">
        <v>0.03</v>
      </c>
      <c r="E106" s="116">
        <v>0.02</v>
      </c>
      <c r="F106" s="116">
        <v>0.01</v>
      </c>
      <c r="G106" s="279">
        <v>0.97</v>
      </c>
    </row>
    <row r="107" spans="1:7" ht="15.75" customHeight="1">
      <c r="A107" s="67" t="str">
        <f>Database!A80</f>
        <v>Sorrel -Green</v>
      </c>
      <c r="B107" s="116">
        <v>0.03</v>
      </c>
      <c r="C107" s="116">
        <v>0.03</v>
      </c>
      <c r="D107" s="116">
        <v>0.03</v>
      </c>
      <c r="E107" s="116">
        <v>0.02</v>
      </c>
      <c r="F107" s="116">
        <v>0.01</v>
      </c>
      <c r="G107" s="279">
        <v>0.97</v>
      </c>
    </row>
    <row r="108" spans="1:7" ht="15.75" customHeight="1">
      <c r="A108" s="67" t="str">
        <f>Database!A81</f>
        <v>Spearmint</v>
      </c>
      <c r="B108" s="116">
        <v>0.03</v>
      </c>
      <c r="C108" s="116">
        <v>0.03</v>
      </c>
      <c r="D108" s="116">
        <v>0.03</v>
      </c>
      <c r="E108" s="116">
        <v>0.02</v>
      </c>
      <c r="F108" s="116">
        <v>0.01</v>
      </c>
      <c r="G108" s="279">
        <v>0.97</v>
      </c>
    </row>
    <row r="109" spans="1:7" ht="15.75" customHeight="1">
      <c r="A109" s="67" t="str">
        <f>Database!A82</f>
        <v>Spinach</v>
      </c>
      <c r="B109" s="116">
        <v>0.03</v>
      </c>
      <c r="C109" s="116">
        <v>0.03</v>
      </c>
      <c r="D109" s="116">
        <v>0.03</v>
      </c>
      <c r="E109" s="116">
        <v>0.02</v>
      </c>
      <c r="F109" s="116">
        <v>0.01</v>
      </c>
      <c r="G109" s="279">
        <v>0.97</v>
      </c>
    </row>
    <row r="110" spans="1:7" ht="15.75" customHeight="1">
      <c r="A110" s="67" t="str">
        <f>Database!A83</f>
        <v>Spring Onion</v>
      </c>
      <c r="B110" s="116">
        <v>0.03</v>
      </c>
      <c r="C110" s="116">
        <v>0.03</v>
      </c>
      <c r="D110" s="116">
        <v>0.03</v>
      </c>
      <c r="E110" s="116">
        <v>0.02</v>
      </c>
      <c r="F110" s="116">
        <v>0.01</v>
      </c>
      <c r="G110" s="279">
        <v>0.97</v>
      </c>
    </row>
    <row r="111" spans="1:7" ht="15.75" customHeight="1">
      <c r="A111" s="67" t="str">
        <f>Database!A84</f>
        <v>Stevia</v>
      </c>
      <c r="B111" s="116">
        <v>0.03</v>
      </c>
      <c r="C111" s="116">
        <v>0.03</v>
      </c>
      <c r="D111" s="116">
        <v>0.03</v>
      </c>
      <c r="E111" s="116">
        <v>0.02</v>
      </c>
      <c r="F111" s="116">
        <v>0.01</v>
      </c>
      <c r="G111" s="279">
        <v>0.97</v>
      </c>
    </row>
    <row r="112" spans="1:7" ht="15.75" customHeight="1">
      <c r="A112" s="67" t="str">
        <f>Database!A85</f>
        <v>Strawberry</v>
      </c>
      <c r="B112" s="116">
        <v>0.03</v>
      </c>
      <c r="C112" s="116">
        <v>0.03</v>
      </c>
      <c r="D112" s="116">
        <v>0.03</v>
      </c>
      <c r="E112" s="116">
        <v>0.02</v>
      </c>
      <c r="F112" s="116">
        <v>0.01</v>
      </c>
      <c r="G112" s="279">
        <v>0.97</v>
      </c>
    </row>
    <row r="113" spans="1:7" ht="15.75" customHeight="1">
      <c r="A113" s="67" t="str">
        <f>Database!A86</f>
        <v>Sweet Pepper</v>
      </c>
      <c r="B113" s="116">
        <v>0.03</v>
      </c>
      <c r="C113" s="116">
        <v>0.03</v>
      </c>
      <c r="D113" s="116">
        <v>0.03</v>
      </c>
      <c r="E113" s="116">
        <v>0.02</v>
      </c>
      <c r="F113" s="116">
        <v>0.01</v>
      </c>
      <c r="G113" s="279">
        <v>0.97</v>
      </c>
    </row>
    <row r="114" spans="1:7" ht="15.75" customHeight="1">
      <c r="A114" s="67" t="str">
        <f>Database!A87</f>
        <v>Tarragon</v>
      </c>
      <c r="B114" s="116">
        <v>0.03</v>
      </c>
      <c r="C114" s="116">
        <v>0.03</v>
      </c>
      <c r="D114" s="116">
        <v>0.03</v>
      </c>
      <c r="E114" s="116">
        <v>0.02</v>
      </c>
      <c r="F114" s="116">
        <v>0.01</v>
      </c>
      <c r="G114" s="279">
        <v>0.97</v>
      </c>
    </row>
    <row r="115" spans="1:7" ht="15.75" customHeight="1">
      <c r="A115" s="67" t="str">
        <f>Database!A88</f>
        <v>Thyme</v>
      </c>
      <c r="B115" s="116">
        <v>0.03</v>
      </c>
      <c r="C115" s="116">
        <v>0.03</v>
      </c>
      <c r="D115" s="116">
        <v>0.03</v>
      </c>
      <c r="E115" s="116">
        <v>0.02</v>
      </c>
      <c r="F115" s="116">
        <v>0.01</v>
      </c>
      <c r="G115" s="279">
        <v>0.97</v>
      </c>
    </row>
    <row r="116" spans="1:7" ht="15.75" customHeight="1">
      <c r="A116" s="67" t="str">
        <f>Database!A89</f>
        <v>Tomato - Cherry</v>
      </c>
      <c r="B116" s="116">
        <v>0.03</v>
      </c>
      <c r="C116" s="116">
        <v>0.03</v>
      </c>
      <c r="D116" s="116">
        <v>0.03</v>
      </c>
      <c r="E116" s="116">
        <v>0.02</v>
      </c>
      <c r="F116" s="116">
        <v>0.01</v>
      </c>
      <c r="G116" s="279">
        <v>0.97</v>
      </c>
    </row>
    <row r="117" spans="1:7" ht="15.75" customHeight="1">
      <c r="A117" s="67" t="str">
        <f>Database!A90</f>
        <v>Tomatoes Salad</v>
      </c>
      <c r="B117" s="116">
        <v>0.03</v>
      </c>
      <c r="C117" s="116">
        <v>0.03</v>
      </c>
      <c r="D117" s="116">
        <v>0.03</v>
      </c>
      <c r="E117" s="116">
        <v>0.02</v>
      </c>
      <c r="F117" s="116">
        <v>0.01</v>
      </c>
      <c r="G117" s="279">
        <v>0.97</v>
      </c>
    </row>
    <row r="118" spans="1:7" ht="15.75" customHeight="1">
      <c r="A118" s="67" t="str">
        <f>Database!A91</f>
        <v>Turnips</v>
      </c>
      <c r="B118" s="116">
        <v>0.03</v>
      </c>
      <c r="C118" s="116">
        <v>0.03</v>
      </c>
      <c r="D118" s="116">
        <v>0.03</v>
      </c>
      <c r="E118" s="116">
        <v>0.02</v>
      </c>
      <c r="F118" s="116">
        <v>0.01</v>
      </c>
      <c r="G118" s="279">
        <v>0.97</v>
      </c>
    </row>
    <row r="119" spans="1:7" ht="15.75" customHeight="1">
      <c r="A119" s="67" t="str">
        <f>Database!A92</f>
        <v>Watercress</v>
      </c>
      <c r="B119" s="116">
        <v>0.03</v>
      </c>
      <c r="C119" s="116">
        <v>0.03</v>
      </c>
      <c r="D119" s="116">
        <v>0.03</v>
      </c>
      <c r="E119" s="116">
        <v>0.02</v>
      </c>
      <c r="F119" s="116">
        <v>0.01</v>
      </c>
      <c r="G119" s="279">
        <v>0.97</v>
      </c>
    </row>
    <row r="120" spans="1:7" ht="15.75" customHeight="1">
      <c r="A120" s="67" t="str">
        <f>Database!A93</f>
        <v>Watermelon - mini</v>
      </c>
      <c r="B120" s="116">
        <v>0.03</v>
      </c>
      <c r="C120" s="116">
        <v>0.03</v>
      </c>
      <c r="D120" s="116">
        <v>0.03</v>
      </c>
      <c r="E120" s="116">
        <v>0.02</v>
      </c>
      <c r="F120" s="116">
        <v>0.01</v>
      </c>
      <c r="G120" s="279">
        <v>0.97</v>
      </c>
    </row>
    <row r="121" spans="1:7" ht="15.75" customHeight="1">
      <c r="A121" s="67" t="str">
        <f>Database!A94</f>
        <v>Watermelon - standard</v>
      </c>
      <c r="B121" s="116">
        <v>0.03</v>
      </c>
      <c r="C121" s="116">
        <v>0.03</v>
      </c>
      <c r="D121" s="116">
        <v>0.03</v>
      </c>
      <c r="E121" s="116">
        <v>0.02</v>
      </c>
      <c r="F121" s="116">
        <v>0.01</v>
      </c>
      <c r="G121" s="279">
        <v>0.97</v>
      </c>
    </row>
    <row r="122" spans="1:7" ht="15.75" customHeight="1">
      <c r="A122" s="67"/>
    </row>
    <row r="123" spans="1:7" ht="15.75" customHeight="1">
      <c r="A123" s="67"/>
    </row>
    <row r="124" spans="1:7" ht="15.75" customHeight="1">
      <c r="A124" s="67"/>
    </row>
    <row r="125" spans="1:7" ht="15.75" customHeight="1">
      <c r="A125" s="67"/>
    </row>
    <row r="126" spans="1:7" ht="15.75" customHeight="1">
      <c r="A126" s="67"/>
    </row>
    <row r="127" spans="1:7" ht="15.75" customHeight="1">
      <c r="A127" s="67"/>
    </row>
    <row r="128" spans="1:7" ht="15.75" customHeight="1">
      <c r="A128" s="67"/>
    </row>
    <row r="129" spans="1:1" ht="15.75" customHeight="1">
      <c r="A129" s="67"/>
    </row>
    <row r="130" spans="1:1" ht="15.75" customHeight="1">
      <c r="A130" s="67"/>
    </row>
    <row r="131" spans="1:1" ht="15.75" customHeight="1">
      <c r="A131" s="67"/>
    </row>
  </sheetData>
  <mergeCells count="2">
    <mergeCell ref="B33:F33"/>
    <mergeCell ref="B21:F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4E3B-C1AC-D346-B4EB-4AAE890C9158}">
  <dimension ref="A1:AA199"/>
  <sheetViews>
    <sheetView tabSelected="1" topLeftCell="A7" zoomScale="99" workbookViewId="0">
      <pane xSplit="1" topLeftCell="D1" activePane="topRight" state="frozen"/>
      <selection pane="topRight" activeCell="A96" sqref="A96:I107"/>
    </sheetView>
  </sheetViews>
  <sheetFormatPr baseColWidth="10" defaultRowHeight="16"/>
  <cols>
    <col min="1" max="1" width="30.6640625" style="30" customWidth="1"/>
    <col min="2" max="2" width="14.83203125" style="30" bestFit="1" customWidth="1"/>
    <col min="3" max="3" width="25.83203125" style="30" bestFit="1" customWidth="1"/>
    <col min="4" max="4" width="24.6640625" style="30" bestFit="1" customWidth="1"/>
    <col min="5" max="5" width="26" style="30" bestFit="1" customWidth="1"/>
    <col min="6" max="6" width="12.1640625" style="30" bestFit="1" customWidth="1"/>
    <col min="7" max="7" width="16.1640625" style="30" bestFit="1" customWidth="1"/>
    <col min="8" max="8" width="29.6640625" style="30" customWidth="1"/>
    <col min="9" max="9" width="17.33203125" style="30" customWidth="1"/>
    <col min="10" max="16384" width="10.83203125" style="30"/>
  </cols>
  <sheetData>
    <row r="1" spans="1:27">
      <c r="A1" s="31" t="s">
        <v>322</v>
      </c>
    </row>
    <row r="2" spans="1:27">
      <c r="A2" s="64" t="s">
        <v>171</v>
      </c>
      <c r="B2" s="65"/>
      <c r="C2" s="65"/>
      <c r="D2" s="65"/>
      <c r="E2" s="65"/>
      <c r="F2" s="65"/>
      <c r="G2" s="65"/>
      <c r="H2" s="65"/>
      <c r="I2" s="65"/>
      <c r="J2" s="65"/>
      <c r="K2" s="65"/>
      <c r="L2" s="65"/>
      <c r="M2" s="65"/>
      <c r="N2" s="65"/>
      <c r="O2" s="65"/>
      <c r="P2" s="65"/>
      <c r="Q2" s="65"/>
    </row>
    <row r="3" spans="1:27">
      <c r="A3" s="62" t="s">
        <v>133</v>
      </c>
      <c r="B3" s="63"/>
      <c r="C3" s="63"/>
      <c r="D3" s="63"/>
      <c r="E3" s="63"/>
      <c r="F3" s="63"/>
      <c r="G3" s="63"/>
      <c r="H3" s="63"/>
      <c r="I3" s="63"/>
      <c r="J3" s="63"/>
      <c r="K3" s="63"/>
      <c r="L3" s="63"/>
      <c r="M3" s="63"/>
      <c r="N3" s="63"/>
      <c r="O3" s="63"/>
      <c r="P3" s="63"/>
      <c r="Q3" s="63"/>
    </row>
    <row r="4" spans="1:27">
      <c r="A4" s="71" t="s">
        <v>201</v>
      </c>
      <c r="B4" s="72"/>
      <c r="C4" s="72"/>
      <c r="D4" s="72"/>
      <c r="E4" s="72"/>
      <c r="F4" s="72"/>
      <c r="G4" s="72"/>
      <c r="H4" s="72"/>
      <c r="I4" s="72"/>
      <c r="J4" s="72"/>
      <c r="K4" s="72"/>
      <c r="L4" s="72"/>
      <c r="M4" s="72"/>
      <c r="N4" s="72"/>
      <c r="O4" s="72"/>
      <c r="P4" s="72"/>
      <c r="Q4" s="72"/>
    </row>
    <row r="5" spans="1:27">
      <c r="A5" s="167" t="s">
        <v>319</v>
      </c>
      <c r="B5" s="138"/>
      <c r="C5" s="138"/>
      <c r="D5" s="138"/>
      <c r="E5" s="138"/>
      <c r="F5" s="138"/>
      <c r="G5" s="138"/>
      <c r="H5" s="138"/>
      <c r="I5" s="138"/>
      <c r="J5" s="138"/>
      <c r="K5" s="138"/>
      <c r="L5" s="138"/>
      <c r="M5" s="138"/>
      <c r="N5" s="138"/>
      <c r="O5" s="138"/>
      <c r="P5" s="138"/>
      <c r="Q5" s="138"/>
    </row>
    <row r="6" spans="1:27" ht="16" customHeight="1">
      <c r="A6" s="148"/>
      <c r="B6" s="149"/>
      <c r="C6" s="149"/>
      <c r="D6" s="149"/>
      <c r="E6" s="149"/>
      <c r="F6" s="149"/>
      <c r="G6" s="149"/>
      <c r="H6" s="149"/>
      <c r="I6" s="149"/>
      <c r="J6" s="385" t="s">
        <v>465</v>
      </c>
      <c r="K6" s="385"/>
      <c r="L6" s="385"/>
      <c r="M6" s="385"/>
      <c r="N6" s="385"/>
      <c r="O6" s="385"/>
      <c r="P6" s="153"/>
      <c r="Q6" s="153"/>
    </row>
    <row r="7" spans="1:27" ht="74" customHeight="1">
      <c r="A7" s="69" t="s">
        <v>174</v>
      </c>
      <c r="B7" s="70" t="s">
        <v>184</v>
      </c>
      <c r="C7" s="70" t="s">
        <v>185</v>
      </c>
      <c r="D7" s="70" t="s">
        <v>186</v>
      </c>
      <c r="E7" s="70" t="s">
        <v>187</v>
      </c>
      <c r="F7" s="70" t="s">
        <v>188</v>
      </c>
      <c r="G7" s="70" t="s">
        <v>189</v>
      </c>
      <c r="H7" s="70" t="s">
        <v>190</v>
      </c>
      <c r="I7" s="70" t="s">
        <v>475</v>
      </c>
      <c r="J7" s="70" t="s">
        <v>462</v>
      </c>
      <c r="K7" s="70" t="s">
        <v>494</v>
      </c>
      <c r="L7" s="150" t="s">
        <v>463</v>
      </c>
      <c r="M7" s="70" t="s">
        <v>464</v>
      </c>
      <c r="N7" s="70" t="s">
        <v>474</v>
      </c>
      <c r="O7" s="70" t="s">
        <v>466</v>
      </c>
      <c r="P7" s="70" t="s">
        <v>471</v>
      </c>
      <c r="Q7" s="70" t="s">
        <v>470</v>
      </c>
      <c r="R7" s="70" t="s">
        <v>192</v>
      </c>
      <c r="S7" s="70" t="s">
        <v>193</v>
      </c>
      <c r="T7" s="70" t="s">
        <v>194</v>
      </c>
      <c r="U7" s="70" t="s">
        <v>195</v>
      </c>
      <c r="V7" s="70" t="s">
        <v>196</v>
      </c>
      <c r="W7" s="70" t="s">
        <v>197</v>
      </c>
      <c r="X7" s="70" t="s">
        <v>198</v>
      </c>
      <c r="Y7" s="70" t="s">
        <v>199</v>
      </c>
      <c r="Z7" s="70" t="s">
        <v>191</v>
      </c>
      <c r="AA7" s="68" t="s">
        <v>386</v>
      </c>
    </row>
    <row r="8" spans="1:27">
      <c r="A8" s="67" t="s">
        <v>391</v>
      </c>
      <c r="B8" s="166">
        <v>0</v>
      </c>
      <c r="C8" s="166">
        <v>0</v>
      </c>
      <c r="D8" s="166">
        <v>16</v>
      </c>
      <c r="E8" s="166">
        <v>30</v>
      </c>
      <c r="F8" s="166">
        <v>0</v>
      </c>
      <c r="G8" s="166">
        <v>0</v>
      </c>
      <c r="H8" s="166">
        <v>0</v>
      </c>
      <c r="I8" s="139">
        <f>AVERAGE(J8:P8)</f>
        <v>5.5862983208955228</v>
      </c>
      <c r="J8" s="154">
        <f>12338*0.453592/996.96</f>
        <v>5.6134830845771146</v>
      </c>
      <c r="K8" s="187"/>
      <c r="L8" s="154">
        <f>12817*0.453592/996.96</f>
        <v>5.8314161691542292</v>
      </c>
      <c r="M8" s="154">
        <f>11979*0.453592/996.96</f>
        <v>5.4501470149253732</v>
      </c>
      <c r="N8" s="154">
        <f>11979*0.453592/996.96</f>
        <v>5.4501470149253732</v>
      </c>
      <c r="O8" s="154" t="s">
        <v>102</v>
      </c>
      <c r="P8" s="154" t="s">
        <v>102</v>
      </c>
      <c r="Q8" s="151">
        <f>5989*0.453592/996.96</f>
        <v>2.7248460199004976</v>
      </c>
      <c r="R8" s="166">
        <v>0</v>
      </c>
      <c r="S8" s="166">
        <v>0</v>
      </c>
      <c r="T8" s="166">
        <v>0</v>
      </c>
      <c r="U8" s="166">
        <v>0</v>
      </c>
      <c r="V8" s="166">
        <v>0</v>
      </c>
      <c r="W8" s="166">
        <v>0</v>
      </c>
      <c r="X8" s="166">
        <v>0</v>
      </c>
      <c r="Y8" s="166">
        <v>0</v>
      </c>
      <c r="Z8" s="166">
        <v>0</v>
      </c>
      <c r="AA8" s="68"/>
    </row>
    <row r="9" spans="1:27">
      <c r="A9" s="67" t="s">
        <v>392</v>
      </c>
      <c r="B9" s="166">
        <v>0</v>
      </c>
      <c r="C9" s="166">
        <v>0</v>
      </c>
      <c r="D9" s="166">
        <v>16</v>
      </c>
      <c r="E9" s="166">
        <v>30</v>
      </c>
      <c r="F9" s="166">
        <v>0</v>
      </c>
      <c r="G9" s="166">
        <v>0</v>
      </c>
      <c r="H9" s="166">
        <v>0</v>
      </c>
      <c r="I9" s="139">
        <f t="shared" ref="I9:I79" si="0">AVERAGE(J9:P9)</f>
        <v>22.839650191897654</v>
      </c>
      <c r="J9" s="154">
        <f>61075*0.453592/996.96</f>
        <v>27.787605721393032</v>
      </c>
      <c r="K9" s="187">
        <f>1.376 *365/(35*4)</f>
        <v>3.5874285714285712</v>
      </c>
      <c r="L9" s="154">
        <f>63447*0.453592/996.96</f>
        <v>28.866806716417909</v>
      </c>
      <c r="M9" s="154">
        <f>59296*0.453592/996.96</f>
        <v>26.978204975124378</v>
      </c>
      <c r="N9" s="154">
        <f>59296*0.453592/996.96</f>
        <v>26.978204975124378</v>
      </c>
      <c r="O9" s="154" t="s">
        <v>102</v>
      </c>
      <c r="P9" s="154" t="s">
        <v>102</v>
      </c>
      <c r="Q9" s="151">
        <f>29648*0.453592/996.96</f>
        <v>13.489102487562189</v>
      </c>
      <c r="R9" s="166">
        <v>0</v>
      </c>
      <c r="S9" s="166">
        <v>0</v>
      </c>
      <c r="T9" s="166">
        <v>0</v>
      </c>
      <c r="U9" s="166">
        <v>0</v>
      </c>
      <c r="V9" s="166">
        <v>0</v>
      </c>
      <c r="W9" s="166">
        <v>0</v>
      </c>
      <c r="X9" s="166">
        <v>0</v>
      </c>
      <c r="Y9" s="166">
        <v>0</v>
      </c>
      <c r="Z9" s="166">
        <v>0</v>
      </c>
      <c r="AA9" s="68"/>
    </row>
    <row r="10" spans="1:27">
      <c r="A10" s="67" t="s">
        <v>559</v>
      </c>
      <c r="B10" s="166">
        <v>0</v>
      </c>
      <c r="C10" s="166">
        <v>0</v>
      </c>
      <c r="D10" s="130">
        <v>14</v>
      </c>
      <c r="E10" s="166">
        <v>42</v>
      </c>
      <c r="F10" s="166">
        <v>0</v>
      </c>
      <c r="G10" s="166">
        <v>0</v>
      </c>
      <c r="H10" s="166">
        <v>0</v>
      </c>
      <c r="I10" s="139">
        <f t="shared" si="0"/>
        <v>7.0392857142857155</v>
      </c>
      <c r="J10" s="154" t="s">
        <v>102</v>
      </c>
      <c r="K10" s="187">
        <f>2.7*365/(35*4)</f>
        <v>7.0392857142857155</v>
      </c>
      <c r="L10" s="284" t="s">
        <v>102</v>
      </c>
      <c r="M10" s="284" t="s">
        <v>102</v>
      </c>
      <c r="N10" s="284" t="s">
        <v>102</v>
      </c>
      <c r="O10" s="284" t="s">
        <v>102</v>
      </c>
      <c r="P10" s="284" t="s">
        <v>102</v>
      </c>
      <c r="Q10" s="284" t="s">
        <v>102</v>
      </c>
      <c r="R10" s="166">
        <v>0</v>
      </c>
      <c r="S10" s="166">
        <v>0</v>
      </c>
      <c r="T10" s="166">
        <v>0</v>
      </c>
      <c r="U10" s="166">
        <v>0</v>
      </c>
      <c r="V10" s="166">
        <v>0</v>
      </c>
      <c r="W10" s="166">
        <v>0</v>
      </c>
      <c r="X10" s="166">
        <v>0</v>
      </c>
      <c r="Y10" s="166">
        <v>0</v>
      </c>
      <c r="Z10" s="166">
        <v>0</v>
      </c>
      <c r="AA10" s="68"/>
    </row>
    <row r="11" spans="1:27">
      <c r="A11" s="67" t="s">
        <v>557</v>
      </c>
      <c r="B11" s="166">
        <v>0</v>
      </c>
      <c r="C11" s="166">
        <v>0</v>
      </c>
      <c r="D11" s="130">
        <v>14</v>
      </c>
      <c r="E11" s="130">
        <v>42</v>
      </c>
      <c r="F11" s="166">
        <v>0</v>
      </c>
      <c r="G11" s="166">
        <v>0</v>
      </c>
      <c r="H11" s="166">
        <v>0</v>
      </c>
      <c r="I11" s="139">
        <f t="shared" si="0"/>
        <v>13.066999999999998</v>
      </c>
      <c r="J11" s="154" t="s">
        <v>102</v>
      </c>
      <c r="K11" s="187">
        <f>5.012*365/(35*4)</f>
        <v>13.066999999999998</v>
      </c>
      <c r="L11" s="284" t="s">
        <v>102</v>
      </c>
      <c r="M11" s="284" t="s">
        <v>102</v>
      </c>
      <c r="N11" s="284" t="s">
        <v>102</v>
      </c>
      <c r="O11" s="284" t="s">
        <v>102</v>
      </c>
      <c r="P11" s="284" t="s">
        <v>102</v>
      </c>
      <c r="Q11" s="284" t="s">
        <v>102</v>
      </c>
      <c r="R11" s="166">
        <v>0</v>
      </c>
      <c r="S11" s="166">
        <v>0</v>
      </c>
      <c r="T11" s="166">
        <v>0</v>
      </c>
      <c r="U11" s="166">
        <v>0</v>
      </c>
      <c r="V11" s="166">
        <v>0</v>
      </c>
      <c r="W11" s="166">
        <v>0</v>
      </c>
      <c r="X11" s="166">
        <v>0</v>
      </c>
      <c r="Y11" s="166">
        <v>0</v>
      </c>
      <c r="Z11" s="166">
        <v>0</v>
      </c>
      <c r="AA11" s="68"/>
    </row>
    <row r="12" spans="1:27">
      <c r="A12" s="67" t="s">
        <v>393</v>
      </c>
      <c r="B12" s="166">
        <v>0</v>
      </c>
      <c r="C12" s="166">
        <v>0</v>
      </c>
      <c r="D12" s="130">
        <v>14</v>
      </c>
      <c r="E12" s="166">
        <v>42</v>
      </c>
      <c r="F12" s="166">
        <v>0</v>
      </c>
      <c r="G12" s="166">
        <v>0</v>
      </c>
      <c r="H12" s="166">
        <v>0</v>
      </c>
      <c r="I12" s="139">
        <f t="shared" si="0"/>
        <v>20.206923942786069</v>
      </c>
      <c r="J12" s="154">
        <f>44630*0.453592/996.96</f>
        <v>20.305539800995025</v>
      </c>
      <c r="K12" s="187"/>
      <c r="L12" s="154">
        <f>46363*0.453592/996.96</f>
        <v>21.094011691542288</v>
      </c>
      <c r="M12" s="154">
        <f>43330*0.453592/996.96</f>
        <v>19.714072139303482</v>
      </c>
      <c r="N12" s="154">
        <f>43330*0.453592/996.96</f>
        <v>19.714072139303482</v>
      </c>
      <c r="O12" s="154" t="s">
        <v>102</v>
      </c>
      <c r="P12" s="154" t="s">
        <v>102</v>
      </c>
      <c r="Q12" s="151">
        <f>21665*0.453592/996.96</f>
        <v>9.8570360696517412</v>
      </c>
      <c r="R12" s="166">
        <v>0</v>
      </c>
      <c r="S12" s="166">
        <v>0</v>
      </c>
      <c r="T12" s="166">
        <v>0</v>
      </c>
      <c r="U12" s="166">
        <v>0</v>
      </c>
      <c r="V12" s="166">
        <v>0</v>
      </c>
      <c r="W12" s="166">
        <v>0</v>
      </c>
      <c r="X12" s="166">
        <v>0</v>
      </c>
      <c r="Y12" s="166">
        <v>0</v>
      </c>
      <c r="Z12" s="166">
        <v>0</v>
      </c>
      <c r="AA12" s="68"/>
    </row>
    <row r="13" spans="1:27">
      <c r="A13" s="67" t="s">
        <v>558</v>
      </c>
      <c r="B13" s="166">
        <v>0</v>
      </c>
      <c r="C13" s="166">
        <v>0</v>
      </c>
      <c r="D13" s="130">
        <v>14</v>
      </c>
      <c r="E13" s="166">
        <v>42</v>
      </c>
      <c r="F13" s="166">
        <v>0</v>
      </c>
      <c r="G13" s="166">
        <v>0</v>
      </c>
      <c r="H13" s="166">
        <v>0</v>
      </c>
      <c r="I13" s="139">
        <f t="shared" si="0"/>
        <v>5.495857142857143</v>
      </c>
      <c r="J13" s="154" t="s">
        <v>102</v>
      </c>
      <c r="K13" s="187">
        <f>2.108*365/(35*4)</f>
        <v>5.495857142857143</v>
      </c>
      <c r="L13" s="154" t="s">
        <v>102</v>
      </c>
      <c r="M13" s="154" t="s">
        <v>102</v>
      </c>
      <c r="N13" s="154" t="s">
        <v>102</v>
      </c>
      <c r="O13" s="154" t="s">
        <v>102</v>
      </c>
      <c r="P13" s="154" t="s">
        <v>102</v>
      </c>
      <c r="Q13" s="284" t="s">
        <v>102</v>
      </c>
      <c r="R13" s="166">
        <v>0</v>
      </c>
      <c r="S13" s="166">
        <v>0</v>
      </c>
      <c r="T13" s="166">
        <v>0</v>
      </c>
      <c r="U13" s="166">
        <v>0</v>
      </c>
      <c r="V13" s="166">
        <v>0</v>
      </c>
      <c r="W13" s="166">
        <v>0</v>
      </c>
      <c r="X13" s="166">
        <v>0</v>
      </c>
      <c r="Y13" s="166">
        <v>0</v>
      </c>
      <c r="Z13" s="166">
        <v>0</v>
      </c>
      <c r="AA13" s="68"/>
    </row>
    <row r="14" spans="1:27">
      <c r="A14" s="67" t="s">
        <v>472</v>
      </c>
      <c r="B14" s="166">
        <v>0</v>
      </c>
      <c r="C14" s="166">
        <v>0</v>
      </c>
      <c r="D14" s="130">
        <v>14</v>
      </c>
      <c r="E14" s="166">
        <v>42</v>
      </c>
      <c r="F14" s="166">
        <v>0</v>
      </c>
      <c r="G14" s="166">
        <v>0</v>
      </c>
      <c r="H14" s="166">
        <v>0</v>
      </c>
      <c r="I14" s="139">
        <f t="shared" si="0"/>
        <v>29.297933766879886</v>
      </c>
      <c r="J14" s="154">
        <f>75473*0.453592/996.96</f>
        <v>34.338337562189054</v>
      </c>
      <c r="K14" s="187">
        <f>3.76*365/(35*4)</f>
        <v>9.8028571428571425</v>
      </c>
      <c r="L14" s="154">
        <f>78404*0.453592/996.96</f>
        <v>35.671869651741297</v>
      </c>
      <c r="M14" s="154">
        <f>73275*0.453592/996.96</f>
        <v>33.338302238805973</v>
      </c>
      <c r="N14" s="154">
        <f>73275*0.453592/996.96</f>
        <v>33.338302238805973</v>
      </c>
      <c r="O14" s="154" t="s">
        <v>102</v>
      </c>
      <c r="P14" s="154" t="s">
        <v>102</v>
      </c>
      <c r="Q14" s="151">
        <f>36637*0.453592/996.96</f>
        <v>16.668923631840794</v>
      </c>
      <c r="R14" s="166">
        <v>0</v>
      </c>
      <c r="S14" s="166">
        <v>0</v>
      </c>
      <c r="T14" s="166">
        <v>0</v>
      </c>
      <c r="U14" s="166">
        <v>0</v>
      </c>
      <c r="V14" s="166">
        <v>0</v>
      </c>
      <c r="W14" s="166">
        <v>0</v>
      </c>
      <c r="X14" s="166">
        <v>0</v>
      </c>
      <c r="Y14" s="166">
        <v>0</v>
      </c>
      <c r="Z14" s="166">
        <v>0</v>
      </c>
      <c r="AA14" s="68"/>
    </row>
    <row r="15" spans="1:27">
      <c r="A15" s="67" t="s">
        <v>181</v>
      </c>
      <c r="B15" s="130">
        <v>295</v>
      </c>
      <c r="C15" s="130">
        <v>17</v>
      </c>
      <c r="D15" s="130">
        <v>16</v>
      </c>
      <c r="E15" s="130">
        <v>49</v>
      </c>
      <c r="F15" s="130">
        <v>0.03</v>
      </c>
      <c r="G15" s="130">
        <v>0.08</v>
      </c>
      <c r="H15" s="130">
        <v>24.2</v>
      </c>
      <c r="I15" s="139">
        <f t="shared" si="0"/>
        <v>40.854993674484717</v>
      </c>
      <c r="J15" s="151">
        <f>103113*0.453592/996.96</f>
        <v>46.913849999999996</v>
      </c>
      <c r="K15" s="187">
        <f>6.724*365/(35*4)</f>
        <v>17.530428571428573</v>
      </c>
      <c r="L15" s="151">
        <f>107117*0.453592/996.96</f>
        <v>48.735570398009948</v>
      </c>
      <c r="M15" s="151">
        <f>100110*0.453592/996.96</f>
        <v>45.547559701492531</v>
      </c>
      <c r="N15" s="151">
        <f>100110*0.453592/996.96</f>
        <v>45.547559701492531</v>
      </c>
      <c r="O15" s="157" t="s">
        <v>102</v>
      </c>
      <c r="P15" s="163" t="s">
        <v>102</v>
      </c>
      <c r="Q15" s="151">
        <f>50055*0.453592/996.96</f>
        <v>22.773779850746266</v>
      </c>
      <c r="R15" s="130">
        <v>402</v>
      </c>
      <c r="S15" s="130">
        <v>0.4</v>
      </c>
      <c r="T15" s="130">
        <v>2173</v>
      </c>
      <c r="U15" s="130">
        <v>0.2</v>
      </c>
      <c r="V15" s="130">
        <v>0.3</v>
      </c>
      <c r="W15" s="130">
        <v>0.1</v>
      </c>
      <c r="X15" s="130">
        <v>1.09E-2</v>
      </c>
      <c r="Y15" s="73">
        <v>0.67</v>
      </c>
      <c r="Z15" s="130">
        <v>67.599999999999994</v>
      </c>
      <c r="AA15" s="68"/>
    </row>
    <row r="16" spans="1:27">
      <c r="A16" s="67" t="s">
        <v>177</v>
      </c>
      <c r="B16" s="130">
        <v>250</v>
      </c>
      <c r="C16" s="130">
        <v>10.8</v>
      </c>
      <c r="D16" s="130">
        <v>12</v>
      </c>
      <c r="E16" s="130">
        <v>64</v>
      </c>
      <c r="F16" s="130">
        <v>8.5000000000000006E-2</v>
      </c>
      <c r="G16" s="130">
        <v>0.09</v>
      </c>
      <c r="H16" s="130">
        <v>4.8</v>
      </c>
      <c r="I16" s="139">
        <f t="shared" si="0"/>
        <v>4.8357486069651738</v>
      </c>
      <c r="J16" s="155" t="s">
        <v>102</v>
      </c>
      <c r="K16" s="187" t="s">
        <v>102</v>
      </c>
      <c r="L16" s="151">
        <f>11215*0.453592/996.96</f>
        <v>5.1025460199004975</v>
      </c>
      <c r="M16" s="151">
        <f>10482*0.453592/996.96</f>
        <v>4.7690492537313425</v>
      </c>
      <c r="N16" s="151">
        <f>10482*0.453592/996.96</f>
        <v>4.7690492537313425</v>
      </c>
      <c r="O16" s="151">
        <f>10482*0.453592/996.96</f>
        <v>4.7690492537313425</v>
      </c>
      <c r="P16" s="151">
        <f>10482*0.453592/996.96</f>
        <v>4.7690492537313425</v>
      </c>
      <c r="Q16" s="151">
        <f>5241*0.453592/996.96</f>
        <v>2.3845246268656712</v>
      </c>
      <c r="R16" s="130">
        <v>198</v>
      </c>
      <c r="S16" s="130">
        <v>0.9</v>
      </c>
      <c r="T16" s="130">
        <v>458</v>
      </c>
      <c r="U16" s="130">
        <v>0.5</v>
      </c>
      <c r="V16" s="130">
        <v>0.5</v>
      </c>
      <c r="W16" s="130">
        <v>0.4</v>
      </c>
      <c r="X16" s="130">
        <v>6.4999999999999997E-3</v>
      </c>
      <c r="Y16" s="73">
        <v>0.33</v>
      </c>
      <c r="Z16" s="130">
        <v>25.7</v>
      </c>
      <c r="AA16" s="68"/>
    </row>
    <row r="17" spans="1:27">
      <c r="A17" s="67" t="s">
        <v>394</v>
      </c>
      <c r="B17" s="166">
        <v>0</v>
      </c>
      <c r="C17" s="166">
        <v>0</v>
      </c>
      <c r="D17" s="166">
        <v>16</v>
      </c>
      <c r="E17" s="166">
        <v>30</v>
      </c>
      <c r="F17" s="166">
        <v>0</v>
      </c>
      <c r="G17" s="166">
        <v>0</v>
      </c>
      <c r="H17" s="166">
        <v>0</v>
      </c>
      <c r="I17" s="139">
        <f t="shared" si="0"/>
        <v>7.536025970149252</v>
      </c>
      <c r="J17" s="156" t="s">
        <v>102</v>
      </c>
      <c r="K17" s="187" t="s">
        <v>102</v>
      </c>
      <c r="L17" s="151">
        <f>17478*0.453592/996.96</f>
        <v>7.9520552238805964</v>
      </c>
      <c r="M17" s="151">
        <f>16335*0.453592/996.96</f>
        <v>7.4320186567164175</v>
      </c>
      <c r="N17" s="151">
        <f>16335*0.453592/996.96</f>
        <v>7.4320186567164175</v>
      </c>
      <c r="O17" s="151">
        <f>16335*0.453592/996.96</f>
        <v>7.4320186567164175</v>
      </c>
      <c r="P17" s="151">
        <f>16335*0.453592/996.96</f>
        <v>7.4320186567164175</v>
      </c>
      <c r="Q17" s="151">
        <f>8167*0.453592/996.96</f>
        <v>3.7157818407960197</v>
      </c>
      <c r="R17" s="166">
        <v>0</v>
      </c>
      <c r="S17" s="166">
        <v>0</v>
      </c>
      <c r="T17" s="166">
        <v>0</v>
      </c>
      <c r="U17" s="166">
        <v>0</v>
      </c>
      <c r="V17" s="166">
        <v>0</v>
      </c>
      <c r="W17" s="166">
        <v>0</v>
      </c>
      <c r="X17" s="166">
        <v>0</v>
      </c>
      <c r="Y17" s="166">
        <v>0</v>
      </c>
      <c r="Z17" s="166">
        <v>0</v>
      </c>
      <c r="AA17" s="68"/>
    </row>
    <row r="18" spans="1:27">
      <c r="A18" s="67" t="s">
        <v>395</v>
      </c>
      <c r="B18" s="166">
        <v>0</v>
      </c>
      <c r="C18" s="166">
        <v>0</v>
      </c>
      <c r="D18" s="166">
        <v>16</v>
      </c>
      <c r="E18" s="166">
        <v>30</v>
      </c>
      <c r="F18" s="166">
        <v>0</v>
      </c>
      <c r="G18" s="166">
        <v>0</v>
      </c>
      <c r="H18" s="166">
        <v>0</v>
      </c>
      <c r="I18" s="139">
        <f t="shared" si="0"/>
        <v>83.795612251243767</v>
      </c>
      <c r="J18" s="151">
        <f>185075*0.453592/996.96</f>
        <v>84.204521144278601</v>
      </c>
      <c r="K18" s="187"/>
      <c r="L18" s="151">
        <f>192262*0.453592/996.96</f>
        <v>87.474427363184077</v>
      </c>
      <c r="M18" s="151">
        <f>179684*0.453592/996.96</f>
        <v>81.75175024875621</v>
      </c>
      <c r="N18" s="151">
        <f>179684*0.453592/996.96</f>
        <v>81.75175024875621</v>
      </c>
      <c r="O18" s="158" t="s">
        <v>102</v>
      </c>
      <c r="P18" s="165" t="s">
        <v>102</v>
      </c>
      <c r="Q18" s="151">
        <f>89842*0.453592/996.96</f>
        <v>40.875875124378105</v>
      </c>
      <c r="R18" s="166">
        <v>0</v>
      </c>
      <c r="S18" s="166">
        <v>0</v>
      </c>
      <c r="T18" s="166">
        <v>0</v>
      </c>
      <c r="U18" s="166">
        <v>0</v>
      </c>
      <c r="V18" s="166">
        <v>0</v>
      </c>
      <c r="W18" s="166">
        <v>0</v>
      </c>
      <c r="X18" s="166">
        <v>0</v>
      </c>
      <c r="Y18" s="166">
        <v>0</v>
      </c>
      <c r="Z18" s="166">
        <v>0</v>
      </c>
      <c r="AA18" s="68"/>
    </row>
    <row r="19" spans="1:27">
      <c r="A19" s="67" t="s">
        <v>442</v>
      </c>
      <c r="B19" s="166">
        <v>0</v>
      </c>
      <c r="C19" s="166">
        <v>0</v>
      </c>
      <c r="D19" s="166">
        <v>16</v>
      </c>
      <c r="E19" s="166">
        <v>30</v>
      </c>
      <c r="F19" s="166">
        <v>0</v>
      </c>
      <c r="G19" s="166">
        <v>0</v>
      </c>
      <c r="H19" s="166">
        <v>0</v>
      </c>
      <c r="I19" s="139">
        <f t="shared" si="0"/>
        <v>13.906921310116088</v>
      </c>
      <c r="J19" s="156" t="s">
        <v>102</v>
      </c>
      <c r="K19" s="187" t="s">
        <v>102</v>
      </c>
      <c r="L19" s="151">
        <f>42756*0.453592/996.96</f>
        <v>19.452916417910448</v>
      </c>
      <c r="M19" s="151">
        <f>39959*0.453592/996.96</f>
        <v>18.180350995024877</v>
      </c>
      <c r="N19" s="156" t="s">
        <v>102</v>
      </c>
      <c r="O19" s="158">
        <f>8984*0.453592/996.96</f>
        <v>4.0874965174129345</v>
      </c>
      <c r="P19" s="165" t="s">
        <v>102</v>
      </c>
      <c r="Q19" s="151">
        <f>19979*0.453592/996.96</f>
        <v>9.0899480099502483</v>
      </c>
      <c r="R19" s="166">
        <v>0</v>
      </c>
      <c r="S19" s="166">
        <v>0</v>
      </c>
      <c r="T19" s="166">
        <v>0</v>
      </c>
      <c r="U19" s="166">
        <v>0</v>
      </c>
      <c r="V19" s="166">
        <v>0</v>
      </c>
      <c r="W19" s="166">
        <v>0</v>
      </c>
      <c r="X19" s="166">
        <v>0</v>
      </c>
      <c r="Y19" s="166">
        <v>0</v>
      </c>
      <c r="Z19" s="166">
        <v>0</v>
      </c>
      <c r="AA19" s="68"/>
    </row>
    <row r="20" spans="1:27">
      <c r="A20" s="67" t="s">
        <v>445</v>
      </c>
      <c r="B20" s="166">
        <v>0</v>
      </c>
      <c r="C20" s="166">
        <v>0</v>
      </c>
      <c r="D20" s="166">
        <v>16</v>
      </c>
      <c r="E20" s="166">
        <v>30</v>
      </c>
      <c r="F20" s="166">
        <v>0</v>
      </c>
      <c r="G20" s="166">
        <v>0</v>
      </c>
      <c r="H20" s="166">
        <v>0</v>
      </c>
      <c r="I20" s="139">
        <f t="shared" si="0"/>
        <v>4.1447323880597002</v>
      </c>
      <c r="J20" s="156" t="s">
        <v>102</v>
      </c>
      <c r="K20" s="187" t="s">
        <v>102</v>
      </c>
      <c r="L20" s="151">
        <f>9613*0.453592/996.96</f>
        <v>4.3736758706467667</v>
      </c>
      <c r="M20" s="151">
        <f>8984*0.453592/996.96</f>
        <v>4.0874965174129345</v>
      </c>
      <c r="N20" s="151">
        <f>8984*0.453592/996.96</f>
        <v>4.0874965174129345</v>
      </c>
      <c r="O20" s="158">
        <f>8984*0.453592/996.96</f>
        <v>4.0874965174129345</v>
      </c>
      <c r="P20" s="158">
        <f>8984*0.453592/996.96</f>
        <v>4.0874965174129345</v>
      </c>
      <c r="Q20" s="151">
        <f>4492*0.453592/996.96</f>
        <v>2.0437482587064673</v>
      </c>
      <c r="R20" s="166">
        <v>0</v>
      </c>
      <c r="S20" s="166">
        <v>0</v>
      </c>
      <c r="T20" s="166">
        <v>0</v>
      </c>
      <c r="U20" s="166">
        <v>0</v>
      </c>
      <c r="V20" s="166">
        <v>0</v>
      </c>
      <c r="W20" s="166">
        <v>0</v>
      </c>
      <c r="X20" s="166">
        <v>0</v>
      </c>
      <c r="Y20" s="166">
        <v>0</v>
      </c>
      <c r="Z20" s="166">
        <v>0</v>
      </c>
      <c r="AA20" s="68"/>
    </row>
    <row r="21" spans="1:27">
      <c r="A21" s="67" t="s">
        <v>396</v>
      </c>
      <c r="B21" s="166">
        <v>0</v>
      </c>
      <c r="C21" s="166">
        <v>0</v>
      </c>
      <c r="D21" s="166">
        <v>16</v>
      </c>
      <c r="E21" s="166">
        <v>30</v>
      </c>
      <c r="F21" s="166">
        <v>0</v>
      </c>
      <c r="G21" s="166">
        <v>0</v>
      </c>
      <c r="H21" s="166">
        <v>0</v>
      </c>
      <c r="I21" s="139">
        <f t="shared" si="0"/>
        <v>29.178692164179104</v>
      </c>
      <c r="J21" s="151">
        <f>64444*0.453592/996.96</f>
        <v>29.320416915422882</v>
      </c>
      <c r="K21" s="187"/>
      <c r="L21" s="151">
        <f>66948*0.453592/996.96</f>
        <v>30.459674626865667</v>
      </c>
      <c r="M21" s="151">
        <f>62569*0.453592/996.96</f>
        <v>28.467338557213928</v>
      </c>
      <c r="N21" s="151">
        <f>62569*0.453592/996.96</f>
        <v>28.467338557213928</v>
      </c>
      <c r="O21" s="157" t="s">
        <v>102</v>
      </c>
      <c r="P21" s="163" t="s">
        <v>102</v>
      </c>
      <c r="Q21" s="151">
        <f>31284*0.453592/996.96</f>
        <v>14.233441791044775</v>
      </c>
      <c r="R21" s="166">
        <v>0</v>
      </c>
      <c r="S21" s="166">
        <v>0</v>
      </c>
      <c r="T21" s="166">
        <v>0</v>
      </c>
      <c r="U21" s="166">
        <v>0</v>
      </c>
      <c r="V21" s="166">
        <v>0</v>
      </c>
      <c r="W21" s="166">
        <v>0</v>
      </c>
      <c r="X21" s="166">
        <v>0</v>
      </c>
      <c r="Y21" s="166">
        <v>0</v>
      </c>
      <c r="Z21" s="166">
        <v>0</v>
      </c>
      <c r="AA21" s="68"/>
    </row>
    <row r="22" spans="1:27">
      <c r="A22" s="67" t="s">
        <v>473</v>
      </c>
      <c r="B22" s="166">
        <v>0</v>
      </c>
      <c r="C22" s="166">
        <v>0</v>
      </c>
      <c r="D22" s="166">
        <v>16</v>
      </c>
      <c r="E22" s="166">
        <v>30</v>
      </c>
      <c r="F22" s="166">
        <v>0</v>
      </c>
      <c r="G22" s="166">
        <v>0</v>
      </c>
      <c r="H22" s="166">
        <v>0</v>
      </c>
      <c r="I22" s="139">
        <f t="shared" si="0"/>
        <v>5.6283835199004972</v>
      </c>
      <c r="J22" s="151">
        <f>12431*0.453592/996.96</f>
        <v>5.6557957711442786</v>
      </c>
      <c r="K22" s="187"/>
      <c r="L22" s="151">
        <f>12914*0.453592/996.96</f>
        <v>5.8755487562189046</v>
      </c>
      <c r="M22" s="151">
        <f>12069*0.453592/996.96</f>
        <v>5.491094776119402</v>
      </c>
      <c r="N22" s="151">
        <f>12069*0.453592/996.96</f>
        <v>5.491094776119402</v>
      </c>
      <c r="O22" s="163" t="s">
        <v>102</v>
      </c>
      <c r="P22" s="163" t="s">
        <v>102</v>
      </c>
      <c r="Q22" s="151">
        <f>6034*0.453592/996.96</f>
        <v>2.745319900497512</v>
      </c>
      <c r="R22" s="166">
        <v>0</v>
      </c>
      <c r="S22" s="166">
        <v>0</v>
      </c>
      <c r="T22" s="166">
        <v>0</v>
      </c>
      <c r="U22" s="166">
        <v>0</v>
      </c>
      <c r="V22" s="166">
        <v>0</v>
      </c>
      <c r="W22" s="166">
        <v>0</v>
      </c>
      <c r="X22" s="166">
        <v>0</v>
      </c>
      <c r="Y22" s="166">
        <v>0</v>
      </c>
      <c r="Z22" s="166">
        <v>0</v>
      </c>
      <c r="AA22" s="68"/>
    </row>
    <row r="23" spans="1:27">
      <c r="A23" s="67" t="s">
        <v>183</v>
      </c>
      <c r="B23" s="130">
        <v>295</v>
      </c>
      <c r="C23" s="130">
        <v>17</v>
      </c>
      <c r="D23" s="130">
        <v>12</v>
      </c>
      <c r="E23" s="130">
        <v>85</v>
      </c>
      <c r="F23" s="130">
        <v>8.4000000000000005E-2</v>
      </c>
      <c r="G23" s="130">
        <v>7.0000000000000007E-2</v>
      </c>
      <c r="H23" s="130">
        <v>15.5</v>
      </c>
      <c r="I23" s="139" t="e">
        <f t="shared" si="0"/>
        <v>#DIV/0!</v>
      </c>
      <c r="J23" s="163" t="s">
        <v>102</v>
      </c>
      <c r="K23" s="187" t="s">
        <v>102</v>
      </c>
      <c r="L23" s="163" t="s">
        <v>102</v>
      </c>
      <c r="M23" s="163" t="s">
        <v>102</v>
      </c>
      <c r="N23" s="163" t="s">
        <v>102</v>
      </c>
      <c r="O23" s="157" t="s">
        <v>102</v>
      </c>
      <c r="P23" s="163" t="s">
        <v>102</v>
      </c>
      <c r="Q23" s="162" t="s">
        <v>102</v>
      </c>
      <c r="R23" s="130">
        <v>480</v>
      </c>
      <c r="S23" s="130">
        <v>1.2</v>
      </c>
      <c r="T23" s="130">
        <v>2681</v>
      </c>
      <c r="U23" s="130">
        <v>0.3</v>
      </c>
      <c r="V23" s="130">
        <v>0.3</v>
      </c>
      <c r="W23" s="130">
        <v>0.1</v>
      </c>
      <c r="X23" s="130">
        <v>1.29E-2</v>
      </c>
      <c r="Y23" s="73">
        <v>0.8</v>
      </c>
      <c r="Z23" s="130">
        <v>79.8</v>
      </c>
      <c r="AA23" s="68"/>
    </row>
    <row r="24" spans="1:27">
      <c r="A24" s="67" t="s">
        <v>397</v>
      </c>
      <c r="B24" s="166">
        <v>0</v>
      </c>
      <c r="C24" s="166">
        <v>0</v>
      </c>
      <c r="D24" s="166">
        <v>16</v>
      </c>
      <c r="E24" s="166">
        <v>30</v>
      </c>
      <c r="F24" s="166">
        <v>0</v>
      </c>
      <c r="G24" s="166">
        <v>0</v>
      </c>
      <c r="H24" s="166">
        <v>0</v>
      </c>
      <c r="I24" s="139">
        <f t="shared" si="0"/>
        <v>30.782024502487559</v>
      </c>
      <c r="J24" s="151">
        <f>67987*0.453592/996.96</f>
        <v>30.932393781094529</v>
      </c>
      <c r="K24" s="187"/>
      <c r="L24" s="151">
        <f>70627*0.453592/996.96</f>
        <v>32.133528109452733</v>
      </c>
      <c r="M24" s="151">
        <f>66006*0.453592/996.96</f>
        <v>30.031088059701492</v>
      </c>
      <c r="N24" s="151">
        <f>66006*0.453592/996.96</f>
        <v>30.031088059701492</v>
      </c>
      <c r="O24" s="157" t="s">
        <v>102</v>
      </c>
      <c r="P24" s="163" t="s">
        <v>102</v>
      </c>
      <c r="Q24" s="151">
        <f>33003*0.453592/996.96</f>
        <v>15.015544029850746</v>
      </c>
      <c r="R24" s="166">
        <v>0</v>
      </c>
      <c r="S24" s="166">
        <v>0</v>
      </c>
      <c r="T24" s="166">
        <v>0</v>
      </c>
      <c r="U24" s="166">
        <v>0</v>
      </c>
      <c r="V24" s="166">
        <v>0</v>
      </c>
      <c r="W24" s="166">
        <v>0</v>
      </c>
      <c r="X24" s="166">
        <v>0</v>
      </c>
      <c r="Y24" s="166">
        <v>0</v>
      </c>
      <c r="Z24" s="166">
        <v>0</v>
      </c>
      <c r="AA24" s="68"/>
    </row>
    <row r="25" spans="1:27">
      <c r="A25" s="67" t="s">
        <v>398</v>
      </c>
      <c r="B25" s="166">
        <v>0</v>
      </c>
      <c r="C25" s="166">
        <v>0</v>
      </c>
      <c r="D25" s="166">
        <v>16</v>
      </c>
      <c r="E25" s="166">
        <v>30</v>
      </c>
      <c r="F25" s="166">
        <v>0</v>
      </c>
      <c r="G25" s="166">
        <v>0</v>
      </c>
      <c r="H25" s="166">
        <v>0</v>
      </c>
      <c r="I25" s="139">
        <f t="shared" si="0"/>
        <v>27.346616162046907</v>
      </c>
      <c r="J25" s="151">
        <f>64005*0.453592/996.96</f>
        <v>29.120682835820894</v>
      </c>
      <c r="K25" s="187">
        <f>1.996*365/35</f>
        <v>20.815428571428569</v>
      </c>
      <c r="L25" s="151">
        <f>66491*0.453592/996.96</f>
        <v>30.251750995024874</v>
      </c>
      <c r="M25" s="151">
        <f>62141*0.453592/996.96</f>
        <v>28.2726092039801</v>
      </c>
      <c r="N25" s="151">
        <f>62141*0.453592/996.96</f>
        <v>28.2726092039801</v>
      </c>
      <c r="O25" s="157" t="s">
        <v>102</v>
      </c>
      <c r="P25" s="284" t="s">
        <v>102</v>
      </c>
      <c r="Q25" s="151">
        <f>31070*0.453592/996.96</f>
        <v>14.136077114427859</v>
      </c>
      <c r="R25" s="166">
        <v>0</v>
      </c>
      <c r="S25" s="166">
        <v>0</v>
      </c>
      <c r="T25" s="166">
        <v>0</v>
      </c>
      <c r="U25" s="166">
        <v>0</v>
      </c>
      <c r="V25" s="166">
        <v>0</v>
      </c>
      <c r="W25" s="166">
        <v>0</v>
      </c>
      <c r="X25" s="166">
        <v>0</v>
      </c>
      <c r="Y25" s="166">
        <v>0</v>
      </c>
      <c r="Z25" s="166">
        <v>0</v>
      </c>
      <c r="AA25" s="68"/>
    </row>
    <row r="26" spans="1:27">
      <c r="A26" s="67" t="s">
        <v>176</v>
      </c>
      <c r="B26" s="130">
        <v>250</v>
      </c>
      <c r="C26" s="130">
        <v>16.2</v>
      </c>
      <c r="D26" s="130">
        <v>18</v>
      </c>
      <c r="E26" s="130">
        <v>58</v>
      </c>
      <c r="F26" s="130">
        <v>0.33100000000000002</v>
      </c>
      <c r="G26" s="130">
        <v>4.4999999999999998E-2</v>
      </c>
      <c r="H26" s="130">
        <v>1.7</v>
      </c>
      <c r="I26" s="139">
        <f t="shared" si="0"/>
        <v>17.314533333333333</v>
      </c>
      <c r="J26" s="156" t="s">
        <v>102</v>
      </c>
      <c r="K26" s="187" t="s">
        <v>102</v>
      </c>
      <c r="L26" s="156" t="s">
        <v>102</v>
      </c>
      <c r="M26" s="156" t="s">
        <v>102</v>
      </c>
      <c r="N26" s="156" t="s">
        <v>102</v>
      </c>
      <c r="O26" s="151">
        <f>38056*0.453592/996.96</f>
        <v>17.314533333333333</v>
      </c>
      <c r="P26" s="151">
        <f>38056*0.453592/996.96</f>
        <v>17.314533333333333</v>
      </c>
      <c r="Q26" s="151">
        <f>19028*0.453592/996.96</f>
        <v>8.6572666666666667</v>
      </c>
      <c r="R26" s="130">
        <v>172</v>
      </c>
      <c r="S26" s="130">
        <v>7.4</v>
      </c>
      <c r="T26" s="130">
        <v>618</v>
      </c>
      <c r="U26" s="130">
        <v>0.8</v>
      </c>
      <c r="V26" s="130">
        <v>1.5</v>
      </c>
      <c r="W26" s="130">
        <v>0.3</v>
      </c>
      <c r="X26" s="130">
        <v>1.3599999999999999E-2</v>
      </c>
      <c r="Y26" s="73">
        <v>0.2</v>
      </c>
      <c r="Z26" s="130">
        <v>80.400000000000006</v>
      </c>
      <c r="AA26" s="68"/>
    </row>
    <row r="27" spans="1:27">
      <c r="A27" s="67" t="s">
        <v>399</v>
      </c>
      <c r="B27" s="166">
        <v>0</v>
      </c>
      <c r="C27" s="166">
        <v>0</v>
      </c>
      <c r="D27" s="166">
        <v>16</v>
      </c>
      <c r="E27" s="166">
        <v>30</v>
      </c>
      <c r="F27" s="166">
        <v>0</v>
      </c>
      <c r="G27" s="166">
        <v>0</v>
      </c>
      <c r="H27" s="166">
        <v>0</v>
      </c>
      <c r="I27" s="139">
        <f t="shared" si="0"/>
        <v>3.6910994402985073</v>
      </c>
      <c r="J27" s="151">
        <f>8152*0.453592/996.96</f>
        <v>3.7089572139303479</v>
      </c>
      <c r="K27" s="187"/>
      <c r="L27" s="151">
        <f>8469*0.453592/996.96</f>
        <v>3.8531843283582088</v>
      </c>
      <c r="M27" s="151">
        <f>7915*0.453592/996.96</f>
        <v>3.6011281094527363</v>
      </c>
      <c r="N27" s="151">
        <f>7915*0.453592/996.96</f>
        <v>3.6011281094527363</v>
      </c>
      <c r="O27" s="157" t="s">
        <v>102</v>
      </c>
      <c r="P27" s="163" t="s">
        <v>102</v>
      </c>
      <c r="Q27" s="151">
        <f>3957*0.453592/996.96</f>
        <v>1.8003365671641791</v>
      </c>
      <c r="R27" s="166">
        <v>0</v>
      </c>
      <c r="S27" s="166">
        <v>0</v>
      </c>
      <c r="T27" s="166">
        <v>0</v>
      </c>
      <c r="U27" s="166">
        <v>0</v>
      </c>
      <c r="V27" s="166">
        <v>0</v>
      </c>
      <c r="W27" s="166">
        <v>0</v>
      </c>
      <c r="X27" s="166">
        <v>0</v>
      </c>
      <c r="Y27" s="166">
        <v>0</v>
      </c>
      <c r="Z27" s="166">
        <v>0</v>
      </c>
      <c r="AA27" s="68"/>
    </row>
    <row r="28" spans="1:27">
      <c r="A28" s="67" t="s">
        <v>178</v>
      </c>
      <c r="B28" s="130">
        <v>250</v>
      </c>
      <c r="C28" s="130">
        <v>10.8</v>
      </c>
      <c r="D28" s="130">
        <v>12</v>
      </c>
      <c r="E28" s="130">
        <v>81</v>
      </c>
      <c r="F28" s="130">
        <v>0.108</v>
      </c>
      <c r="G28" s="130">
        <v>0.08</v>
      </c>
      <c r="H28" s="130">
        <v>4.8</v>
      </c>
      <c r="I28" s="139" t="e">
        <f t="shared" si="0"/>
        <v>#DIV/0!</v>
      </c>
      <c r="J28" s="156" t="s">
        <v>102</v>
      </c>
      <c r="K28" s="187" t="s">
        <v>102</v>
      </c>
      <c r="L28" s="156" t="s">
        <v>102</v>
      </c>
      <c r="M28" s="156" t="s">
        <v>102</v>
      </c>
      <c r="N28" s="156" t="s">
        <v>102</v>
      </c>
      <c r="O28" s="156" t="s">
        <v>102</v>
      </c>
      <c r="P28" s="162" t="s">
        <v>102</v>
      </c>
      <c r="Q28" s="162" t="s">
        <v>102</v>
      </c>
      <c r="R28" s="130">
        <v>198</v>
      </c>
      <c r="S28" s="130">
        <v>1.3</v>
      </c>
      <c r="T28" s="130">
        <v>459</v>
      </c>
      <c r="U28" s="130">
        <v>0.5</v>
      </c>
      <c r="V28" s="130">
        <v>0.6</v>
      </c>
      <c r="W28" s="130">
        <v>0.1</v>
      </c>
      <c r="X28" s="130">
        <v>7.3000000000000001E-3</v>
      </c>
      <c r="Y28" s="73">
        <v>0.33</v>
      </c>
      <c r="Z28" s="130">
        <v>29</v>
      </c>
      <c r="AA28" s="68"/>
    </row>
    <row r="29" spans="1:27">
      <c r="A29" s="67" t="s">
        <v>400</v>
      </c>
      <c r="B29" s="166">
        <v>0</v>
      </c>
      <c r="C29" s="166">
        <v>0</v>
      </c>
      <c r="D29" s="166">
        <v>16</v>
      </c>
      <c r="E29" s="166">
        <v>30</v>
      </c>
      <c r="F29" s="166">
        <v>0</v>
      </c>
      <c r="G29" s="166">
        <v>0</v>
      </c>
      <c r="H29" s="166">
        <v>0</v>
      </c>
      <c r="I29" s="139">
        <f t="shared" si="0"/>
        <v>157.11724216417909</v>
      </c>
      <c r="J29" s="151">
        <f>347016*0.453592/996.96</f>
        <v>157.88364776119403</v>
      </c>
      <c r="K29" s="187" t="s">
        <v>102</v>
      </c>
      <c r="L29" s="151">
        <f>360492*0.453592/996.96</f>
        <v>164.01489253731341</v>
      </c>
      <c r="M29" s="151">
        <f>336909*0.453592/996.96</f>
        <v>153.28521417910446</v>
      </c>
      <c r="N29" s="151">
        <f>336909*0.453592/996.96</f>
        <v>153.28521417910446</v>
      </c>
      <c r="O29" s="157" t="s">
        <v>102</v>
      </c>
      <c r="P29" s="163" t="s">
        <v>102</v>
      </c>
      <c r="Q29" s="151">
        <f>168454*0.453592/996.96</f>
        <v>76.642379601990044</v>
      </c>
      <c r="R29" s="166">
        <v>0</v>
      </c>
      <c r="S29" s="166">
        <v>0</v>
      </c>
      <c r="T29" s="166">
        <v>0</v>
      </c>
      <c r="U29" s="166">
        <v>0</v>
      </c>
      <c r="V29" s="166">
        <v>0</v>
      </c>
      <c r="W29" s="166">
        <v>0</v>
      </c>
      <c r="X29" s="166">
        <v>0</v>
      </c>
      <c r="Y29" s="166">
        <v>0</v>
      </c>
      <c r="Z29" s="166">
        <v>0</v>
      </c>
      <c r="AA29" s="68"/>
    </row>
    <row r="30" spans="1:27">
      <c r="A30" s="67" t="s">
        <v>401</v>
      </c>
      <c r="B30" s="166">
        <v>0</v>
      </c>
      <c r="C30" s="166">
        <v>0</v>
      </c>
      <c r="D30" s="166">
        <v>16</v>
      </c>
      <c r="E30" s="166">
        <v>30</v>
      </c>
      <c r="F30" s="166">
        <v>0</v>
      </c>
      <c r="G30" s="166">
        <v>0</v>
      </c>
      <c r="H30" s="166">
        <v>0</v>
      </c>
      <c r="I30" s="139">
        <f t="shared" si="0"/>
        <v>13.287662251243781</v>
      </c>
      <c r="J30" s="151">
        <f>29348*0.453592/996.96</f>
        <v>13.352609950248755</v>
      </c>
      <c r="K30" s="187" t="s">
        <v>102</v>
      </c>
      <c r="L30" s="151">
        <f>30487*0.453592/996.96</f>
        <v>13.870826616915423</v>
      </c>
      <c r="M30" s="151">
        <f>28493*0.453592/996.96</f>
        <v>12.963606218905472</v>
      </c>
      <c r="N30" s="151">
        <f>28493*0.453592/996.96</f>
        <v>12.963606218905472</v>
      </c>
      <c r="O30" s="163" t="s">
        <v>102</v>
      </c>
      <c r="P30" s="163" t="s">
        <v>102</v>
      </c>
      <c r="Q30" s="151">
        <f>14246*0.453592/996.96</f>
        <v>6.4815756218905474</v>
      </c>
      <c r="R30" s="166">
        <v>0</v>
      </c>
      <c r="S30" s="166">
        <v>0</v>
      </c>
      <c r="T30" s="166">
        <v>0</v>
      </c>
      <c r="U30" s="166">
        <v>0</v>
      </c>
      <c r="V30" s="166">
        <v>0</v>
      </c>
      <c r="W30" s="166">
        <v>0</v>
      </c>
      <c r="X30" s="166">
        <v>0</v>
      </c>
      <c r="Y30" s="166">
        <v>0</v>
      </c>
      <c r="Z30" s="166">
        <v>0</v>
      </c>
      <c r="AA30" s="68"/>
    </row>
    <row r="31" spans="1:27">
      <c r="A31" s="67" t="s">
        <v>402</v>
      </c>
      <c r="B31" s="166">
        <v>0</v>
      </c>
      <c r="C31" s="166">
        <v>0</v>
      </c>
      <c r="D31" s="166">
        <v>16</v>
      </c>
      <c r="E31" s="166">
        <v>30</v>
      </c>
      <c r="F31" s="166">
        <v>0</v>
      </c>
      <c r="G31" s="166">
        <v>0</v>
      </c>
      <c r="H31" s="166">
        <v>0</v>
      </c>
      <c r="I31" s="139">
        <f t="shared" si="0"/>
        <v>14.364929601990049</v>
      </c>
      <c r="J31" s="151">
        <f>31727*0.453592/996.96</f>
        <v>14.434995771144278</v>
      </c>
      <c r="K31" s="187" t="s">
        <v>102</v>
      </c>
      <c r="L31" s="151">
        <f>32959*0.453592/996.96</f>
        <v>14.995525124378108</v>
      </c>
      <c r="M31" s="151">
        <f>30803*0.453592/996.96</f>
        <v>14.014598756218906</v>
      </c>
      <c r="N31" s="151">
        <f>30803*0.453592/996.96</f>
        <v>14.014598756218906</v>
      </c>
      <c r="O31" s="157" t="s">
        <v>102</v>
      </c>
      <c r="P31" s="328" t="s">
        <v>102</v>
      </c>
      <c r="Q31" s="151">
        <f>15401*0.453592/996.96</f>
        <v>7.0070718905472642</v>
      </c>
      <c r="R31" s="166">
        <v>0</v>
      </c>
      <c r="S31" s="166">
        <v>0</v>
      </c>
      <c r="T31" s="166">
        <v>0</v>
      </c>
      <c r="U31" s="166">
        <v>0</v>
      </c>
      <c r="V31" s="166">
        <v>0</v>
      </c>
      <c r="W31" s="166">
        <v>0</v>
      </c>
      <c r="X31" s="166">
        <v>0</v>
      </c>
      <c r="Y31" s="166">
        <v>0</v>
      </c>
      <c r="Z31" s="166">
        <v>0</v>
      </c>
      <c r="AA31" s="68"/>
    </row>
    <row r="32" spans="1:27">
      <c r="A32" s="67" t="s">
        <v>403</v>
      </c>
      <c r="B32" s="166">
        <v>0</v>
      </c>
      <c r="C32" s="166">
        <v>0</v>
      </c>
      <c r="D32" s="166">
        <v>16</v>
      </c>
      <c r="E32" s="166">
        <v>30</v>
      </c>
      <c r="F32" s="166">
        <v>0</v>
      </c>
      <c r="G32" s="166">
        <v>0</v>
      </c>
      <c r="H32" s="166">
        <v>0</v>
      </c>
      <c r="I32" s="139">
        <f t="shared" si="0"/>
        <v>5.6112082089552233</v>
      </c>
      <c r="J32" s="151">
        <f>12393*0.453592/996.96</f>
        <v>5.6385067164179103</v>
      </c>
      <c r="K32" s="187" t="s">
        <v>102</v>
      </c>
      <c r="L32" s="151">
        <f>12875*0.453592/996.96</f>
        <v>5.8578047263681592</v>
      </c>
      <c r="M32" s="151">
        <f>12032*0.453592/996.96</f>
        <v>5.4742606965174128</v>
      </c>
      <c r="N32" s="151">
        <f>12032*0.453592/996.96</f>
        <v>5.4742606965174128</v>
      </c>
      <c r="O32" s="156" t="s">
        <v>102</v>
      </c>
      <c r="P32" s="162" t="s">
        <v>102</v>
      </c>
      <c r="Q32" s="151">
        <f>6016*0.453592/996.96</f>
        <v>2.7371303482587064</v>
      </c>
      <c r="R32" s="166">
        <v>0</v>
      </c>
      <c r="S32" s="166">
        <v>0</v>
      </c>
      <c r="T32" s="166">
        <v>0</v>
      </c>
      <c r="U32" s="166">
        <v>0</v>
      </c>
      <c r="V32" s="166">
        <v>0</v>
      </c>
      <c r="W32" s="166">
        <v>0</v>
      </c>
      <c r="X32" s="166">
        <v>0</v>
      </c>
      <c r="Y32" s="166">
        <v>0</v>
      </c>
      <c r="Z32" s="166">
        <v>0</v>
      </c>
      <c r="AA32" s="68"/>
    </row>
    <row r="33" spans="1:27">
      <c r="A33" s="67" t="s">
        <v>446</v>
      </c>
      <c r="B33" s="166">
        <v>0</v>
      </c>
      <c r="C33" s="166">
        <v>0</v>
      </c>
      <c r="D33" s="166">
        <v>16</v>
      </c>
      <c r="E33" s="166">
        <v>30</v>
      </c>
      <c r="F33" s="166">
        <v>0</v>
      </c>
      <c r="G33" s="166">
        <v>0</v>
      </c>
      <c r="H33" s="166">
        <v>0</v>
      </c>
      <c r="I33" s="139">
        <f t="shared" si="0"/>
        <v>15.21084210199005</v>
      </c>
      <c r="J33" s="151">
        <f>33595*0.453592/996.96</f>
        <v>15.284889303482586</v>
      </c>
      <c r="K33" s="187" t="s">
        <v>102</v>
      </c>
      <c r="L33" s="151">
        <f>34900*0.453592/996.96</f>
        <v>15.87863184079602</v>
      </c>
      <c r="M33" s="151">
        <f>32617*0.453592/996.96</f>
        <v>14.839923631840795</v>
      </c>
      <c r="N33" s="151">
        <f>32617*0.453592/996.96</f>
        <v>14.839923631840795</v>
      </c>
      <c r="O33" s="156" t="s">
        <v>102</v>
      </c>
      <c r="P33" s="162" t="s">
        <v>102</v>
      </c>
      <c r="Q33" s="151">
        <f>16308*0.453592/996.96</f>
        <v>7.4197343283582082</v>
      </c>
      <c r="R33" s="166">
        <v>0</v>
      </c>
      <c r="S33" s="166">
        <v>0</v>
      </c>
      <c r="T33" s="166">
        <v>0</v>
      </c>
      <c r="U33" s="166">
        <v>0</v>
      </c>
      <c r="V33" s="166">
        <v>0</v>
      </c>
      <c r="W33" s="166">
        <v>0</v>
      </c>
      <c r="X33" s="166">
        <v>0</v>
      </c>
      <c r="Y33" s="166">
        <v>0</v>
      </c>
      <c r="Z33" s="166">
        <v>0</v>
      </c>
      <c r="AA33" s="68"/>
    </row>
    <row r="34" spans="1:27">
      <c r="A34" s="67" t="s">
        <v>447</v>
      </c>
      <c r="B34" s="166">
        <v>0</v>
      </c>
      <c r="C34" s="166">
        <v>0</v>
      </c>
      <c r="D34" s="166">
        <v>16</v>
      </c>
      <c r="E34" s="166">
        <v>30</v>
      </c>
      <c r="F34" s="166">
        <v>0</v>
      </c>
      <c r="G34" s="166">
        <v>0</v>
      </c>
      <c r="H34" s="166">
        <v>0</v>
      </c>
      <c r="I34" s="139">
        <f t="shared" si="0"/>
        <v>22.942878938640131</v>
      </c>
      <c r="J34" s="151">
        <f>50264*0.453592/996.96</f>
        <v>22.868869651741292</v>
      </c>
      <c r="K34" s="187" t="s">
        <v>102</v>
      </c>
      <c r="L34" s="151">
        <f>52216*0.453592/996.96</f>
        <v>23.756981094527362</v>
      </c>
      <c r="M34" s="151">
        <f>48800*0.453592/996.96</f>
        <v>22.20278606965174</v>
      </c>
      <c r="N34" s="156" t="s">
        <v>102</v>
      </c>
      <c r="O34" s="156" t="s">
        <v>102</v>
      </c>
      <c r="P34" s="162" t="s">
        <v>102</v>
      </c>
      <c r="Q34" s="151">
        <f>24400*0.453592/996.96</f>
        <v>11.10139303482587</v>
      </c>
      <c r="R34" s="166">
        <v>0</v>
      </c>
      <c r="S34" s="166">
        <v>0</v>
      </c>
      <c r="T34" s="166">
        <v>0</v>
      </c>
      <c r="U34" s="166">
        <v>0</v>
      </c>
      <c r="V34" s="166">
        <v>0</v>
      </c>
      <c r="W34" s="166">
        <v>0</v>
      </c>
      <c r="X34" s="166">
        <v>0</v>
      </c>
      <c r="Y34" s="166">
        <v>0</v>
      </c>
      <c r="Z34" s="166">
        <v>0</v>
      </c>
      <c r="AA34" s="68"/>
    </row>
    <row r="35" spans="1:27">
      <c r="A35" s="67" t="s">
        <v>590</v>
      </c>
      <c r="B35" s="166">
        <v>0</v>
      </c>
      <c r="C35" s="166">
        <v>0</v>
      </c>
      <c r="D35" s="166">
        <v>16</v>
      </c>
      <c r="E35" s="166">
        <v>35</v>
      </c>
      <c r="F35" s="166">
        <v>0</v>
      </c>
      <c r="G35" s="166">
        <v>0</v>
      </c>
      <c r="H35" s="166">
        <v>0</v>
      </c>
      <c r="I35" s="139">
        <f t="shared" si="0"/>
        <v>33</v>
      </c>
      <c r="J35" s="284" t="s">
        <v>102</v>
      </c>
      <c r="K35" s="187">
        <v>33</v>
      </c>
      <c r="L35" s="284" t="s">
        <v>102</v>
      </c>
      <c r="M35" s="284" t="s">
        <v>102</v>
      </c>
      <c r="N35" s="286" t="s">
        <v>102</v>
      </c>
      <c r="O35" s="286" t="s">
        <v>102</v>
      </c>
      <c r="P35" s="286" t="s">
        <v>102</v>
      </c>
      <c r="Q35" s="284" t="s">
        <v>102</v>
      </c>
      <c r="R35" s="166">
        <v>0</v>
      </c>
      <c r="S35" s="166">
        <v>0</v>
      </c>
      <c r="T35" s="166">
        <v>0</v>
      </c>
      <c r="U35" s="166">
        <v>0</v>
      </c>
      <c r="V35" s="166">
        <v>0</v>
      </c>
      <c r="W35" s="166">
        <v>0</v>
      </c>
      <c r="X35" s="166">
        <v>0</v>
      </c>
      <c r="Y35" s="166">
        <v>0</v>
      </c>
      <c r="Z35" s="166">
        <v>0</v>
      </c>
      <c r="AA35" s="68"/>
    </row>
    <row r="36" spans="1:27">
      <c r="A36" s="67" t="s">
        <v>461</v>
      </c>
      <c r="B36" s="166">
        <v>0</v>
      </c>
      <c r="C36" s="166">
        <v>0</v>
      </c>
      <c r="D36" s="166">
        <v>16</v>
      </c>
      <c r="E36" s="166">
        <v>35</v>
      </c>
      <c r="F36" s="166">
        <v>0</v>
      </c>
      <c r="G36" s="166">
        <v>0</v>
      </c>
      <c r="H36" s="166">
        <v>0</v>
      </c>
      <c r="I36" s="139">
        <f t="shared" si="0"/>
        <v>28.913963781094527</v>
      </c>
      <c r="J36" s="151">
        <f>(66867*0.453592)/996.96</f>
        <v>30.422821641791046</v>
      </c>
      <c r="K36" s="187">
        <v>23.47</v>
      </c>
      <c r="L36" s="151">
        <f>(69463*0.453592)/996.96</f>
        <v>31.603937064676618</v>
      </c>
      <c r="M36" s="151">
        <f>(64919*0.453592)/996.96</f>
        <v>29.536530099502485</v>
      </c>
      <c r="N36" s="151">
        <f>(64919*0.453592)/996.96</f>
        <v>29.536530099502485</v>
      </c>
      <c r="O36" s="157" t="s">
        <v>102</v>
      </c>
      <c r="P36" s="328" t="s">
        <v>102</v>
      </c>
      <c r="Q36" s="151">
        <f>32460*0.453592/996.96</f>
        <v>14.768492537313433</v>
      </c>
      <c r="R36" s="166">
        <v>0</v>
      </c>
      <c r="S36" s="166">
        <v>0</v>
      </c>
      <c r="T36" s="166">
        <v>0</v>
      </c>
      <c r="U36" s="166">
        <v>0</v>
      </c>
      <c r="V36" s="166">
        <v>0</v>
      </c>
      <c r="W36" s="166">
        <v>0</v>
      </c>
      <c r="X36" s="166">
        <v>0</v>
      </c>
      <c r="Y36" s="166">
        <v>0</v>
      </c>
      <c r="Z36" s="166">
        <v>0</v>
      </c>
      <c r="AA36" s="68"/>
    </row>
    <row r="37" spans="1:27">
      <c r="A37" s="67" t="s">
        <v>175</v>
      </c>
      <c r="B37" s="130">
        <v>295</v>
      </c>
      <c r="C37" s="130">
        <v>17</v>
      </c>
      <c r="D37" s="130">
        <v>16</v>
      </c>
      <c r="E37" s="130">
        <v>30</v>
      </c>
      <c r="F37" s="130">
        <v>7.0000000000000001E-3</v>
      </c>
      <c r="G37" s="130">
        <v>4.8000000000000001E-2</v>
      </c>
      <c r="H37" s="130">
        <v>43.1</v>
      </c>
      <c r="I37" s="139">
        <f t="shared" si="0"/>
        <v>14.205800000000002</v>
      </c>
      <c r="J37" s="155" t="s">
        <v>102</v>
      </c>
      <c r="K37" s="187">
        <f>0.93408*365/24</f>
        <v>14.205800000000002</v>
      </c>
      <c r="L37" s="155" t="s">
        <v>102</v>
      </c>
      <c r="M37" s="155" t="s">
        <v>102</v>
      </c>
      <c r="N37" s="155" t="s">
        <v>102</v>
      </c>
      <c r="O37" s="155" t="s">
        <v>102</v>
      </c>
      <c r="P37" s="164" t="s">
        <v>102</v>
      </c>
      <c r="Q37" s="162" t="s">
        <v>102</v>
      </c>
      <c r="R37" s="130">
        <v>402</v>
      </c>
      <c r="S37" s="130">
        <v>0.1</v>
      </c>
      <c r="T37" s="130">
        <v>1515</v>
      </c>
      <c r="U37" s="130">
        <v>0.2</v>
      </c>
      <c r="V37" s="130">
        <v>0.2</v>
      </c>
      <c r="W37" s="130">
        <v>0.2</v>
      </c>
      <c r="X37" s="130">
        <v>1.2699999999999999E-2</v>
      </c>
      <c r="Y37" s="73">
        <v>0.67</v>
      </c>
      <c r="Z37" s="131">
        <v>78.5</v>
      </c>
      <c r="AA37" s="68"/>
    </row>
    <row r="38" spans="1:27">
      <c r="A38" s="67" t="s">
        <v>179</v>
      </c>
      <c r="B38" s="130">
        <v>250</v>
      </c>
      <c r="C38" s="130">
        <v>14.4</v>
      </c>
      <c r="D38" s="130">
        <v>16</v>
      </c>
      <c r="E38" s="130">
        <v>73</v>
      </c>
      <c r="F38" s="130">
        <v>1.7999999999999999E-2</v>
      </c>
      <c r="G38" s="130">
        <v>0.04</v>
      </c>
      <c r="H38" s="130">
        <v>15.5</v>
      </c>
      <c r="I38" s="139" t="e">
        <f t="shared" si="0"/>
        <v>#DIV/0!</v>
      </c>
      <c r="J38" s="155" t="s">
        <v>102</v>
      </c>
      <c r="K38" s="187" t="s">
        <v>102</v>
      </c>
      <c r="L38" s="155" t="s">
        <v>102</v>
      </c>
      <c r="M38" s="155" t="s">
        <v>102</v>
      </c>
      <c r="N38" s="155" t="s">
        <v>102</v>
      </c>
      <c r="O38" s="155" t="s">
        <v>102</v>
      </c>
      <c r="P38" s="164" t="s">
        <v>102</v>
      </c>
      <c r="Q38" s="162" t="s">
        <v>102</v>
      </c>
      <c r="R38" s="130">
        <v>402</v>
      </c>
      <c r="S38" s="130">
        <v>0.5</v>
      </c>
      <c r="T38" s="130">
        <v>565</v>
      </c>
      <c r="U38" s="130">
        <v>0.3</v>
      </c>
      <c r="V38" s="130">
        <v>0.2</v>
      </c>
      <c r="W38" s="130">
        <v>0.2</v>
      </c>
      <c r="X38" s="130">
        <v>1.0800000000000001E-2</v>
      </c>
      <c r="Y38" s="73">
        <v>0.67</v>
      </c>
      <c r="Z38" s="130">
        <v>56.6</v>
      </c>
      <c r="AA38" s="68"/>
    </row>
    <row r="39" spans="1:27">
      <c r="A39" s="67" t="s">
        <v>561</v>
      </c>
      <c r="B39" s="166">
        <v>0</v>
      </c>
      <c r="C39" s="166">
        <v>0</v>
      </c>
      <c r="D39" s="166">
        <v>16</v>
      </c>
      <c r="E39" s="130">
        <v>35</v>
      </c>
      <c r="F39" s="166">
        <v>0</v>
      </c>
      <c r="G39" s="166">
        <v>0</v>
      </c>
      <c r="H39" s="166">
        <v>0</v>
      </c>
      <c r="I39" s="139">
        <f t="shared" si="0"/>
        <v>13.1546</v>
      </c>
      <c r="J39" s="285" t="s">
        <v>102</v>
      </c>
      <c r="K39" s="187">
        <f>0.86496*365/24</f>
        <v>13.1546</v>
      </c>
      <c r="L39" s="155" t="s">
        <v>102</v>
      </c>
      <c r="M39" s="155" t="s">
        <v>102</v>
      </c>
      <c r="N39" s="155" t="s">
        <v>102</v>
      </c>
      <c r="O39" s="155" t="s">
        <v>102</v>
      </c>
      <c r="P39" s="164" t="s">
        <v>102</v>
      </c>
      <c r="Q39" s="162" t="s">
        <v>102</v>
      </c>
      <c r="R39" s="166">
        <v>0</v>
      </c>
      <c r="S39" s="166">
        <v>0</v>
      </c>
      <c r="T39" s="166">
        <v>0</v>
      </c>
      <c r="U39" s="166">
        <v>0</v>
      </c>
      <c r="V39" s="166">
        <v>0</v>
      </c>
      <c r="W39" s="166">
        <v>0</v>
      </c>
      <c r="X39" s="166">
        <v>0</v>
      </c>
      <c r="Y39" s="166">
        <v>0</v>
      </c>
      <c r="Z39" s="166">
        <v>0</v>
      </c>
      <c r="AA39" s="68"/>
    </row>
    <row r="40" spans="1:27">
      <c r="A40" s="67" t="s">
        <v>562</v>
      </c>
      <c r="B40" s="166">
        <v>0</v>
      </c>
      <c r="C40" s="166">
        <v>0</v>
      </c>
      <c r="D40" s="166">
        <v>16</v>
      </c>
      <c r="E40" s="130">
        <v>35</v>
      </c>
      <c r="F40" s="166">
        <v>0</v>
      </c>
      <c r="G40" s="166">
        <v>0</v>
      </c>
      <c r="H40" s="166">
        <v>0</v>
      </c>
      <c r="I40" s="139">
        <f t="shared" si="0"/>
        <v>12.774999999999999</v>
      </c>
      <c r="J40" s="285" t="s">
        <v>102</v>
      </c>
      <c r="K40" s="187">
        <f>0.84*365/24</f>
        <v>12.774999999999999</v>
      </c>
      <c r="L40" s="155" t="s">
        <v>102</v>
      </c>
      <c r="M40" s="155" t="s">
        <v>102</v>
      </c>
      <c r="N40" s="155" t="s">
        <v>102</v>
      </c>
      <c r="O40" s="155" t="s">
        <v>102</v>
      </c>
      <c r="P40" s="164" t="s">
        <v>102</v>
      </c>
      <c r="Q40" s="162" t="s">
        <v>102</v>
      </c>
      <c r="R40" s="166">
        <v>0</v>
      </c>
      <c r="S40" s="166">
        <v>0</v>
      </c>
      <c r="T40" s="166">
        <v>0</v>
      </c>
      <c r="U40" s="166">
        <v>0</v>
      </c>
      <c r="V40" s="166">
        <v>0</v>
      </c>
      <c r="W40" s="166">
        <v>0</v>
      </c>
      <c r="X40" s="166">
        <v>0</v>
      </c>
      <c r="Y40" s="166">
        <v>0</v>
      </c>
      <c r="Z40" s="166">
        <v>0</v>
      </c>
      <c r="AA40" s="68"/>
    </row>
    <row r="41" spans="1:27">
      <c r="A41" s="67" t="s">
        <v>404</v>
      </c>
      <c r="B41" s="166">
        <v>0</v>
      </c>
      <c r="C41" s="166">
        <v>0</v>
      </c>
      <c r="D41" s="166">
        <v>16</v>
      </c>
      <c r="E41" s="166">
        <v>35</v>
      </c>
      <c r="F41" s="166">
        <v>0</v>
      </c>
      <c r="G41" s="166">
        <v>0</v>
      </c>
      <c r="H41" s="166">
        <v>0</v>
      </c>
      <c r="I41" s="139">
        <f t="shared" si="0"/>
        <v>21.192741293532336</v>
      </c>
      <c r="J41" s="151">
        <f>(46807*0.453592)/996.96</f>
        <v>21.296020646766166</v>
      </c>
      <c r="K41" s="187" t="s">
        <v>102</v>
      </c>
      <c r="L41" s="151">
        <f>(48625*0.453592)/996.96</f>
        <v>22.12316542288557</v>
      </c>
      <c r="M41" s="151">
        <f>(45444*0.453592)/996.96</f>
        <v>20.675889552238804</v>
      </c>
      <c r="N41" s="151">
        <f>(45444*0.453592)/996.96</f>
        <v>20.675889552238804</v>
      </c>
      <c r="O41" s="157" t="s">
        <v>102</v>
      </c>
      <c r="P41" s="163" t="s">
        <v>102</v>
      </c>
      <c r="Q41" s="151">
        <f>22722*0.453592/996.96</f>
        <v>10.337944776119402</v>
      </c>
      <c r="R41" s="166">
        <v>0</v>
      </c>
      <c r="S41" s="166">
        <v>0</v>
      </c>
      <c r="T41" s="166">
        <v>0</v>
      </c>
      <c r="U41" s="166">
        <v>0</v>
      </c>
      <c r="V41" s="166">
        <v>0</v>
      </c>
      <c r="W41" s="166">
        <v>0</v>
      </c>
      <c r="X41" s="166">
        <v>0</v>
      </c>
      <c r="Y41" s="166">
        <v>0</v>
      </c>
      <c r="Z41" s="166">
        <v>0</v>
      </c>
      <c r="AA41" s="68"/>
    </row>
    <row r="42" spans="1:27">
      <c r="A42" s="67" t="s">
        <v>405</v>
      </c>
      <c r="B42" s="166">
        <v>0</v>
      </c>
      <c r="C42" s="166">
        <v>0</v>
      </c>
      <c r="D42" s="166">
        <v>16</v>
      </c>
      <c r="E42" s="166">
        <v>30</v>
      </c>
      <c r="F42" s="166">
        <v>0</v>
      </c>
      <c r="G42" s="166">
        <v>0</v>
      </c>
      <c r="H42" s="166">
        <v>0</v>
      </c>
      <c r="I42" s="139">
        <f t="shared" si="0"/>
        <v>37.242557524875622</v>
      </c>
      <c r="J42" s="151">
        <f>(82255*0.453592)/996.96</f>
        <v>37.423978855721394</v>
      </c>
      <c r="K42" s="187" t="s">
        <v>102</v>
      </c>
      <c r="L42" s="151">
        <f>(85450*0.453592)/996.96</f>
        <v>38.877624378109452</v>
      </c>
      <c r="M42" s="151">
        <f>(79860*0.453592)/996.96</f>
        <v>36.33431343283582</v>
      </c>
      <c r="N42" s="151">
        <f>(79860*0.453592)/996.96</f>
        <v>36.33431343283582</v>
      </c>
      <c r="O42" s="157" t="s">
        <v>102</v>
      </c>
      <c r="P42" s="157" t="s">
        <v>102</v>
      </c>
      <c r="Q42" s="151">
        <f>39930*0.453592/996.96</f>
        <v>18.16715671641791</v>
      </c>
      <c r="R42" s="166">
        <v>0</v>
      </c>
      <c r="S42" s="166">
        <v>0</v>
      </c>
      <c r="T42" s="166">
        <v>0</v>
      </c>
      <c r="U42" s="166">
        <v>0</v>
      </c>
      <c r="V42" s="166">
        <v>0</v>
      </c>
      <c r="W42" s="166">
        <v>0</v>
      </c>
      <c r="X42" s="166">
        <v>0</v>
      </c>
      <c r="Y42" s="166">
        <v>0</v>
      </c>
      <c r="Z42" s="166">
        <v>0</v>
      </c>
      <c r="AA42" s="68"/>
    </row>
    <row r="43" spans="1:27">
      <c r="A43" s="67" t="s">
        <v>406</v>
      </c>
      <c r="B43" s="166">
        <v>0</v>
      </c>
      <c r="C43" s="166">
        <v>0</v>
      </c>
      <c r="D43" s="166">
        <v>16</v>
      </c>
      <c r="E43" s="166">
        <v>30</v>
      </c>
      <c r="F43" s="166">
        <v>0</v>
      </c>
      <c r="G43" s="166">
        <v>0</v>
      </c>
      <c r="H43" s="166">
        <v>0</v>
      </c>
      <c r="I43" s="139">
        <f t="shared" si="0"/>
        <v>49.568629850746262</v>
      </c>
      <c r="J43" s="151">
        <f>(109479*0.453592)/996.96</f>
        <v>49.810221641791038</v>
      </c>
      <c r="K43" s="187" t="s">
        <v>102</v>
      </c>
      <c r="L43" s="151">
        <f>(113731*0.453592)/996.96</f>
        <v>51.744775870646762</v>
      </c>
      <c r="M43" s="151">
        <f>(106291*0.453592)/996.96</f>
        <v>48.359760945273628</v>
      </c>
      <c r="N43" s="151">
        <f>(106291*0.453592)/996.96</f>
        <v>48.359760945273628</v>
      </c>
      <c r="O43" s="157" t="s">
        <v>102</v>
      </c>
      <c r="P43" s="157" t="s">
        <v>102</v>
      </c>
      <c r="Q43" s="151">
        <f>53145*0.453592/996.96</f>
        <v>24.179652985074629</v>
      </c>
      <c r="R43" s="166">
        <v>0</v>
      </c>
      <c r="S43" s="166">
        <v>0</v>
      </c>
      <c r="T43" s="166">
        <v>0</v>
      </c>
      <c r="U43" s="166">
        <v>0</v>
      </c>
      <c r="V43" s="166">
        <v>0</v>
      </c>
      <c r="W43" s="166">
        <v>0</v>
      </c>
      <c r="X43" s="166">
        <v>0</v>
      </c>
      <c r="Y43" s="166">
        <v>0</v>
      </c>
      <c r="Z43" s="166">
        <v>0</v>
      </c>
      <c r="AA43" s="68"/>
    </row>
    <row r="44" spans="1:27">
      <c r="A44" s="67" t="s">
        <v>407</v>
      </c>
      <c r="B44" s="166">
        <v>0</v>
      </c>
      <c r="C44" s="166">
        <v>0</v>
      </c>
      <c r="D44" s="166">
        <v>16</v>
      </c>
      <c r="E44" s="166">
        <v>30</v>
      </c>
      <c r="F44" s="166">
        <v>0</v>
      </c>
      <c r="G44" s="166">
        <v>0</v>
      </c>
      <c r="H44" s="166">
        <v>0</v>
      </c>
      <c r="I44" s="139">
        <f t="shared" si="0"/>
        <v>25.34757412935323</v>
      </c>
      <c r="J44" s="151">
        <f>(55984*0.453592)/996.96</f>
        <v>25.471327363184081</v>
      </c>
      <c r="K44" s="187" t="s">
        <v>102</v>
      </c>
      <c r="L44" s="151">
        <f>(58158*0.453592)/996.96</f>
        <v>26.460443283582087</v>
      </c>
      <c r="M44" s="151">
        <f>(54353*0.453592)/996.96</f>
        <v>24.72926293532338</v>
      </c>
      <c r="N44" s="151">
        <f>(54353*0.453592)/996.96</f>
        <v>24.72926293532338</v>
      </c>
      <c r="O44" s="157" t="s">
        <v>102</v>
      </c>
      <c r="P44" s="157" t="s">
        <v>102</v>
      </c>
      <c r="Q44" s="151">
        <f>27177*0.453592/996.96</f>
        <v>12.36485895522388</v>
      </c>
      <c r="R44" s="166">
        <v>0</v>
      </c>
      <c r="S44" s="166">
        <v>0</v>
      </c>
      <c r="T44" s="166">
        <v>0</v>
      </c>
      <c r="U44" s="166">
        <v>0</v>
      </c>
      <c r="V44" s="166">
        <v>0</v>
      </c>
      <c r="W44" s="166">
        <v>0</v>
      </c>
      <c r="X44" s="166">
        <v>0</v>
      </c>
      <c r="Y44" s="166">
        <v>0</v>
      </c>
      <c r="Z44" s="166">
        <v>0</v>
      </c>
      <c r="AA44" s="68"/>
    </row>
    <row r="45" spans="1:27">
      <c r="A45" s="67" t="s">
        <v>408</v>
      </c>
      <c r="B45" s="166">
        <v>0</v>
      </c>
      <c r="C45" s="166">
        <v>0</v>
      </c>
      <c r="D45" s="166">
        <v>16</v>
      </c>
      <c r="E45" s="166">
        <v>30</v>
      </c>
      <c r="F45" s="166">
        <v>0</v>
      </c>
      <c r="G45" s="166">
        <v>0</v>
      </c>
      <c r="H45" s="166">
        <v>0</v>
      </c>
      <c r="I45" s="139">
        <f t="shared" si="0"/>
        <v>16.898344838308457</v>
      </c>
      <c r="J45" s="151">
        <f>(37323*0.453592)/996.96</f>
        <v>16.981036567164178</v>
      </c>
      <c r="K45" s="187" t="s">
        <v>102</v>
      </c>
      <c r="L45" s="151">
        <f>(38772*0.453592)/996.96</f>
        <v>17.640295522388058</v>
      </c>
      <c r="M45" s="151">
        <f>(36235*0.453592)/996.96</f>
        <v>16.486023631840794</v>
      </c>
      <c r="N45" s="151">
        <f>(36235*0.453592)/996.96</f>
        <v>16.486023631840794</v>
      </c>
      <c r="O45" s="157" t="s">
        <v>102</v>
      </c>
      <c r="P45" s="157" t="s">
        <v>102</v>
      </c>
      <c r="Q45" s="151">
        <f>18118*0.453592/996.96</f>
        <v>8.2432393034825875</v>
      </c>
      <c r="R45" s="166">
        <v>0</v>
      </c>
      <c r="S45" s="166">
        <v>0</v>
      </c>
      <c r="T45" s="166">
        <v>0</v>
      </c>
      <c r="U45" s="166">
        <v>0</v>
      </c>
      <c r="V45" s="166">
        <v>0</v>
      </c>
      <c r="W45" s="166">
        <v>0</v>
      </c>
      <c r="X45" s="166">
        <v>0</v>
      </c>
      <c r="Y45" s="166">
        <v>0</v>
      </c>
      <c r="Z45" s="166">
        <v>0</v>
      </c>
      <c r="AA45" s="68"/>
    </row>
    <row r="46" spans="1:27">
      <c r="A46" s="67" t="s">
        <v>409</v>
      </c>
      <c r="B46" s="166">
        <v>0</v>
      </c>
      <c r="C46" s="166">
        <v>0</v>
      </c>
      <c r="D46" s="166">
        <v>16</v>
      </c>
      <c r="E46" s="166">
        <v>30</v>
      </c>
      <c r="F46" s="166">
        <v>0</v>
      </c>
      <c r="G46" s="166">
        <v>0</v>
      </c>
      <c r="H46" s="166">
        <v>0</v>
      </c>
      <c r="I46" s="139">
        <f t="shared" si="0"/>
        <v>28.968721144278604</v>
      </c>
      <c r="J46" s="151">
        <f>(63982*0.453592)/996.96</f>
        <v>29.110218407960197</v>
      </c>
      <c r="K46" s="187" t="s">
        <v>102</v>
      </c>
      <c r="L46" s="151">
        <f>(66466*0.453592)/996.96</f>
        <v>30.240376616915423</v>
      </c>
      <c r="M46" s="151">
        <f>(62118*0.453592)/996.96</f>
        <v>28.262144776119403</v>
      </c>
      <c r="N46" s="151">
        <f>(62118*0.453592)/996.96</f>
        <v>28.262144776119403</v>
      </c>
      <c r="O46" s="157" t="s">
        <v>102</v>
      </c>
      <c r="P46" s="157" t="s">
        <v>102</v>
      </c>
      <c r="Q46" s="151">
        <f>31059*0.453592/996.96</f>
        <v>14.131072388059701</v>
      </c>
      <c r="R46" s="166">
        <v>0</v>
      </c>
      <c r="S46" s="166">
        <v>0</v>
      </c>
      <c r="T46" s="166">
        <v>0</v>
      </c>
      <c r="U46" s="166">
        <v>0</v>
      </c>
      <c r="V46" s="166">
        <v>0</v>
      </c>
      <c r="W46" s="166">
        <v>0</v>
      </c>
      <c r="X46" s="166">
        <v>0</v>
      </c>
      <c r="Y46" s="166">
        <v>0</v>
      </c>
      <c r="Z46" s="166">
        <v>0</v>
      </c>
      <c r="AA46" s="68"/>
    </row>
    <row r="47" spans="1:27">
      <c r="A47" s="67" t="s">
        <v>410</v>
      </c>
      <c r="B47" s="166">
        <v>0</v>
      </c>
      <c r="C47" s="166">
        <v>0</v>
      </c>
      <c r="D47" s="166">
        <v>16</v>
      </c>
      <c r="E47" s="166">
        <v>30</v>
      </c>
      <c r="F47" s="166">
        <v>0</v>
      </c>
      <c r="G47" s="166">
        <v>0</v>
      </c>
      <c r="H47" s="166">
        <v>0</v>
      </c>
      <c r="I47" s="139">
        <f t="shared" si="0"/>
        <v>13.518675870646765</v>
      </c>
      <c r="J47" s="151">
        <f>(29858*0.453592)/996.96</f>
        <v>13.584647263681592</v>
      </c>
      <c r="K47" s="187" t="s">
        <v>102</v>
      </c>
      <c r="L47" s="151">
        <f>(31018*0.453592)/996.96</f>
        <v>14.112418407960199</v>
      </c>
      <c r="M47" s="151">
        <f>(28988*0.453592)/996.96</f>
        <v>13.188818905472637</v>
      </c>
      <c r="N47" s="151">
        <f>(28988*0.453592)/996.96</f>
        <v>13.188818905472637</v>
      </c>
      <c r="O47" s="157" t="s">
        <v>102</v>
      </c>
      <c r="P47" s="157" t="s">
        <v>102</v>
      </c>
      <c r="Q47" s="151">
        <f>14494*0.453592/996.96</f>
        <v>6.5944094527363184</v>
      </c>
      <c r="R47" s="166">
        <v>0</v>
      </c>
      <c r="S47" s="166">
        <v>0</v>
      </c>
      <c r="T47" s="166">
        <v>0</v>
      </c>
      <c r="U47" s="166">
        <v>0</v>
      </c>
      <c r="V47" s="166">
        <v>0</v>
      </c>
      <c r="W47" s="166">
        <v>0</v>
      </c>
      <c r="X47" s="166">
        <v>0</v>
      </c>
      <c r="Y47" s="166">
        <v>0</v>
      </c>
      <c r="Z47" s="166">
        <v>0</v>
      </c>
      <c r="AA47" s="68"/>
    </row>
    <row r="48" spans="1:27">
      <c r="A48" s="67" t="s">
        <v>411</v>
      </c>
      <c r="B48" s="166">
        <v>0</v>
      </c>
      <c r="C48" s="166">
        <v>0</v>
      </c>
      <c r="D48" s="166">
        <v>16</v>
      </c>
      <c r="E48" s="166">
        <v>30</v>
      </c>
      <c r="F48" s="166">
        <v>0</v>
      </c>
      <c r="G48" s="166">
        <v>0</v>
      </c>
      <c r="H48" s="166">
        <v>0</v>
      </c>
      <c r="I48" s="139">
        <f t="shared" si="0"/>
        <v>135.44234098258704</v>
      </c>
      <c r="J48" s="151">
        <f>(299144*0.453592)/996.96</f>
        <v>136.10307860696517</v>
      </c>
      <c r="K48" s="187" t="s">
        <v>102</v>
      </c>
      <c r="L48" s="151">
        <f>(310761*0.453592)/996.96</f>
        <v>141.38852462686566</v>
      </c>
      <c r="M48" s="151">
        <f>(290431*0.453592)/996.96</f>
        <v>132.13888034825871</v>
      </c>
      <c r="N48" s="151">
        <f>(290431*0.453592)/996.96</f>
        <v>132.13888034825871</v>
      </c>
      <c r="O48" s="157" t="s">
        <v>102</v>
      </c>
      <c r="P48" s="157" t="s">
        <v>102</v>
      </c>
      <c r="Q48" s="151">
        <f>145215*0.453592/996.96</f>
        <v>66.06921268656717</v>
      </c>
      <c r="R48" s="166">
        <v>0</v>
      </c>
      <c r="S48" s="166">
        <v>0</v>
      </c>
      <c r="T48" s="166">
        <v>0</v>
      </c>
      <c r="U48" s="166">
        <v>0</v>
      </c>
      <c r="V48" s="166">
        <v>0</v>
      </c>
      <c r="W48" s="166">
        <v>0</v>
      </c>
      <c r="X48" s="166">
        <v>0</v>
      </c>
      <c r="Y48" s="166">
        <v>0</v>
      </c>
      <c r="Z48" s="166">
        <v>0</v>
      </c>
      <c r="AA48" s="68"/>
    </row>
    <row r="49" spans="1:27">
      <c r="A49" s="67" t="s">
        <v>412</v>
      </c>
      <c r="B49" s="166">
        <v>0</v>
      </c>
      <c r="C49" s="166">
        <v>0</v>
      </c>
      <c r="D49" s="166">
        <v>16</v>
      </c>
      <c r="E49" s="166">
        <v>30</v>
      </c>
      <c r="F49" s="166">
        <v>0</v>
      </c>
      <c r="G49" s="166">
        <v>0</v>
      </c>
      <c r="H49" s="166">
        <v>0</v>
      </c>
      <c r="I49" s="139">
        <f t="shared" si="0"/>
        <v>26.121145584577114</v>
      </c>
      <c r="J49" s="151">
        <f>(57692*0.453592)/996.96</f>
        <v>26.24842487562189</v>
      </c>
      <c r="K49" s="187" t="s">
        <v>102</v>
      </c>
      <c r="L49" s="151">
        <f>(59933*0.453592)/996.96</f>
        <v>27.268024129353233</v>
      </c>
      <c r="M49" s="151">
        <f>(56012*0.453592)/996.96</f>
        <v>25.484066666666667</v>
      </c>
      <c r="N49" s="151">
        <f>(56012*0.453592)/996.96</f>
        <v>25.484066666666667</v>
      </c>
      <c r="O49" s="157" t="s">
        <v>102</v>
      </c>
      <c r="P49" s="157" t="s">
        <v>102</v>
      </c>
      <c r="Q49" s="151">
        <f>28006*0.453592/996.96</f>
        <v>12.742033333333334</v>
      </c>
      <c r="R49" s="166">
        <v>0</v>
      </c>
      <c r="S49" s="166">
        <v>0</v>
      </c>
      <c r="T49" s="166">
        <v>0</v>
      </c>
      <c r="U49" s="166">
        <v>0</v>
      </c>
      <c r="V49" s="166">
        <v>0</v>
      </c>
      <c r="W49" s="166">
        <v>0</v>
      </c>
      <c r="X49" s="166">
        <v>0</v>
      </c>
      <c r="Y49" s="166">
        <v>0</v>
      </c>
      <c r="Z49" s="166">
        <v>0</v>
      </c>
      <c r="AA49" s="68"/>
    </row>
    <row r="50" spans="1:27">
      <c r="A50" s="67" t="s">
        <v>413</v>
      </c>
      <c r="B50" s="166">
        <v>0</v>
      </c>
      <c r="C50" s="166">
        <v>0</v>
      </c>
      <c r="D50" s="166">
        <v>16</v>
      </c>
      <c r="E50" s="166">
        <v>30</v>
      </c>
      <c r="F50" s="166">
        <v>0</v>
      </c>
      <c r="G50" s="166">
        <v>0</v>
      </c>
      <c r="H50" s="166">
        <v>0</v>
      </c>
      <c r="I50" s="139">
        <f t="shared" si="0"/>
        <v>33.796803420398</v>
      </c>
      <c r="J50" s="151">
        <f>(74645*0.453592)/996.96</f>
        <v>33.961618159203972</v>
      </c>
      <c r="K50" s="187" t="s">
        <v>102</v>
      </c>
      <c r="L50" s="151">
        <f>(77544*0.453592)/996.96</f>
        <v>35.280591044776116</v>
      </c>
      <c r="M50" s="151">
        <f>(72471*0.453592)/996.96</f>
        <v>32.972502238805966</v>
      </c>
      <c r="N50" s="151">
        <f>(72471*0.453592)/996.96</f>
        <v>32.972502238805966</v>
      </c>
      <c r="O50" s="157" t="s">
        <v>102</v>
      </c>
      <c r="P50" s="157" t="s">
        <v>102</v>
      </c>
      <c r="Q50" s="151">
        <f>36236*0.453592/996.96</f>
        <v>16.486478606965175</v>
      </c>
      <c r="R50" s="166">
        <v>0</v>
      </c>
      <c r="S50" s="166">
        <v>0</v>
      </c>
      <c r="T50" s="166">
        <v>0</v>
      </c>
      <c r="U50" s="166">
        <v>0</v>
      </c>
      <c r="V50" s="166">
        <v>0</v>
      </c>
      <c r="W50" s="166">
        <v>0</v>
      </c>
      <c r="X50" s="166">
        <v>0</v>
      </c>
      <c r="Y50" s="166">
        <v>0</v>
      </c>
      <c r="Z50" s="166">
        <v>0</v>
      </c>
      <c r="AA50" s="68"/>
    </row>
    <row r="51" spans="1:27">
      <c r="A51" s="67" t="s">
        <v>417</v>
      </c>
      <c r="B51" s="166">
        <v>0</v>
      </c>
      <c r="C51" s="166">
        <v>0</v>
      </c>
      <c r="D51" s="166">
        <v>16</v>
      </c>
      <c r="E51" s="166">
        <v>30</v>
      </c>
      <c r="F51" s="166">
        <v>0</v>
      </c>
      <c r="G51" s="166">
        <v>0</v>
      </c>
      <c r="H51" s="166">
        <v>0</v>
      </c>
      <c r="I51" s="139">
        <f t="shared" si="0"/>
        <v>33.860613681592042</v>
      </c>
      <c r="J51" s="151">
        <f>(74786*0.453592)/996.96</f>
        <v>34.025769651741292</v>
      </c>
      <c r="K51" s="187" t="s">
        <v>102</v>
      </c>
      <c r="L51" s="151">
        <f>(77690*0.453592)/996.96</f>
        <v>35.347017412935323</v>
      </c>
      <c r="M51" s="151">
        <f>(72608*0.453592)/996.96</f>
        <v>33.03483383084577</v>
      </c>
      <c r="N51" s="151">
        <f>(72608*0.453592)/996.96</f>
        <v>33.03483383084577</v>
      </c>
      <c r="O51" s="157" t="s">
        <v>102</v>
      </c>
      <c r="P51" s="157" t="s">
        <v>102</v>
      </c>
      <c r="Q51" s="151">
        <f>36304*0.453592/996.96</f>
        <v>16.517416915422885</v>
      </c>
      <c r="R51" s="166">
        <v>0</v>
      </c>
      <c r="S51" s="166">
        <v>0</v>
      </c>
      <c r="T51" s="166">
        <v>0</v>
      </c>
      <c r="U51" s="166">
        <v>0</v>
      </c>
      <c r="V51" s="166">
        <v>0</v>
      </c>
      <c r="W51" s="166">
        <v>0</v>
      </c>
      <c r="X51" s="166">
        <v>0</v>
      </c>
      <c r="Y51" s="166">
        <v>0</v>
      </c>
      <c r="Z51" s="166">
        <v>0</v>
      </c>
      <c r="AA51" s="68"/>
    </row>
    <row r="52" spans="1:27">
      <c r="A52" s="67" t="s">
        <v>420</v>
      </c>
      <c r="B52" s="166">
        <v>0</v>
      </c>
      <c r="C52" s="166">
        <v>0</v>
      </c>
      <c r="D52" s="166">
        <v>16</v>
      </c>
      <c r="E52" s="166">
        <v>30</v>
      </c>
      <c r="F52" s="166">
        <v>0</v>
      </c>
      <c r="G52" s="166">
        <v>0</v>
      </c>
      <c r="H52" s="166">
        <v>0</v>
      </c>
      <c r="I52" s="139">
        <f t="shared" si="0"/>
        <v>32.447347201492533</v>
      </c>
      <c r="J52" s="151">
        <f>(71665*0.453592)/996.96</f>
        <v>32.605792288557211</v>
      </c>
      <c r="K52" s="187" t="s">
        <v>102</v>
      </c>
      <c r="L52" s="151">
        <f>(74448*0.453592)/996.96</f>
        <v>33.871988059701494</v>
      </c>
      <c r="M52" s="151">
        <f>(69577*0.453592)/996.96</f>
        <v>31.655804228855722</v>
      </c>
      <c r="N52" s="151">
        <f>(69577*0.453592)/996.96</f>
        <v>31.655804228855722</v>
      </c>
      <c r="O52" s="157" t="s">
        <v>102</v>
      </c>
      <c r="P52" s="157" t="s">
        <v>102</v>
      </c>
      <c r="Q52" s="151">
        <f>34789*0.453592/996.96</f>
        <v>15.828129601990049</v>
      </c>
      <c r="R52" s="166">
        <v>0</v>
      </c>
      <c r="S52" s="166">
        <v>0</v>
      </c>
      <c r="T52" s="166">
        <v>0</v>
      </c>
      <c r="U52" s="166">
        <v>0</v>
      </c>
      <c r="V52" s="166">
        <v>0</v>
      </c>
      <c r="W52" s="166">
        <v>0</v>
      </c>
      <c r="X52" s="166">
        <v>0</v>
      </c>
      <c r="Y52" s="166">
        <v>0</v>
      </c>
      <c r="Z52" s="166">
        <v>0</v>
      </c>
      <c r="AA52" s="68"/>
    </row>
    <row r="53" spans="1:27">
      <c r="A53" s="67" t="s">
        <v>421</v>
      </c>
      <c r="B53" s="166">
        <v>0</v>
      </c>
      <c r="C53" s="166">
        <v>0</v>
      </c>
      <c r="D53" s="166">
        <v>16</v>
      </c>
      <c r="E53" s="166">
        <v>30</v>
      </c>
      <c r="F53" s="166">
        <v>0</v>
      </c>
      <c r="G53" s="166">
        <v>0</v>
      </c>
      <c r="H53" s="166">
        <v>0</v>
      </c>
      <c r="I53" s="139">
        <f t="shared" si="0"/>
        <v>38.624999440298502</v>
      </c>
      <c r="J53" s="151">
        <f>(85309*0.453592)/996.96</f>
        <v>38.813472885572139</v>
      </c>
      <c r="K53" s="187" t="s">
        <v>102</v>
      </c>
      <c r="L53" s="151">
        <f>(88622*0.453592)/996.96</f>
        <v>40.320805472636813</v>
      </c>
      <c r="M53" s="151">
        <f>(82824*0.453592)/996.96</f>
        <v>37.682859701492532</v>
      </c>
      <c r="N53" s="151">
        <f>(82824*0.453592)/996.96</f>
        <v>37.682859701492532</v>
      </c>
      <c r="O53" s="157" t="s">
        <v>102</v>
      </c>
      <c r="P53" s="157" t="s">
        <v>102</v>
      </c>
      <c r="Q53" s="151">
        <f>41412*0.453592/996.96</f>
        <v>18.841429850746266</v>
      </c>
      <c r="R53" s="166">
        <v>0</v>
      </c>
      <c r="S53" s="166">
        <v>0</v>
      </c>
      <c r="T53" s="166">
        <v>0</v>
      </c>
      <c r="U53" s="166">
        <v>0</v>
      </c>
      <c r="V53" s="166">
        <v>0</v>
      </c>
      <c r="W53" s="166">
        <v>0</v>
      </c>
      <c r="X53" s="166">
        <v>0</v>
      </c>
      <c r="Y53" s="166">
        <v>0</v>
      </c>
      <c r="Z53" s="166">
        <v>0</v>
      </c>
      <c r="AA53" s="68"/>
    </row>
    <row r="54" spans="1:27">
      <c r="A54" s="67" t="s">
        <v>418</v>
      </c>
      <c r="B54" s="166">
        <v>0</v>
      </c>
      <c r="C54" s="166">
        <v>0</v>
      </c>
      <c r="D54" s="166">
        <v>16</v>
      </c>
      <c r="E54" s="166">
        <v>30</v>
      </c>
      <c r="F54" s="166">
        <v>0</v>
      </c>
      <c r="G54" s="166">
        <v>0</v>
      </c>
      <c r="H54" s="166">
        <v>0</v>
      </c>
      <c r="I54" s="139">
        <f t="shared" si="0"/>
        <v>45.147295335820885</v>
      </c>
      <c r="J54" s="151">
        <f>(99714*0.453592)/996.96</f>
        <v>45.367389552238805</v>
      </c>
      <c r="K54" s="187" t="s">
        <v>102</v>
      </c>
      <c r="L54" s="151">
        <f>(103587*0.453592)/996.96</f>
        <v>47.129508208955222</v>
      </c>
      <c r="M54" s="151">
        <f>(96810*0.453592)/996.96</f>
        <v>44.046141791044768</v>
      </c>
      <c r="N54" s="151">
        <f>(96810*0.453592)/996.96</f>
        <v>44.046141791044768</v>
      </c>
      <c r="O54" s="157" t="s">
        <v>102</v>
      </c>
      <c r="P54" s="157" t="s">
        <v>102</v>
      </c>
      <c r="Q54" s="151">
        <f>48405*0.453592/996.96</f>
        <v>22.023070895522384</v>
      </c>
      <c r="R54" s="166">
        <v>0</v>
      </c>
      <c r="S54" s="166">
        <v>0</v>
      </c>
      <c r="T54" s="166">
        <v>0</v>
      </c>
      <c r="U54" s="166">
        <v>0</v>
      </c>
      <c r="V54" s="166">
        <v>0</v>
      </c>
      <c r="W54" s="166">
        <v>0</v>
      </c>
      <c r="X54" s="166">
        <v>0</v>
      </c>
      <c r="Y54" s="166">
        <v>0</v>
      </c>
      <c r="Z54" s="166">
        <v>0</v>
      </c>
      <c r="AA54" s="68"/>
    </row>
    <row r="55" spans="1:27">
      <c r="A55" s="67" t="s">
        <v>416</v>
      </c>
      <c r="B55" s="166">
        <v>0</v>
      </c>
      <c r="C55" s="166">
        <v>0</v>
      </c>
      <c r="D55" s="166">
        <v>16</v>
      </c>
      <c r="E55" s="166">
        <v>30</v>
      </c>
      <c r="F55" s="166">
        <v>0</v>
      </c>
      <c r="G55" s="166">
        <v>0</v>
      </c>
      <c r="H55" s="166">
        <v>0</v>
      </c>
      <c r="I55" s="139">
        <f t="shared" si="0"/>
        <v>13.518675870646765</v>
      </c>
      <c r="J55" s="151">
        <f>(29858*0.453592)/996.96</f>
        <v>13.584647263681592</v>
      </c>
      <c r="K55" s="187" t="s">
        <v>102</v>
      </c>
      <c r="L55" s="151">
        <f>(31018*0.453592)/996.96</f>
        <v>14.112418407960199</v>
      </c>
      <c r="M55" s="151">
        <f>(28988*0.453592)/996.96</f>
        <v>13.188818905472637</v>
      </c>
      <c r="N55" s="151">
        <f>(28988*0.453592)/996.96</f>
        <v>13.188818905472637</v>
      </c>
      <c r="O55" s="157" t="s">
        <v>102</v>
      </c>
      <c r="P55" s="157" t="s">
        <v>102</v>
      </c>
      <c r="Q55" s="151">
        <f>14494*0.453592/996.96</f>
        <v>6.5944094527363184</v>
      </c>
      <c r="R55" s="166">
        <v>0</v>
      </c>
      <c r="S55" s="166">
        <v>0</v>
      </c>
      <c r="T55" s="166">
        <v>0</v>
      </c>
      <c r="U55" s="166">
        <v>0</v>
      </c>
      <c r="V55" s="166">
        <v>0</v>
      </c>
      <c r="W55" s="166">
        <v>0</v>
      </c>
      <c r="X55" s="166">
        <v>0</v>
      </c>
      <c r="Y55" s="166">
        <v>0</v>
      </c>
      <c r="Z55" s="166">
        <v>0</v>
      </c>
      <c r="AA55" s="68"/>
    </row>
    <row r="56" spans="1:27">
      <c r="A56" s="67" t="s">
        <v>415</v>
      </c>
      <c r="B56" s="166">
        <v>0</v>
      </c>
      <c r="C56" s="166">
        <v>0</v>
      </c>
      <c r="D56" s="166">
        <v>16</v>
      </c>
      <c r="E56" s="166">
        <v>30</v>
      </c>
      <c r="F56" s="166">
        <v>0</v>
      </c>
      <c r="G56" s="166">
        <v>0</v>
      </c>
      <c r="H56" s="166">
        <v>0</v>
      </c>
      <c r="I56" s="139">
        <f t="shared" si="0"/>
        <v>74.34077419154228</v>
      </c>
      <c r="J56" s="151">
        <f>(164192*0.453592)/996.96</f>
        <v>74.70327562189054</v>
      </c>
      <c r="K56" s="187" t="s">
        <v>102</v>
      </c>
      <c r="L56" s="151">
        <f>(170569*0.453592)/996.96</f>
        <v>77.604651990049746</v>
      </c>
      <c r="M56" s="151">
        <f>(159410*0.453592)/996.96</f>
        <v>72.527584577114425</v>
      </c>
      <c r="N56" s="151">
        <f>(159410*0.453592)/996.96</f>
        <v>72.527584577114425</v>
      </c>
      <c r="O56" s="157" t="s">
        <v>102</v>
      </c>
      <c r="P56" s="157" t="s">
        <v>102</v>
      </c>
      <c r="Q56" s="151">
        <f>79705*0.453592/996.96</f>
        <v>36.263792288557212</v>
      </c>
      <c r="R56" s="166">
        <v>0</v>
      </c>
      <c r="S56" s="166">
        <v>0</v>
      </c>
      <c r="T56" s="166">
        <v>0</v>
      </c>
      <c r="U56" s="166">
        <v>0</v>
      </c>
      <c r="V56" s="166">
        <v>0</v>
      </c>
      <c r="W56" s="166">
        <v>0</v>
      </c>
      <c r="X56" s="166">
        <v>0</v>
      </c>
      <c r="Y56" s="166">
        <v>0</v>
      </c>
      <c r="Z56" s="166">
        <v>0</v>
      </c>
      <c r="AA56" s="68"/>
    </row>
    <row r="57" spans="1:27">
      <c r="A57" s="67" t="s">
        <v>414</v>
      </c>
      <c r="B57" s="166">
        <v>0</v>
      </c>
      <c r="C57" s="166">
        <v>0</v>
      </c>
      <c r="D57" s="166">
        <v>16</v>
      </c>
      <c r="E57" s="166">
        <v>30</v>
      </c>
      <c r="F57" s="166">
        <v>0</v>
      </c>
      <c r="G57" s="166">
        <v>0</v>
      </c>
      <c r="H57" s="166">
        <v>0</v>
      </c>
      <c r="I57" s="139">
        <f t="shared" si="0"/>
        <v>72.800342164179099</v>
      </c>
      <c r="J57" s="151">
        <f>(160790*0.453592)/996.96</f>
        <v>73.15545024875621</v>
      </c>
      <c r="K57" s="187" t="s">
        <v>102</v>
      </c>
      <c r="L57" s="151">
        <f>(167034*0.453592)/996.96</f>
        <v>75.996314925373127</v>
      </c>
      <c r="M57" s="151">
        <f>(156107*0.453592)/996.96</f>
        <v>71.02480174129353</v>
      </c>
      <c r="N57" s="151">
        <f>(156107*0.453592)/996.96</f>
        <v>71.02480174129353</v>
      </c>
      <c r="O57" s="157" t="s">
        <v>102</v>
      </c>
      <c r="P57" s="157" t="s">
        <v>102</v>
      </c>
      <c r="Q57" s="151">
        <f>78053*0.453592/996.96</f>
        <v>35.512173383084573</v>
      </c>
      <c r="R57" s="166">
        <v>0</v>
      </c>
      <c r="S57" s="166">
        <v>0</v>
      </c>
      <c r="T57" s="166">
        <v>0</v>
      </c>
      <c r="U57" s="166">
        <v>0</v>
      </c>
      <c r="V57" s="166">
        <v>0</v>
      </c>
      <c r="W57" s="166">
        <v>0</v>
      </c>
      <c r="X57" s="166">
        <v>0</v>
      </c>
      <c r="Y57" s="166">
        <v>0</v>
      </c>
      <c r="Z57" s="166">
        <v>0</v>
      </c>
      <c r="AA57" s="68"/>
    </row>
    <row r="58" spans="1:27">
      <c r="A58" s="67" t="s">
        <v>419</v>
      </c>
      <c r="B58" s="166">
        <v>0</v>
      </c>
      <c r="C58" s="166">
        <v>0</v>
      </c>
      <c r="D58" s="166">
        <v>16</v>
      </c>
      <c r="E58" s="166">
        <v>30</v>
      </c>
      <c r="F58" s="166">
        <v>0</v>
      </c>
      <c r="G58" s="166">
        <v>0</v>
      </c>
      <c r="H58" s="166">
        <v>0</v>
      </c>
      <c r="I58" s="139">
        <f t="shared" si="0"/>
        <v>40.632577176616913</v>
      </c>
      <c r="J58" s="151">
        <f>(89743*0.453592)/996.96</f>
        <v>40.83083258706467</v>
      </c>
      <c r="K58" s="187" t="s">
        <v>102</v>
      </c>
      <c r="L58" s="151">
        <f>(93228*0.453592)/996.96</f>
        <v>42.416420895522386</v>
      </c>
      <c r="M58" s="151">
        <f>(87129*0.453592)/996.96</f>
        <v>39.641527611940298</v>
      </c>
      <c r="N58" s="151">
        <f>(87129*0.453592)/996.96</f>
        <v>39.641527611940298</v>
      </c>
      <c r="O58" s="157" t="s">
        <v>102</v>
      </c>
      <c r="P58" s="157" t="s">
        <v>102</v>
      </c>
      <c r="Q58" s="151">
        <f>43565*0.453592/996.96</f>
        <v>19.820991293532337</v>
      </c>
      <c r="R58" s="166">
        <v>0</v>
      </c>
      <c r="S58" s="166">
        <v>0</v>
      </c>
      <c r="T58" s="166">
        <v>0</v>
      </c>
      <c r="U58" s="166">
        <v>0</v>
      </c>
      <c r="V58" s="166">
        <v>0</v>
      </c>
      <c r="W58" s="166">
        <v>0</v>
      </c>
      <c r="X58" s="166">
        <v>0</v>
      </c>
      <c r="Y58" s="166">
        <v>0</v>
      </c>
      <c r="Z58" s="166">
        <v>0</v>
      </c>
      <c r="AA58" s="68"/>
    </row>
    <row r="59" spans="1:27">
      <c r="A59" s="67" t="s">
        <v>422</v>
      </c>
      <c r="B59" s="166">
        <v>0</v>
      </c>
      <c r="C59" s="166">
        <v>0</v>
      </c>
      <c r="D59" s="166">
        <v>16</v>
      </c>
      <c r="E59" s="166">
        <v>30</v>
      </c>
      <c r="F59" s="166">
        <v>0</v>
      </c>
      <c r="G59" s="166">
        <v>0</v>
      </c>
      <c r="H59" s="166">
        <v>0</v>
      </c>
      <c r="I59" s="139">
        <f t="shared" si="0"/>
        <v>45.147409079601985</v>
      </c>
      <c r="J59" s="151">
        <f>(99715*0.453592)/996.96</f>
        <v>45.367844527363182</v>
      </c>
      <c r="K59" s="187" t="s">
        <v>102</v>
      </c>
      <c r="L59" s="151">
        <f>(103587*0.453592)/996.96</f>
        <v>47.129508208955222</v>
      </c>
      <c r="M59" s="151">
        <f>(96810*0.453592)/996.96</f>
        <v>44.046141791044768</v>
      </c>
      <c r="N59" s="151">
        <f>(96810*0.453592)/996.96</f>
        <v>44.046141791044768</v>
      </c>
      <c r="O59" s="157" t="s">
        <v>102</v>
      </c>
      <c r="P59" s="157" t="s">
        <v>102</v>
      </c>
      <c r="Q59" s="151">
        <f>48405*0.453592/996.96</f>
        <v>22.023070895522384</v>
      </c>
      <c r="R59" s="166">
        <v>0</v>
      </c>
      <c r="S59" s="166">
        <v>0</v>
      </c>
      <c r="T59" s="166">
        <v>0</v>
      </c>
      <c r="U59" s="166">
        <v>0</v>
      </c>
      <c r="V59" s="166">
        <v>0</v>
      </c>
      <c r="W59" s="166">
        <v>0</v>
      </c>
      <c r="X59" s="166">
        <v>0</v>
      </c>
      <c r="Y59" s="166">
        <v>0</v>
      </c>
      <c r="Z59" s="166">
        <v>0</v>
      </c>
      <c r="AA59" s="68"/>
    </row>
    <row r="60" spans="1:27">
      <c r="A60" s="67" t="s">
        <v>424</v>
      </c>
      <c r="B60" s="166">
        <v>0</v>
      </c>
      <c r="C60" s="166">
        <v>0</v>
      </c>
      <c r="D60" s="166">
        <v>16</v>
      </c>
      <c r="E60" s="166">
        <v>30</v>
      </c>
      <c r="F60" s="166">
        <v>0</v>
      </c>
      <c r="G60" s="166">
        <v>0</v>
      </c>
      <c r="H60" s="166">
        <v>0</v>
      </c>
      <c r="I60" s="139">
        <f t="shared" si="0"/>
        <v>30.958213619402983</v>
      </c>
      <c r="J60" s="151">
        <f>(68376*0.453592)/996.96</f>
        <v>31.109379104477611</v>
      </c>
      <c r="K60" s="187" t="s">
        <v>102</v>
      </c>
      <c r="L60" s="151">
        <f>(71031*0.453592)/996.96</f>
        <v>32.317338059701491</v>
      </c>
      <c r="M60" s="151">
        <f>(66384*0.453592)/996.96</f>
        <v>30.203068656716415</v>
      </c>
      <c r="N60" s="151">
        <f>(66384*0.453592)/996.96</f>
        <v>30.203068656716415</v>
      </c>
      <c r="O60" s="157" t="s">
        <v>102</v>
      </c>
      <c r="P60" s="157" t="s">
        <v>102</v>
      </c>
      <c r="Q60" s="151">
        <f>33192*0.453592/996.96</f>
        <v>15.101534328358207</v>
      </c>
      <c r="R60" s="166">
        <v>0</v>
      </c>
      <c r="S60" s="166">
        <v>0</v>
      </c>
      <c r="T60" s="166">
        <v>0</v>
      </c>
      <c r="U60" s="166">
        <v>0</v>
      </c>
      <c r="V60" s="166">
        <v>0</v>
      </c>
      <c r="W60" s="166">
        <v>0</v>
      </c>
      <c r="X60" s="166">
        <v>0</v>
      </c>
      <c r="Y60" s="166">
        <v>0</v>
      </c>
      <c r="Z60" s="166">
        <v>0</v>
      </c>
      <c r="AA60" s="68"/>
    </row>
    <row r="61" spans="1:27">
      <c r="A61" s="67" t="s">
        <v>423</v>
      </c>
      <c r="B61" s="166">
        <v>0</v>
      </c>
      <c r="C61" s="166">
        <v>0</v>
      </c>
      <c r="D61" s="166">
        <v>16</v>
      </c>
      <c r="E61" s="166">
        <v>30</v>
      </c>
      <c r="F61" s="166">
        <v>0</v>
      </c>
      <c r="G61" s="166">
        <v>0</v>
      </c>
      <c r="H61" s="166">
        <v>0</v>
      </c>
      <c r="I61" s="139">
        <f t="shared" si="0"/>
        <v>14.870520708955222</v>
      </c>
      <c r="J61" s="151">
        <f>(32844*0.453592)/996.96</f>
        <v>14.943202985074628</v>
      </c>
      <c r="K61" s="187" t="s">
        <v>102</v>
      </c>
      <c r="L61" s="151">
        <f>(34119*0.453592)/996.96</f>
        <v>15.523296268656717</v>
      </c>
      <c r="M61" s="151">
        <f>(31887*0.453592)/996.96</f>
        <v>14.507791791044776</v>
      </c>
      <c r="N61" s="151">
        <f>(31887*0.453592)/996.96</f>
        <v>14.507791791044776</v>
      </c>
      <c r="O61" s="157" t="s">
        <v>102</v>
      </c>
      <c r="P61" s="157" t="s">
        <v>102</v>
      </c>
      <c r="Q61" s="151">
        <f>15944*0.453592/996.96</f>
        <v>7.2541233830845773</v>
      </c>
      <c r="R61" s="166">
        <v>0</v>
      </c>
      <c r="S61" s="166">
        <v>0</v>
      </c>
      <c r="T61" s="166">
        <v>0</v>
      </c>
      <c r="U61" s="166">
        <v>0</v>
      </c>
      <c r="V61" s="166">
        <v>0</v>
      </c>
      <c r="W61" s="166">
        <v>0</v>
      </c>
      <c r="X61" s="166">
        <v>0</v>
      </c>
      <c r="Y61" s="166">
        <v>0</v>
      </c>
      <c r="Z61" s="166">
        <v>0</v>
      </c>
      <c r="AA61" s="68"/>
    </row>
    <row r="62" spans="1:27">
      <c r="A62" s="67" t="s">
        <v>425</v>
      </c>
      <c r="B62" s="166">
        <v>0</v>
      </c>
      <c r="C62" s="166">
        <v>0</v>
      </c>
      <c r="D62" s="166">
        <v>16</v>
      </c>
      <c r="E62" s="166">
        <v>30</v>
      </c>
      <c r="F62" s="166">
        <v>0</v>
      </c>
      <c r="G62" s="166">
        <v>0</v>
      </c>
      <c r="H62" s="166">
        <v>0</v>
      </c>
      <c r="I62" s="139">
        <f t="shared" si="0"/>
        <v>58.546540236318407</v>
      </c>
      <c r="J62" s="151">
        <f>(129309*0.453592)/996.96</f>
        <v>58.832378358208949</v>
      </c>
      <c r="K62" s="187" t="s">
        <v>102</v>
      </c>
      <c r="L62" s="151">
        <f>(134330*0.453592)/996.96</f>
        <v>61.116808457711436</v>
      </c>
      <c r="M62" s="151">
        <f>(125542*0.453592)/996.96</f>
        <v>57.118487064676614</v>
      </c>
      <c r="N62" s="151">
        <f>(125542*0.453592)/996.96</f>
        <v>57.118487064676614</v>
      </c>
      <c r="O62" s="157" t="s">
        <v>102</v>
      </c>
      <c r="P62" s="157" t="s">
        <v>102</v>
      </c>
      <c r="Q62" s="151">
        <f>62771*0.453592/996.96</f>
        <v>28.559243532338307</v>
      </c>
      <c r="R62" s="166">
        <v>0</v>
      </c>
      <c r="S62" s="166">
        <v>0</v>
      </c>
      <c r="T62" s="166">
        <v>0</v>
      </c>
      <c r="U62" s="166">
        <v>0</v>
      </c>
      <c r="V62" s="166">
        <v>0</v>
      </c>
      <c r="W62" s="166">
        <v>0</v>
      </c>
      <c r="X62" s="166">
        <v>0</v>
      </c>
      <c r="Y62" s="166">
        <v>0</v>
      </c>
      <c r="Z62" s="166">
        <v>0</v>
      </c>
      <c r="AA62" s="68"/>
    </row>
    <row r="63" spans="1:27">
      <c r="A63" s="67" t="s">
        <v>426</v>
      </c>
      <c r="B63" s="166">
        <v>0</v>
      </c>
      <c r="C63" s="166">
        <v>0</v>
      </c>
      <c r="D63" s="166">
        <v>16</v>
      </c>
      <c r="E63" s="166">
        <v>30</v>
      </c>
      <c r="F63" s="166">
        <v>0</v>
      </c>
      <c r="G63" s="166">
        <v>0</v>
      </c>
      <c r="H63" s="166">
        <v>0</v>
      </c>
      <c r="I63" s="139">
        <f t="shared" si="0"/>
        <v>33.860613681592042</v>
      </c>
      <c r="J63" s="151">
        <f>(74786*0.453592)/996.96</f>
        <v>34.025769651741292</v>
      </c>
      <c r="K63" s="187" t="s">
        <v>102</v>
      </c>
      <c r="L63" s="151">
        <f>(77690*0.453592)/996.96</f>
        <v>35.347017412935323</v>
      </c>
      <c r="M63" s="151">
        <f>(72608*0.453592)/996.96</f>
        <v>33.03483383084577</v>
      </c>
      <c r="N63" s="151">
        <f>(72608*0.453592)/996.96</f>
        <v>33.03483383084577</v>
      </c>
      <c r="O63" s="157" t="s">
        <v>102</v>
      </c>
      <c r="P63" s="157" t="s">
        <v>102</v>
      </c>
      <c r="Q63" s="151">
        <f>36304*0.453592/996.96</f>
        <v>16.517416915422885</v>
      </c>
      <c r="R63" s="166">
        <v>0</v>
      </c>
      <c r="S63" s="166">
        <v>0</v>
      </c>
      <c r="T63" s="166">
        <v>0</v>
      </c>
      <c r="U63" s="166">
        <v>0</v>
      </c>
      <c r="V63" s="166">
        <v>0</v>
      </c>
      <c r="W63" s="166">
        <v>0</v>
      </c>
      <c r="X63" s="166">
        <v>0</v>
      </c>
      <c r="Y63" s="166">
        <v>0</v>
      </c>
      <c r="Z63" s="166">
        <v>0</v>
      </c>
      <c r="AA63" s="68"/>
    </row>
    <row r="64" spans="1:27">
      <c r="A64" s="67" t="s">
        <v>427</v>
      </c>
      <c r="B64" s="166">
        <v>0</v>
      </c>
      <c r="C64" s="166">
        <v>0</v>
      </c>
      <c r="D64" s="166">
        <v>16</v>
      </c>
      <c r="E64" s="166">
        <v>30</v>
      </c>
      <c r="F64" s="166">
        <v>0</v>
      </c>
      <c r="G64" s="166">
        <v>0</v>
      </c>
      <c r="H64" s="166">
        <v>0</v>
      </c>
      <c r="I64" s="139">
        <f t="shared" si="0"/>
        <v>33.409164614427858</v>
      </c>
      <c r="J64" s="151">
        <f>(73789*0.453592)/996.96</f>
        <v>33.572159452736315</v>
      </c>
      <c r="K64" s="187" t="s">
        <v>102</v>
      </c>
      <c r="L64" s="151">
        <f>(76654*0.453592)/996.96</f>
        <v>34.875663184079606</v>
      </c>
      <c r="M64" s="151">
        <f>(71640*0.453592)/996.96</f>
        <v>32.59441791044776</v>
      </c>
      <c r="N64" s="151">
        <f>(71640*0.453592)/996.96</f>
        <v>32.59441791044776</v>
      </c>
      <c r="O64" s="157" t="s">
        <v>102</v>
      </c>
      <c r="P64" s="157" t="s">
        <v>102</v>
      </c>
      <c r="Q64" s="151">
        <f>35820*0.453592/996.96</f>
        <v>16.29720895522388</v>
      </c>
      <c r="R64" s="166">
        <v>0</v>
      </c>
      <c r="S64" s="166">
        <v>0</v>
      </c>
      <c r="T64" s="166">
        <v>0</v>
      </c>
      <c r="U64" s="166">
        <v>0</v>
      </c>
      <c r="V64" s="166">
        <v>0</v>
      </c>
      <c r="W64" s="166">
        <v>0</v>
      </c>
      <c r="X64" s="166">
        <v>0</v>
      </c>
      <c r="Y64" s="166">
        <v>0</v>
      </c>
      <c r="Z64" s="166">
        <v>0</v>
      </c>
      <c r="AA64" s="68"/>
    </row>
    <row r="65" spans="1:27">
      <c r="A65" s="67" t="s">
        <v>428</v>
      </c>
      <c r="B65" s="166">
        <v>0</v>
      </c>
      <c r="C65" s="166">
        <v>0</v>
      </c>
      <c r="D65" s="166">
        <v>16</v>
      </c>
      <c r="E65" s="166">
        <v>30</v>
      </c>
      <c r="F65" s="166">
        <v>0</v>
      </c>
      <c r="G65" s="166">
        <v>0</v>
      </c>
      <c r="H65" s="166">
        <v>0</v>
      </c>
      <c r="I65" s="139">
        <f t="shared" si="0"/>
        <v>27.037465485074627</v>
      </c>
      <c r="J65" s="151">
        <f>(59716*0.453592)/996.96</f>
        <v>27.169294527363185</v>
      </c>
      <c r="K65" s="187" t="s">
        <v>102</v>
      </c>
      <c r="L65" s="151">
        <f>(62035*0.453592)/996.96</f>
        <v>28.224381840796017</v>
      </c>
      <c r="M65" s="151">
        <f>(57977*0.453592)/996.96</f>
        <v>26.378092786069651</v>
      </c>
      <c r="N65" s="151">
        <f>(57977*0.453592)/996.96</f>
        <v>26.378092786069651</v>
      </c>
      <c r="O65" s="157" t="s">
        <v>102</v>
      </c>
      <c r="P65" s="157" t="s">
        <v>102</v>
      </c>
      <c r="Q65" s="151">
        <f>28988*0.453592/996.96</f>
        <v>13.188818905472637</v>
      </c>
      <c r="R65" s="166">
        <v>0</v>
      </c>
      <c r="S65" s="166">
        <v>0</v>
      </c>
      <c r="T65" s="166">
        <v>0</v>
      </c>
      <c r="U65" s="166">
        <v>0</v>
      </c>
      <c r="V65" s="166">
        <v>0</v>
      </c>
      <c r="W65" s="166">
        <v>0</v>
      </c>
      <c r="X65" s="166">
        <v>0</v>
      </c>
      <c r="Y65" s="166">
        <v>0</v>
      </c>
      <c r="Z65" s="166">
        <v>0</v>
      </c>
      <c r="AA65" s="68"/>
    </row>
    <row r="66" spans="1:27">
      <c r="A66" s="67" t="s">
        <v>431</v>
      </c>
      <c r="B66" s="166">
        <v>0</v>
      </c>
      <c r="C66" s="166">
        <v>0</v>
      </c>
      <c r="D66" s="166">
        <v>16</v>
      </c>
      <c r="E66" s="166">
        <v>30</v>
      </c>
      <c r="F66" s="166">
        <v>0</v>
      </c>
      <c r="G66" s="166">
        <v>0</v>
      </c>
      <c r="H66" s="166">
        <v>0</v>
      </c>
      <c r="I66" s="139">
        <f t="shared" si="0"/>
        <v>50.631046823027717</v>
      </c>
      <c r="J66" s="151">
        <f>(123383*0.453592)/996.96</f>
        <v>56.136195771144273</v>
      </c>
      <c r="K66" s="187">
        <f>2.848*365/35</f>
        <v>29.700571428571429</v>
      </c>
      <c r="L66" s="151">
        <f>(128175*0.453592)/996.96</f>
        <v>58.316436567164182</v>
      </c>
      <c r="M66" s="151">
        <f>(119789*0.453592)/996.96</f>
        <v>54.501015174129357</v>
      </c>
      <c r="N66" s="151">
        <f>(119789*0.453592)/996.96</f>
        <v>54.501015174129357</v>
      </c>
      <c r="O66" s="157" t="s">
        <v>102</v>
      </c>
      <c r="P66" s="157" t="s">
        <v>102</v>
      </c>
      <c r="Q66" s="151">
        <f>59895*0.453592/996.96</f>
        <v>27.250735074626864</v>
      </c>
      <c r="R66" s="166">
        <v>0</v>
      </c>
      <c r="S66" s="166">
        <v>0</v>
      </c>
      <c r="T66" s="166">
        <v>0</v>
      </c>
      <c r="U66" s="166">
        <v>0</v>
      </c>
      <c r="V66" s="166">
        <v>0</v>
      </c>
      <c r="W66" s="166">
        <v>0</v>
      </c>
      <c r="X66" s="166">
        <v>0</v>
      </c>
      <c r="Y66" s="166">
        <v>0</v>
      </c>
      <c r="Z66" s="166">
        <v>0</v>
      </c>
      <c r="AA66" s="68"/>
    </row>
    <row r="67" spans="1:27">
      <c r="A67" s="67" t="s">
        <v>312</v>
      </c>
      <c r="B67" s="132">
        <v>0</v>
      </c>
      <c r="C67" s="132">
        <v>0</v>
      </c>
      <c r="D67" s="132">
        <v>0</v>
      </c>
      <c r="E67" s="132">
        <v>0</v>
      </c>
      <c r="F67" s="132">
        <v>0</v>
      </c>
      <c r="G67" s="132">
        <v>0</v>
      </c>
      <c r="H67" s="132">
        <v>0</v>
      </c>
      <c r="I67" s="139">
        <f t="shared" si="0"/>
        <v>0</v>
      </c>
      <c r="J67" s="149">
        <v>0</v>
      </c>
      <c r="K67" s="187">
        <f t="shared" ref="K67" si="1">0.8*J67</f>
        <v>0</v>
      </c>
      <c r="L67" s="149">
        <v>0</v>
      </c>
      <c r="M67" s="149">
        <v>0</v>
      </c>
      <c r="N67" s="149">
        <v>0</v>
      </c>
      <c r="O67" s="156">
        <v>0</v>
      </c>
      <c r="P67" s="156">
        <v>0</v>
      </c>
      <c r="Q67" s="149">
        <v>0</v>
      </c>
      <c r="R67" s="132">
        <v>0</v>
      </c>
      <c r="S67" s="132">
        <v>0</v>
      </c>
      <c r="T67" s="132">
        <v>0</v>
      </c>
      <c r="U67" s="132">
        <v>0</v>
      </c>
      <c r="V67" s="132">
        <v>0</v>
      </c>
      <c r="W67" s="132">
        <v>0</v>
      </c>
      <c r="X67" s="132">
        <v>0</v>
      </c>
      <c r="Y67" s="68">
        <v>0</v>
      </c>
      <c r="Z67" s="132">
        <v>0</v>
      </c>
      <c r="AA67" s="68"/>
    </row>
    <row r="68" spans="1:27">
      <c r="A68" s="67" t="s">
        <v>560</v>
      </c>
      <c r="B68" s="166">
        <v>0</v>
      </c>
      <c r="C68" s="166">
        <v>0</v>
      </c>
      <c r="D68" s="168">
        <v>16</v>
      </c>
      <c r="E68" s="166">
        <v>30</v>
      </c>
      <c r="F68" s="166">
        <v>0</v>
      </c>
      <c r="G68" s="166">
        <v>0</v>
      </c>
      <c r="H68" s="166">
        <v>0</v>
      </c>
      <c r="I68" s="139"/>
      <c r="J68" s="149"/>
      <c r="K68" s="187">
        <f>0.028*365/35</f>
        <v>0.29200000000000004</v>
      </c>
      <c r="L68" s="149"/>
      <c r="M68" s="149"/>
      <c r="N68" s="149"/>
      <c r="O68" s="156"/>
      <c r="P68" s="156"/>
      <c r="Q68" s="149"/>
      <c r="R68" s="166">
        <v>0</v>
      </c>
      <c r="S68" s="166">
        <v>0</v>
      </c>
      <c r="T68" s="166">
        <v>0</v>
      </c>
      <c r="U68" s="166">
        <v>0</v>
      </c>
      <c r="V68" s="166">
        <v>0</v>
      </c>
      <c r="W68" s="166">
        <v>0</v>
      </c>
      <c r="X68" s="166">
        <v>0</v>
      </c>
      <c r="Y68" s="166">
        <v>0</v>
      </c>
      <c r="Z68" s="166">
        <v>0</v>
      </c>
      <c r="AA68" s="68"/>
    </row>
    <row r="69" spans="1:27">
      <c r="A69" s="67" t="s">
        <v>448</v>
      </c>
      <c r="B69" s="166">
        <v>0</v>
      </c>
      <c r="C69" s="166">
        <v>0</v>
      </c>
      <c r="D69" s="168">
        <v>16</v>
      </c>
      <c r="E69" s="166">
        <v>30</v>
      </c>
      <c r="F69" s="166">
        <v>0</v>
      </c>
      <c r="G69" s="166">
        <v>0</v>
      </c>
      <c r="H69" s="166">
        <v>0</v>
      </c>
      <c r="I69" s="139">
        <f t="shared" si="0"/>
        <v>1.6197114427860697</v>
      </c>
      <c r="J69" s="157" t="s">
        <v>102</v>
      </c>
      <c r="K69" s="187" t="s">
        <v>102</v>
      </c>
      <c r="L69" s="157" t="s">
        <v>102</v>
      </c>
      <c r="M69" s="157" t="s">
        <v>102</v>
      </c>
      <c r="N69" s="157" t="s">
        <v>102</v>
      </c>
      <c r="O69" s="157">
        <f>3560*0.453592/996.96</f>
        <v>1.6197114427860697</v>
      </c>
      <c r="P69" s="163" t="s">
        <v>102</v>
      </c>
      <c r="Q69" s="151">
        <f>19979*0.453592/996.96</f>
        <v>9.0899480099502483</v>
      </c>
      <c r="R69" s="166">
        <v>0</v>
      </c>
      <c r="S69" s="166">
        <v>0</v>
      </c>
      <c r="T69" s="166">
        <v>0</v>
      </c>
      <c r="U69" s="166">
        <v>0</v>
      </c>
      <c r="V69" s="166">
        <v>0</v>
      </c>
      <c r="W69" s="166">
        <v>0</v>
      </c>
      <c r="X69" s="166">
        <v>0</v>
      </c>
      <c r="Y69" s="166">
        <v>0</v>
      </c>
      <c r="Z69" s="166">
        <v>0</v>
      </c>
      <c r="AA69" s="68"/>
    </row>
    <row r="70" spans="1:27">
      <c r="A70" s="67" t="s">
        <v>449</v>
      </c>
      <c r="B70" s="166">
        <v>0</v>
      </c>
      <c r="C70" s="166">
        <v>0</v>
      </c>
      <c r="D70" s="168">
        <v>16</v>
      </c>
      <c r="E70" s="166">
        <v>30</v>
      </c>
      <c r="F70" s="166">
        <v>0</v>
      </c>
      <c r="G70" s="166">
        <v>0</v>
      </c>
      <c r="H70" s="166">
        <v>0</v>
      </c>
      <c r="I70" s="139">
        <f t="shared" si="0"/>
        <v>1.7161661691542287</v>
      </c>
      <c r="J70" s="157" t="s">
        <v>102</v>
      </c>
      <c r="K70" s="187" t="s">
        <v>102</v>
      </c>
      <c r="L70" s="157" t="s">
        <v>102</v>
      </c>
      <c r="M70" s="157" t="s">
        <v>102</v>
      </c>
      <c r="N70" s="157" t="s">
        <v>102</v>
      </c>
      <c r="O70" s="157">
        <f>3772*0.453592/996.96</f>
        <v>1.7161661691542287</v>
      </c>
      <c r="P70" s="163" t="s">
        <v>102</v>
      </c>
      <c r="Q70" s="151">
        <f>1886*0.453592/996.96</f>
        <v>0.85808308457711435</v>
      </c>
      <c r="R70" s="166">
        <v>0</v>
      </c>
      <c r="S70" s="166">
        <v>0</v>
      </c>
      <c r="T70" s="166">
        <v>0</v>
      </c>
      <c r="U70" s="166">
        <v>0</v>
      </c>
      <c r="V70" s="166">
        <v>0</v>
      </c>
      <c r="W70" s="166">
        <v>0</v>
      </c>
      <c r="X70" s="166">
        <v>0</v>
      </c>
      <c r="Y70" s="166">
        <v>0</v>
      </c>
      <c r="Z70" s="166">
        <v>0</v>
      </c>
      <c r="AA70" s="68"/>
    </row>
    <row r="71" spans="1:27">
      <c r="A71" s="67" t="s">
        <v>429</v>
      </c>
      <c r="B71" s="166">
        <v>0</v>
      </c>
      <c r="C71" s="166">
        <v>0</v>
      </c>
      <c r="D71" s="166">
        <v>16</v>
      </c>
      <c r="E71" s="166">
        <v>30</v>
      </c>
      <c r="F71" s="166">
        <v>0</v>
      </c>
      <c r="G71" s="166">
        <v>0</v>
      </c>
      <c r="H71" s="166">
        <v>0</v>
      </c>
      <c r="I71" s="139">
        <f t="shared" si="0"/>
        <v>11.890400838663822</v>
      </c>
      <c r="J71" s="151">
        <f>(30846*0.453592)/996.96</f>
        <v>14.034162686567162</v>
      </c>
      <c r="K71" s="187">
        <f>0.344*365/35</f>
        <v>3.5874285714285712</v>
      </c>
      <c r="L71" s="151">
        <f>(32044*0.453592)/996.96</f>
        <v>14.579222885572138</v>
      </c>
      <c r="M71" s="151">
        <f>(29948*0.453592)/996.96</f>
        <v>13.62559502487562</v>
      </c>
      <c r="N71" s="151">
        <f>(29948*0.453592)/996.96</f>
        <v>13.62559502487562</v>
      </c>
      <c r="O71" s="157" t="s">
        <v>102</v>
      </c>
      <c r="P71" s="157"/>
      <c r="Q71" s="151">
        <f>14974*0.453592/996.96</f>
        <v>6.8127975124378102</v>
      </c>
      <c r="R71" s="166">
        <v>0</v>
      </c>
      <c r="S71" s="166">
        <v>0</v>
      </c>
      <c r="T71" s="166">
        <v>0</v>
      </c>
      <c r="U71" s="166">
        <v>0</v>
      </c>
      <c r="V71" s="166">
        <v>0</v>
      </c>
      <c r="W71" s="166">
        <v>0</v>
      </c>
      <c r="X71" s="166">
        <v>0</v>
      </c>
      <c r="Y71" s="166">
        <v>0</v>
      </c>
      <c r="Z71" s="166">
        <v>0</v>
      </c>
      <c r="AA71" s="68"/>
    </row>
    <row r="72" spans="1:27">
      <c r="A72" s="67" t="s">
        <v>450</v>
      </c>
      <c r="B72" s="166">
        <v>0</v>
      </c>
      <c r="C72" s="166">
        <v>0</v>
      </c>
      <c r="D72" s="166">
        <v>16</v>
      </c>
      <c r="E72" s="166">
        <v>30</v>
      </c>
      <c r="F72" s="166">
        <v>0</v>
      </c>
      <c r="G72" s="166">
        <v>0</v>
      </c>
      <c r="H72" s="166">
        <v>0</v>
      </c>
      <c r="I72" s="139">
        <f t="shared" si="0"/>
        <v>42.286298009950251</v>
      </c>
      <c r="J72" s="163" t="s">
        <v>102</v>
      </c>
      <c r="K72" s="187" t="s">
        <v>102</v>
      </c>
      <c r="L72" s="163" t="s">
        <v>102</v>
      </c>
      <c r="M72" s="163" t="s">
        <v>102</v>
      </c>
      <c r="N72" s="163" t="s">
        <v>102</v>
      </c>
      <c r="O72" s="151">
        <f>(92942*0.453592)/996.96</f>
        <v>42.286298009950251</v>
      </c>
      <c r="P72" s="151">
        <f>(92942*0.453592)/996.96</f>
        <v>42.286298009950251</v>
      </c>
      <c r="Q72" s="151">
        <f>(46471*0.453592)/996.96</f>
        <v>21.143149004975125</v>
      </c>
      <c r="R72" s="166">
        <v>0</v>
      </c>
      <c r="S72" s="166">
        <v>0</v>
      </c>
      <c r="T72" s="166">
        <v>0</v>
      </c>
      <c r="U72" s="166">
        <v>0</v>
      </c>
      <c r="V72" s="166">
        <v>0</v>
      </c>
      <c r="W72" s="166">
        <v>0</v>
      </c>
      <c r="X72" s="166">
        <v>0</v>
      </c>
      <c r="Y72" s="166">
        <v>0</v>
      </c>
      <c r="Z72" s="166">
        <v>0</v>
      </c>
      <c r="AA72" s="68"/>
    </row>
    <row r="73" spans="1:27">
      <c r="A73" s="67" t="s">
        <v>430</v>
      </c>
      <c r="B73" s="166">
        <v>0</v>
      </c>
      <c r="C73" s="166">
        <v>0</v>
      </c>
      <c r="D73" s="166">
        <v>16</v>
      </c>
      <c r="E73" s="166">
        <v>30</v>
      </c>
      <c r="F73" s="166">
        <v>0</v>
      </c>
      <c r="G73" s="166">
        <v>0</v>
      </c>
      <c r="H73" s="166">
        <v>0</v>
      </c>
      <c r="I73" s="139">
        <f t="shared" si="0"/>
        <v>30.781342039800997</v>
      </c>
      <c r="J73" s="151">
        <f>(67985*0.453592)/996.96</f>
        <v>30.931483830845767</v>
      </c>
      <c r="K73" s="187"/>
      <c r="L73" s="151">
        <f>(70625*0.453592)/996.96</f>
        <v>32.132618159203979</v>
      </c>
      <c r="M73" s="151">
        <f>(66005*0.453592)/996.96</f>
        <v>30.030633084577115</v>
      </c>
      <c r="N73" s="151">
        <f>(66005*0.453592)/996.96</f>
        <v>30.030633084577115</v>
      </c>
      <c r="O73" s="157" t="s">
        <v>102</v>
      </c>
      <c r="P73" s="163" t="s">
        <v>102</v>
      </c>
      <c r="Q73" s="151">
        <f>33002*0.453592/996.96</f>
        <v>15.015089054726367</v>
      </c>
      <c r="R73" s="166">
        <v>0</v>
      </c>
      <c r="S73" s="166">
        <v>0</v>
      </c>
      <c r="T73" s="166">
        <v>0</v>
      </c>
      <c r="U73" s="166">
        <v>0</v>
      </c>
      <c r="V73" s="166">
        <v>0</v>
      </c>
      <c r="W73" s="166">
        <v>0</v>
      </c>
      <c r="X73" s="166">
        <v>0</v>
      </c>
      <c r="Y73" s="166">
        <v>0</v>
      </c>
      <c r="Z73" s="166">
        <v>0</v>
      </c>
      <c r="AA73" s="68"/>
    </row>
    <row r="74" spans="1:27">
      <c r="A74" s="67" t="s">
        <v>451</v>
      </c>
      <c r="B74" s="166">
        <v>0</v>
      </c>
      <c r="C74" s="166">
        <v>0</v>
      </c>
      <c r="D74" s="166">
        <v>16</v>
      </c>
      <c r="E74" s="166">
        <v>30</v>
      </c>
      <c r="F74" s="166">
        <v>0</v>
      </c>
      <c r="G74" s="166">
        <v>0</v>
      </c>
      <c r="H74" s="166">
        <v>0</v>
      </c>
      <c r="I74" s="139">
        <f t="shared" si="0"/>
        <v>0.57281368159203971</v>
      </c>
      <c r="J74" s="163" t="s">
        <v>102</v>
      </c>
      <c r="K74" s="187" t="s">
        <v>102</v>
      </c>
      <c r="L74" s="163" t="s">
        <v>102</v>
      </c>
      <c r="M74" s="163" t="s">
        <v>102</v>
      </c>
      <c r="N74" s="163" t="s">
        <v>102</v>
      </c>
      <c r="O74" s="151">
        <f>(1259*0.453592)/996.96</f>
        <v>0.57281368159203971</v>
      </c>
      <c r="P74" s="151">
        <f>(1259*0.453592)/996.96</f>
        <v>0.57281368159203971</v>
      </c>
      <c r="Q74" s="151">
        <f>629*0.453592/996.96</f>
        <v>0.28617935323383087</v>
      </c>
      <c r="R74" s="166">
        <v>0</v>
      </c>
      <c r="S74" s="166">
        <v>0</v>
      </c>
      <c r="T74" s="166">
        <v>0</v>
      </c>
      <c r="U74" s="166">
        <v>0</v>
      </c>
      <c r="V74" s="166">
        <v>0</v>
      </c>
      <c r="W74" s="166">
        <v>0</v>
      </c>
      <c r="X74" s="166">
        <v>0</v>
      </c>
      <c r="Y74" s="166">
        <v>0</v>
      </c>
      <c r="Z74" s="166">
        <v>0</v>
      </c>
      <c r="AA74" s="68"/>
    </row>
    <row r="75" spans="1:27">
      <c r="A75" s="67" t="s">
        <v>432</v>
      </c>
      <c r="B75" s="166">
        <v>0</v>
      </c>
      <c r="C75" s="166">
        <v>0</v>
      </c>
      <c r="D75" s="166">
        <v>16</v>
      </c>
      <c r="E75" s="166">
        <v>30</v>
      </c>
      <c r="F75" s="166">
        <v>0</v>
      </c>
      <c r="G75" s="166">
        <v>0</v>
      </c>
      <c r="H75" s="166">
        <v>0</v>
      </c>
      <c r="I75" s="139">
        <f t="shared" si="0"/>
        <v>6.3869407960198998</v>
      </c>
      <c r="J75" s="163" t="s">
        <v>102</v>
      </c>
      <c r="K75" s="187" t="s">
        <v>102</v>
      </c>
      <c r="L75" s="163" t="s">
        <v>102</v>
      </c>
      <c r="M75" s="163" t="s">
        <v>102</v>
      </c>
      <c r="N75" s="163" t="s">
        <v>102</v>
      </c>
      <c r="O75" s="151">
        <f>(14038*0.453592)/996.96</f>
        <v>6.3869407960198998</v>
      </c>
      <c r="P75" s="163" t="s">
        <v>102</v>
      </c>
      <c r="Q75" s="151">
        <f>7019*0.453592/996.96</f>
        <v>3.1934703980099499</v>
      </c>
      <c r="R75" s="166">
        <v>0</v>
      </c>
      <c r="S75" s="166">
        <v>0</v>
      </c>
      <c r="T75" s="166">
        <v>0</v>
      </c>
      <c r="U75" s="166">
        <v>0</v>
      </c>
      <c r="V75" s="166">
        <v>0</v>
      </c>
      <c r="W75" s="166">
        <v>0</v>
      </c>
      <c r="X75" s="166">
        <v>0</v>
      </c>
      <c r="Y75" s="166">
        <v>0</v>
      </c>
      <c r="Z75" s="166">
        <v>0</v>
      </c>
      <c r="AA75" s="68"/>
    </row>
    <row r="76" spans="1:27">
      <c r="A76" s="67" t="s">
        <v>433</v>
      </c>
      <c r="B76" s="166">
        <v>0</v>
      </c>
      <c r="C76" s="166">
        <v>0</v>
      </c>
      <c r="D76" s="166">
        <v>16</v>
      </c>
      <c r="E76" s="166">
        <v>30</v>
      </c>
      <c r="F76" s="166">
        <v>0</v>
      </c>
      <c r="G76" s="166">
        <v>0</v>
      </c>
      <c r="H76" s="166">
        <v>0</v>
      </c>
      <c r="I76" s="139">
        <f t="shared" si="0"/>
        <v>32.321205348258701</v>
      </c>
      <c r="J76" s="151">
        <f>(71386*0.453592)/996.96</f>
        <v>32.478854228855724</v>
      </c>
      <c r="K76" s="187" t="s">
        <v>102</v>
      </c>
      <c r="L76" s="151">
        <f>(74158*0.453592)/996.96</f>
        <v>33.740045273631836</v>
      </c>
      <c r="M76" s="151">
        <f>(69307*0.453592)/996.96</f>
        <v>31.532960945273629</v>
      </c>
      <c r="N76" s="151">
        <f>(69307*0.453592)/996.96</f>
        <v>31.532960945273629</v>
      </c>
      <c r="O76" s="157" t="s">
        <v>102</v>
      </c>
      <c r="P76" s="163" t="s">
        <v>102</v>
      </c>
      <c r="Q76" s="151">
        <f>34653*0.453592/996.96</f>
        <v>15.766252985074628</v>
      </c>
      <c r="R76" s="166">
        <v>0</v>
      </c>
      <c r="S76" s="166">
        <v>0</v>
      </c>
      <c r="T76" s="166">
        <v>0</v>
      </c>
      <c r="U76" s="166">
        <v>0</v>
      </c>
      <c r="V76" s="166">
        <v>0</v>
      </c>
      <c r="W76" s="166">
        <v>0</v>
      </c>
      <c r="X76" s="166">
        <v>0</v>
      </c>
      <c r="Y76" s="166">
        <v>0</v>
      </c>
      <c r="Z76" s="166">
        <v>0</v>
      </c>
      <c r="AA76" s="68"/>
    </row>
    <row r="77" spans="1:27">
      <c r="A77" s="67" t="s">
        <v>435</v>
      </c>
      <c r="B77" s="166">
        <v>0</v>
      </c>
      <c r="C77" s="166">
        <v>0</v>
      </c>
      <c r="D77" s="166">
        <v>16</v>
      </c>
      <c r="E77" s="166">
        <v>30</v>
      </c>
      <c r="F77" s="166">
        <v>0</v>
      </c>
      <c r="G77" s="166">
        <v>0</v>
      </c>
      <c r="H77" s="166">
        <v>0</v>
      </c>
      <c r="I77" s="139">
        <f t="shared" si="0"/>
        <v>34.915018532338301</v>
      </c>
      <c r="J77" s="151">
        <f>(77115*0.453592)/996.96</f>
        <v>35.085406716417907</v>
      </c>
      <c r="K77" s="187" t="s">
        <v>102</v>
      </c>
      <c r="L77" s="151">
        <f>(80109*0.453592)/996.96</f>
        <v>36.447602238805963</v>
      </c>
      <c r="M77" s="151">
        <f>(74869*0.453592)/996.96</f>
        <v>34.063532587064671</v>
      </c>
      <c r="N77" s="151">
        <f>(74869*0.453592)/996.96</f>
        <v>34.063532587064671</v>
      </c>
      <c r="O77" s="157" t="s">
        <v>102</v>
      </c>
      <c r="P77" s="157" t="s">
        <v>102</v>
      </c>
      <c r="Q77" s="151">
        <f>37434*0.453592/996.96</f>
        <v>17.03153880597015</v>
      </c>
      <c r="R77" s="166">
        <v>0</v>
      </c>
      <c r="S77" s="166">
        <v>0</v>
      </c>
      <c r="T77" s="166">
        <v>0</v>
      </c>
      <c r="U77" s="166">
        <v>0</v>
      </c>
      <c r="V77" s="166">
        <v>0</v>
      </c>
      <c r="W77" s="166">
        <v>0</v>
      </c>
      <c r="X77" s="166">
        <v>0</v>
      </c>
      <c r="Y77" s="166">
        <v>0</v>
      </c>
      <c r="Z77" s="166">
        <v>0</v>
      </c>
      <c r="AA77" s="68"/>
    </row>
    <row r="78" spans="1:27">
      <c r="A78" s="67" t="s">
        <v>434</v>
      </c>
      <c r="B78" s="166">
        <v>0</v>
      </c>
      <c r="C78" s="166">
        <v>0</v>
      </c>
      <c r="D78" s="166">
        <v>16</v>
      </c>
      <c r="E78" s="166">
        <v>30</v>
      </c>
      <c r="F78" s="166">
        <v>0</v>
      </c>
      <c r="G78" s="166">
        <v>0</v>
      </c>
      <c r="H78" s="166">
        <v>0</v>
      </c>
      <c r="I78" s="139">
        <f t="shared" si="0"/>
        <v>4.9927832711442779</v>
      </c>
      <c r="J78" s="151">
        <f>(11027*0.453592)/996.96</f>
        <v>5.0170106965174126</v>
      </c>
      <c r="K78" s="187" t="s">
        <v>102</v>
      </c>
      <c r="L78" s="151">
        <f>(11456*0.453592)/996.96</f>
        <v>5.212195024875621</v>
      </c>
      <c r="M78" s="151">
        <f>(10706*0.453592)/996.96</f>
        <v>4.8709636815920394</v>
      </c>
      <c r="N78" s="151">
        <f>(10706*0.453592)/996.96</f>
        <v>4.8709636815920394</v>
      </c>
      <c r="O78" s="157" t="s">
        <v>102</v>
      </c>
      <c r="P78" s="163" t="s">
        <v>102</v>
      </c>
      <c r="Q78" s="151">
        <f>5353*0.453592/996.96</f>
        <v>2.4354818407960197</v>
      </c>
      <c r="R78" s="166">
        <v>0</v>
      </c>
      <c r="S78" s="166">
        <v>0</v>
      </c>
      <c r="T78" s="166">
        <v>0</v>
      </c>
      <c r="U78" s="166">
        <v>0</v>
      </c>
      <c r="V78" s="166">
        <v>0</v>
      </c>
      <c r="W78" s="166">
        <v>0</v>
      </c>
      <c r="X78" s="166">
        <v>0</v>
      </c>
      <c r="Y78" s="166">
        <v>0</v>
      </c>
      <c r="Z78" s="166">
        <v>0</v>
      </c>
      <c r="AA78" s="68"/>
    </row>
    <row r="79" spans="1:27">
      <c r="A79" s="67" t="s">
        <v>452</v>
      </c>
      <c r="B79" s="166">
        <v>0</v>
      </c>
      <c r="C79" s="166">
        <v>0</v>
      </c>
      <c r="D79" s="166">
        <v>16</v>
      </c>
      <c r="E79" s="166">
        <v>30</v>
      </c>
      <c r="F79" s="166">
        <v>0</v>
      </c>
      <c r="G79" s="166">
        <v>0</v>
      </c>
      <c r="H79" s="166">
        <v>0</v>
      </c>
      <c r="I79" s="139">
        <f t="shared" si="0"/>
        <v>9.5615297263681587</v>
      </c>
      <c r="J79" s="163" t="s">
        <v>102</v>
      </c>
      <c r="K79" s="187" t="s">
        <v>102</v>
      </c>
      <c r="L79" s="151">
        <f>(21726*0.453592)/996.96</f>
        <v>9.8847895522388054</v>
      </c>
      <c r="M79" s="151">
        <f>(20305*0.453592)/996.96</f>
        <v>9.238269900497512</v>
      </c>
      <c r="N79" s="163" t="s">
        <v>102</v>
      </c>
      <c r="O79" s="157" t="s">
        <v>102</v>
      </c>
      <c r="P79" s="163" t="s">
        <v>102</v>
      </c>
      <c r="Q79" s="151">
        <f>10152*0.453592/996.96</f>
        <v>4.6189074626865674</v>
      </c>
      <c r="R79" s="166">
        <v>0</v>
      </c>
      <c r="S79" s="166">
        <v>0</v>
      </c>
      <c r="T79" s="166">
        <v>0</v>
      </c>
      <c r="U79" s="166">
        <v>0</v>
      </c>
      <c r="V79" s="166">
        <v>0</v>
      </c>
      <c r="W79" s="166">
        <v>0</v>
      </c>
      <c r="X79" s="166">
        <v>0</v>
      </c>
      <c r="Y79" s="166">
        <v>0</v>
      </c>
      <c r="Z79" s="166">
        <v>0</v>
      </c>
      <c r="AA79" s="68"/>
    </row>
    <row r="80" spans="1:27">
      <c r="A80" s="67" t="s">
        <v>438</v>
      </c>
      <c r="B80" s="166">
        <v>0</v>
      </c>
      <c r="C80" s="166">
        <v>0</v>
      </c>
      <c r="D80" s="166">
        <v>16</v>
      </c>
      <c r="E80" s="166">
        <v>30</v>
      </c>
      <c r="F80" s="166">
        <v>0</v>
      </c>
      <c r="G80" s="166">
        <v>0</v>
      </c>
      <c r="H80" s="166">
        <v>0</v>
      </c>
      <c r="I80" s="139">
        <f t="shared" ref="I80:I94" si="2">AVERAGE(J80:P80)</f>
        <v>15.752262499999997</v>
      </c>
      <c r="J80" s="151">
        <f>(34791*0.453592)/996.96</f>
        <v>15.829039552238804</v>
      </c>
      <c r="K80" s="187" t="s">
        <v>102</v>
      </c>
      <c r="L80" s="151">
        <f>(36142*0.453592)/996.96</f>
        <v>16.443710945273633</v>
      </c>
      <c r="M80" s="151">
        <f>(33778*0.453592)/996.96</f>
        <v>15.368149751243781</v>
      </c>
      <c r="N80" s="151">
        <f>(33778*0.453592)/996.96</f>
        <v>15.368149751243781</v>
      </c>
      <c r="O80" s="157" t="s">
        <v>102</v>
      </c>
      <c r="P80" s="163" t="s">
        <v>102</v>
      </c>
      <c r="Q80" s="151">
        <f>16889*0.453592/996.96</f>
        <v>7.6840748756218904</v>
      </c>
      <c r="R80" s="166">
        <v>0</v>
      </c>
      <c r="S80" s="166">
        <v>0</v>
      </c>
      <c r="T80" s="166">
        <v>0</v>
      </c>
      <c r="U80" s="166">
        <v>0</v>
      </c>
      <c r="V80" s="166">
        <v>0</v>
      </c>
      <c r="W80" s="166">
        <v>0</v>
      </c>
      <c r="X80" s="166">
        <v>0</v>
      </c>
      <c r="Y80" s="166">
        <v>0</v>
      </c>
      <c r="Z80" s="166">
        <v>0</v>
      </c>
      <c r="AA80" s="68"/>
    </row>
    <row r="81" spans="1:27">
      <c r="A81" s="67" t="s">
        <v>436</v>
      </c>
      <c r="B81" s="166">
        <v>0</v>
      </c>
      <c r="C81" s="166">
        <v>0</v>
      </c>
      <c r="D81" s="166">
        <v>16</v>
      </c>
      <c r="E81" s="166">
        <v>30</v>
      </c>
      <c r="F81" s="166">
        <v>0</v>
      </c>
      <c r="G81" s="166">
        <v>0</v>
      </c>
      <c r="H81" s="166">
        <v>0</v>
      </c>
      <c r="I81" s="139">
        <f t="shared" si="2"/>
        <v>41.897862997512433</v>
      </c>
      <c r="J81" s="151">
        <f>(92538*0.453592)/996.96</f>
        <v>42.102488059701493</v>
      </c>
      <c r="K81" s="187" t="s">
        <v>102</v>
      </c>
      <c r="L81" s="151">
        <f>(96131*0.453592)/996.96</f>
        <v>43.737213681592038</v>
      </c>
      <c r="M81" s="151">
        <f>(89842*0.453592)/996.96</f>
        <v>40.875875124378105</v>
      </c>
      <c r="N81" s="151">
        <f>(89842*0.453592)/996.96</f>
        <v>40.875875124378105</v>
      </c>
      <c r="O81" s="157" t="s">
        <v>102</v>
      </c>
      <c r="P81" s="163" t="s">
        <v>102</v>
      </c>
      <c r="Q81" s="151">
        <f>44921*0.453592/996.96</f>
        <v>20.437937562189052</v>
      </c>
      <c r="R81" s="166">
        <v>0</v>
      </c>
      <c r="S81" s="166">
        <v>0</v>
      </c>
      <c r="T81" s="166">
        <v>0</v>
      </c>
      <c r="U81" s="166">
        <v>0</v>
      </c>
      <c r="V81" s="166">
        <v>0</v>
      </c>
      <c r="W81" s="166">
        <v>0</v>
      </c>
      <c r="X81" s="166">
        <v>0</v>
      </c>
      <c r="Y81" s="166">
        <v>0</v>
      </c>
      <c r="Z81" s="166">
        <v>0</v>
      </c>
      <c r="AA81" s="68"/>
    </row>
    <row r="82" spans="1:27">
      <c r="A82" s="67" t="s">
        <v>200</v>
      </c>
      <c r="B82" s="130">
        <v>295</v>
      </c>
      <c r="C82" s="130">
        <v>17</v>
      </c>
      <c r="D82" s="130">
        <v>16</v>
      </c>
      <c r="E82" s="130">
        <v>30</v>
      </c>
      <c r="F82" s="130">
        <v>2E-3</v>
      </c>
      <c r="G82" s="130">
        <v>0.08</v>
      </c>
      <c r="H82" s="130">
        <v>43.1</v>
      </c>
      <c r="I82" s="139">
        <f t="shared" si="2"/>
        <v>22.706443532338305</v>
      </c>
      <c r="J82" s="151">
        <f>(50150*0.453592)/996.96</f>
        <v>22.817002487562188</v>
      </c>
      <c r="K82" s="187" t="s">
        <v>102</v>
      </c>
      <c r="L82" s="151">
        <f>(52098*0.453592)/996.96</f>
        <v>23.703294029850746</v>
      </c>
      <c r="M82" s="151">
        <f>(48690*0.453592)/996.96</f>
        <v>22.152738805970149</v>
      </c>
      <c r="N82" s="151">
        <f>(48690*0.453592)/996.96</f>
        <v>22.152738805970149</v>
      </c>
      <c r="O82" s="157" t="s">
        <v>102</v>
      </c>
      <c r="P82" s="163" t="s">
        <v>102</v>
      </c>
      <c r="Q82" s="151">
        <f>24345*0.453592/996.96</f>
        <v>11.076369402985074</v>
      </c>
      <c r="R82" s="130">
        <v>402</v>
      </c>
      <c r="S82" s="130">
        <v>0</v>
      </c>
      <c r="T82" s="130">
        <v>337</v>
      </c>
      <c r="U82" s="130">
        <v>0.2</v>
      </c>
      <c r="V82" s="130">
        <v>0.1</v>
      </c>
      <c r="W82" s="130">
        <v>0.2</v>
      </c>
      <c r="X82" s="130">
        <v>1.6999999999999999E-3</v>
      </c>
      <c r="Y82" s="73">
        <v>0.67</v>
      </c>
      <c r="Z82" s="130">
        <v>10.5</v>
      </c>
      <c r="AA82" s="68"/>
    </row>
    <row r="83" spans="1:27">
      <c r="A83" s="67" t="s">
        <v>437</v>
      </c>
      <c r="B83" s="166">
        <v>0</v>
      </c>
      <c r="C83" s="166">
        <v>0</v>
      </c>
      <c r="D83" s="130">
        <v>16</v>
      </c>
      <c r="E83" s="166">
        <v>30</v>
      </c>
      <c r="F83" s="166">
        <v>0</v>
      </c>
      <c r="G83" s="166">
        <v>0</v>
      </c>
      <c r="H83" s="166">
        <v>0</v>
      </c>
      <c r="I83" s="139">
        <f t="shared" si="2"/>
        <v>8.4611723880597012</v>
      </c>
      <c r="J83" s="163" t="s">
        <v>102</v>
      </c>
      <c r="K83" s="187" t="s">
        <v>102</v>
      </c>
      <c r="L83" s="151">
        <f>(19226*0.453592)/996.96</f>
        <v>8.7473517412935333</v>
      </c>
      <c r="M83" s="151">
        <f>(17968*0.453592)/996.96</f>
        <v>8.174993034825869</v>
      </c>
      <c r="N83" s="163" t="s">
        <v>102</v>
      </c>
      <c r="O83" s="157" t="s">
        <v>102</v>
      </c>
      <c r="P83" s="163" t="s">
        <v>102</v>
      </c>
      <c r="Q83" s="151">
        <f>8984*0.453592/996.96</f>
        <v>4.0874965174129345</v>
      </c>
      <c r="R83" s="166">
        <v>0</v>
      </c>
      <c r="S83" s="166">
        <v>0</v>
      </c>
      <c r="T83" s="166">
        <v>0</v>
      </c>
      <c r="U83" s="166">
        <v>0</v>
      </c>
      <c r="V83" s="166">
        <v>0</v>
      </c>
      <c r="W83" s="166">
        <v>0</v>
      </c>
      <c r="X83" s="166">
        <v>0</v>
      </c>
      <c r="Y83" s="166">
        <v>0</v>
      </c>
      <c r="Z83" s="166">
        <v>0</v>
      </c>
      <c r="AA83" s="68"/>
    </row>
    <row r="84" spans="1:27">
      <c r="A84" s="67" t="s">
        <v>439</v>
      </c>
      <c r="B84" s="166">
        <v>0</v>
      </c>
      <c r="C84" s="166">
        <v>0</v>
      </c>
      <c r="D84" s="166">
        <v>16</v>
      </c>
      <c r="E84" s="166">
        <v>30</v>
      </c>
      <c r="F84" s="166">
        <v>0</v>
      </c>
      <c r="G84" s="166">
        <v>0</v>
      </c>
      <c r="H84" s="166">
        <v>0</v>
      </c>
      <c r="I84" s="139">
        <f t="shared" si="2"/>
        <v>6.2845713930348257</v>
      </c>
      <c r="J84" s="151">
        <f>(13880*0.453592)/996.96</f>
        <v>6.3150547263681593</v>
      </c>
      <c r="K84" s="187" t="s">
        <v>102</v>
      </c>
      <c r="L84" s="151">
        <f>(14420*0.453592)/996.96</f>
        <v>6.5607412935323373</v>
      </c>
      <c r="M84" s="151">
        <f>(13476*0.453592)/996.96</f>
        <v>6.1312447761194031</v>
      </c>
      <c r="N84" s="151">
        <f>(13476*0.453592)/996.96</f>
        <v>6.1312447761194031</v>
      </c>
      <c r="O84" s="157" t="s">
        <v>102</v>
      </c>
      <c r="P84" s="163" t="s">
        <v>102</v>
      </c>
      <c r="Q84" s="151">
        <f>6738*0.453592/996.96</f>
        <v>3.0656223880597016</v>
      </c>
      <c r="R84" s="166">
        <v>0</v>
      </c>
      <c r="S84" s="166">
        <v>0</v>
      </c>
      <c r="T84" s="166">
        <v>0</v>
      </c>
      <c r="U84" s="166">
        <v>0</v>
      </c>
      <c r="V84" s="166">
        <v>0</v>
      </c>
      <c r="W84" s="166">
        <v>0</v>
      </c>
      <c r="X84" s="166">
        <v>0</v>
      </c>
      <c r="Y84" s="166">
        <v>0</v>
      </c>
      <c r="Z84" s="166">
        <v>0</v>
      </c>
      <c r="AA84" s="68"/>
    </row>
    <row r="85" spans="1:27">
      <c r="A85" s="67" t="s">
        <v>182</v>
      </c>
      <c r="B85" s="130">
        <v>255</v>
      </c>
      <c r="C85" s="130">
        <v>11</v>
      </c>
      <c r="D85" s="130">
        <v>12</v>
      </c>
      <c r="E85" s="130">
        <v>85</v>
      </c>
      <c r="F85" s="130">
        <v>4.2000000000000003E-2</v>
      </c>
      <c r="G85" s="130">
        <v>0.08</v>
      </c>
      <c r="H85" s="130">
        <v>10.8</v>
      </c>
      <c r="I85" s="139">
        <f t="shared" si="2"/>
        <v>7.3721135986732991</v>
      </c>
      <c r="J85" s="151">
        <f>(16151*0.453592)/996.96</f>
        <v>7.3483032338308449</v>
      </c>
      <c r="K85" s="187" t="s">
        <v>102</v>
      </c>
      <c r="L85" s="151">
        <f>(16778*0.453592)/996.96</f>
        <v>7.6335726368159209</v>
      </c>
      <c r="M85" s="151">
        <f>(15681*0.453592)/996.96</f>
        <v>7.134464925373134</v>
      </c>
      <c r="N85" s="163" t="s">
        <v>102</v>
      </c>
      <c r="O85" s="157" t="s">
        <v>102</v>
      </c>
      <c r="P85" s="163" t="s">
        <v>102</v>
      </c>
      <c r="Q85" s="151">
        <f>7840*0.453592/996.96</f>
        <v>3.567004975124378</v>
      </c>
      <c r="R85" s="130">
        <v>198</v>
      </c>
      <c r="S85" s="130">
        <v>0.5</v>
      </c>
      <c r="T85" s="130">
        <v>382</v>
      </c>
      <c r="U85" s="130">
        <v>0.3</v>
      </c>
      <c r="V85" s="130">
        <v>0.2</v>
      </c>
      <c r="W85" s="130">
        <v>0.2</v>
      </c>
      <c r="X85" s="130">
        <v>6.0000000000000001E-3</v>
      </c>
      <c r="Y85" s="73">
        <v>0.33</v>
      </c>
      <c r="Z85" s="130">
        <v>24.1</v>
      </c>
      <c r="AA85" s="68"/>
    </row>
    <row r="86" spans="1:27">
      <c r="A86" s="67" t="s">
        <v>180</v>
      </c>
      <c r="B86" s="130">
        <v>250</v>
      </c>
      <c r="C86" s="130">
        <v>10.8</v>
      </c>
      <c r="D86" s="130">
        <v>12</v>
      </c>
      <c r="E86" s="130">
        <v>68</v>
      </c>
      <c r="F86" s="130">
        <v>0.10100000000000001</v>
      </c>
      <c r="G86" s="130">
        <v>0.1</v>
      </c>
      <c r="H86" s="130">
        <v>10.8</v>
      </c>
      <c r="I86" s="139" t="e">
        <f t="shared" si="2"/>
        <v>#DIV/0!</v>
      </c>
      <c r="J86" s="163" t="s">
        <v>102</v>
      </c>
      <c r="K86" s="187" t="s">
        <v>102</v>
      </c>
      <c r="L86" s="163" t="s">
        <v>102</v>
      </c>
      <c r="M86" s="163" t="s">
        <v>102</v>
      </c>
      <c r="N86" s="163" t="s">
        <v>102</v>
      </c>
      <c r="O86" s="163" t="s">
        <v>102</v>
      </c>
      <c r="P86" s="163" t="s">
        <v>102</v>
      </c>
      <c r="Q86" s="163" t="s">
        <v>102</v>
      </c>
      <c r="R86" s="130">
        <v>150</v>
      </c>
      <c r="S86" s="130">
        <v>1</v>
      </c>
      <c r="T86" s="130">
        <v>876</v>
      </c>
      <c r="U86" s="130">
        <v>0.3</v>
      </c>
      <c r="V86" s="130">
        <v>0.8</v>
      </c>
      <c r="W86" s="130">
        <v>0.2</v>
      </c>
      <c r="X86" s="130">
        <v>1.4800000000000001E-2</v>
      </c>
      <c r="Y86" s="73">
        <v>0.25</v>
      </c>
      <c r="Z86" s="130">
        <v>58.4</v>
      </c>
      <c r="AA86" s="68"/>
    </row>
    <row r="87" spans="1:27">
      <c r="A87" s="67" t="s">
        <v>440</v>
      </c>
      <c r="B87" s="166">
        <v>0</v>
      </c>
      <c r="C87" s="166">
        <v>0</v>
      </c>
      <c r="D87" s="166">
        <v>16</v>
      </c>
      <c r="E87" s="166">
        <v>30</v>
      </c>
      <c r="F87" s="166">
        <v>0</v>
      </c>
      <c r="G87" s="166">
        <v>0</v>
      </c>
      <c r="H87" s="166">
        <v>0</v>
      </c>
      <c r="I87" s="139">
        <f t="shared" si="2"/>
        <v>8.2981775497512444</v>
      </c>
      <c r="J87" s="151">
        <f>(18328*0.453592)/996.96</f>
        <v>8.3387840796019912</v>
      </c>
      <c r="K87" s="187" t="s">
        <v>102</v>
      </c>
      <c r="L87" s="151">
        <f>(19039*0.453592)/996.96</f>
        <v>8.6622713930348265</v>
      </c>
      <c r="M87" s="151">
        <f>(17794*0.453592)/996.96</f>
        <v>8.09582736318408</v>
      </c>
      <c r="N87" s="151">
        <f>(17794*0.453592)/996.96</f>
        <v>8.09582736318408</v>
      </c>
      <c r="O87" s="157" t="s">
        <v>102</v>
      </c>
      <c r="P87" s="163" t="s">
        <v>102</v>
      </c>
      <c r="Q87" s="151">
        <f>8897*0.453592/996.96</f>
        <v>4.04791368159204</v>
      </c>
      <c r="R87" s="166">
        <v>0</v>
      </c>
      <c r="S87" s="166">
        <v>0</v>
      </c>
      <c r="T87" s="166">
        <v>0</v>
      </c>
      <c r="U87" s="166">
        <v>0</v>
      </c>
      <c r="V87" s="166">
        <v>0</v>
      </c>
      <c r="W87" s="166">
        <v>0</v>
      </c>
      <c r="X87" s="166">
        <v>0</v>
      </c>
      <c r="Y87" s="166">
        <v>0</v>
      </c>
      <c r="Z87" s="166">
        <v>0</v>
      </c>
      <c r="AA87" s="68"/>
    </row>
    <row r="88" spans="1:27">
      <c r="A88" s="67" t="s">
        <v>441</v>
      </c>
      <c r="B88" s="166">
        <v>0</v>
      </c>
      <c r="C88" s="166">
        <v>0</v>
      </c>
      <c r="D88" s="166">
        <v>16</v>
      </c>
      <c r="E88" s="166">
        <v>30</v>
      </c>
      <c r="F88" s="166">
        <v>0</v>
      </c>
      <c r="G88" s="166">
        <v>0</v>
      </c>
      <c r="H88" s="166">
        <v>0</v>
      </c>
      <c r="I88" s="139">
        <f t="shared" si="2"/>
        <v>18.394189303482587</v>
      </c>
      <c r="J88" s="163" t="s">
        <v>102</v>
      </c>
      <c r="K88" s="187" t="s">
        <v>102</v>
      </c>
      <c r="L88" s="163" t="s">
        <v>102</v>
      </c>
      <c r="M88" s="151">
        <f>(40429*0.453592)/996.96</f>
        <v>18.394189303482587</v>
      </c>
      <c r="N88" s="163" t="s">
        <v>102</v>
      </c>
      <c r="O88" s="157" t="s">
        <v>102</v>
      </c>
      <c r="P88" s="163" t="s">
        <v>102</v>
      </c>
      <c r="Q88" s="151">
        <f>20215*0.453592/996.96</f>
        <v>9.1973221393034823</v>
      </c>
      <c r="R88" s="166">
        <v>0</v>
      </c>
      <c r="S88" s="166">
        <v>0</v>
      </c>
      <c r="T88" s="166">
        <v>0</v>
      </c>
      <c r="U88" s="166">
        <v>0</v>
      </c>
      <c r="V88" s="166">
        <v>0</v>
      </c>
      <c r="W88" s="166">
        <v>0</v>
      </c>
      <c r="X88" s="166">
        <v>0</v>
      </c>
      <c r="Y88" s="166">
        <v>0</v>
      </c>
      <c r="Z88" s="166">
        <v>0</v>
      </c>
      <c r="AA88" s="68"/>
    </row>
    <row r="89" spans="1:27">
      <c r="A89" s="67" t="s">
        <v>444</v>
      </c>
      <c r="B89" s="166">
        <v>0</v>
      </c>
      <c r="C89" s="166">
        <v>0</v>
      </c>
      <c r="D89" s="166">
        <v>16</v>
      </c>
      <c r="E89" s="166">
        <v>30</v>
      </c>
      <c r="F89" s="166">
        <v>0</v>
      </c>
      <c r="G89" s="166">
        <v>0</v>
      </c>
      <c r="H89" s="166">
        <v>0</v>
      </c>
      <c r="I89" s="139">
        <f t="shared" si="2"/>
        <v>57.32140597014925</v>
      </c>
      <c r="J89" s="157" t="s">
        <v>102</v>
      </c>
      <c r="K89" s="187" t="s">
        <v>102</v>
      </c>
      <c r="L89" s="157" t="s">
        <v>102</v>
      </c>
      <c r="M89" s="157" t="s">
        <v>102</v>
      </c>
      <c r="N89" s="157" t="s">
        <v>102</v>
      </c>
      <c r="O89" s="151">
        <f>(125988*0.453592)/996.96</f>
        <v>57.32140597014925</v>
      </c>
      <c r="P89" s="151">
        <f>(125988*0.453592)/996.96</f>
        <v>57.32140597014925</v>
      </c>
      <c r="Q89" s="151">
        <f>62994*0.453592/996.96</f>
        <v>28.660702985074625</v>
      </c>
      <c r="R89" s="166">
        <v>0</v>
      </c>
      <c r="S89" s="166">
        <v>0</v>
      </c>
      <c r="T89" s="166">
        <v>0</v>
      </c>
      <c r="U89" s="166">
        <v>0</v>
      </c>
      <c r="V89" s="166">
        <v>0</v>
      </c>
      <c r="W89" s="166">
        <v>0</v>
      </c>
      <c r="X89" s="166">
        <v>0</v>
      </c>
      <c r="Y89" s="166">
        <v>0</v>
      </c>
      <c r="Z89" s="166">
        <v>0</v>
      </c>
      <c r="AA89" s="68"/>
    </row>
    <row r="90" spans="1:27">
      <c r="A90" s="67" t="s">
        <v>468</v>
      </c>
      <c r="B90" s="130">
        <v>313</v>
      </c>
      <c r="C90" s="130">
        <v>13.5</v>
      </c>
      <c r="D90" s="130">
        <v>12</v>
      </c>
      <c r="E90" s="130">
        <v>75</v>
      </c>
      <c r="F90" s="130">
        <v>0.29099999999999998</v>
      </c>
      <c r="G90" s="130">
        <v>0.06</v>
      </c>
      <c r="H90" s="130">
        <v>4.8</v>
      </c>
      <c r="I90" s="139">
        <f t="shared" si="2"/>
        <v>62.605487064676609</v>
      </c>
      <c r="J90" s="157" t="s">
        <v>102</v>
      </c>
      <c r="K90" s="187" t="s">
        <v>102</v>
      </c>
      <c r="L90" s="157" t="s">
        <v>102</v>
      </c>
      <c r="M90" s="157" t="s">
        <v>102</v>
      </c>
      <c r="N90" s="157" t="s">
        <v>102</v>
      </c>
      <c r="O90" s="151">
        <f>(137602*0.453592)/996.96</f>
        <v>62.605487064676609</v>
      </c>
      <c r="P90" s="151">
        <f>(137602*0.453592)/996.96</f>
        <v>62.605487064676609</v>
      </c>
      <c r="Q90" s="151">
        <f>68801*0.453592/996.96</f>
        <v>31.302743532338305</v>
      </c>
      <c r="R90" s="130">
        <v>300</v>
      </c>
      <c r="S90" s="130">
        <v>4.9000000000000004</v>
      </c>
      <c r="T90" s="130">
        <v>2036</v>
      </c>
      <c r="U90" s="130">
        <v>0.5</v>
      </c>
      <c r="V90" s="130">
        <v>1.2</v>
      </c>
      <c r="W90" s="130">
        <v>0.2</v>
      </c>
      <c r="X90" s="130">
        <v>2.4199999999999999E-2</v>
      </c>
      <c r="Y90" s="73">
        <v>0.5</v>
      </c>
      <c r="Z90" s="130">
        <v>113.1</v>
      </c>
      <c r="AA90" s="68"/>
    </row>
    <row r="91" spans="1:27">
      <c r="A91" s="67" t="s">
        <v>469</v>
      </c>
      <c r="B91" s="166">
        <v>0</v>
      </c>
      <c r="C91" s="166">
        <v>0</v>
      </c>
      <c r="D91" s="166">
        <v>16</v>
      </c>
      <c r="E91" s="166">
        <v>30</v>
      </c>
      <c r="F91" s="166">
        <v>0</v>
      </c>
      <c r="G91" s="166">
        <v>0</v>
      </c>
      <c r="H91" s="166">
        <v>0</v>
      </c>
      <c r="I91" s="139">
        <f t="shared" si="2"/>
        <v>11.062265174129353</v>
      </c>
      <c r="J91" s="157" t="s">
        <v>102</v>
      </c>
      <c r="K91" s="187" t="s">
        <v>102</v>
      </c>
      <c r="L91" s="151">
        <f>(25136*0.453592)/996.96</f>
        <v>11.436254726368158</v>
      </c>
      <c r="M91" s="151">
        <f>(23492*0.453592)/996.96</f>
        <v>10.688275621890547</v>
      </c>
      <c r="N91" s="157" t="s">
        <v>102</v>
      </c>
      <c r="O91" s="157" t="s">
        <v>102</v>
      </c>
      <c r="P91" s="163" t="s">
        <v>102</v>
      </c>
      <c r="Q91" s="151">
        <f>11746*0.453592/996.96</f>
        <v>5.3441378109452735</v>
      </c>
      <c r="R91" s="166">
        <v>0</v>
      </c>
      <c r="S91" s="166">
        <v>0</v>
      </c>
      <c r="T91" s="166">
        <v>0</v>
      </c>
      <c r="U91" s="166">
        <v>0</v>
      </c>
      <c r="V91" s="166">
        <v>0</v>
      </c>
      <c r="W91" s="166">
        <v>0</v>
      </c>
      <c r="X91" s="166">
        <v>0</v>
      </c>
      <c r="Y91" s="166">
        <v>0</v>
      </c>
      <c r="Z91" s="166">
        <v>0</v>
      </c>
      <c r="AA91" s="68"/>
    </row>
    <row r="92" spans="1:27">
      <c r="A92" s="67" t="s">
        <v>390</v>
      </c>
      <c r="B92" s="166">
        <v>0</v>
      </c>
      <c r="C92" s="166">
        <v>0</v>
      </c>
      <c r="D92" s="166">
        <v>16</v>
      </c>
      <c r="E92" s="166">
        <v>30</v>
      </c>
      <c r="F92" s="166">
        <v>0</v>
      </c>
      <c r="G92" s="166">
        <v>0</v>
      </c>
      <c r="H92" s="166">
        <v>0</v>
      </c>
      <c r="I92" s="139">
        <f t="shared" si="2"/>
        <v>12.9173125</v>
      </c>
      <c r="J92" s="151">
        <f>(28523*0.453592)/996.96</f>
        <v>12.977255472636815</v>
      </c>
      <c r="K92" s="187" t="s">
        <v>102</v>
      </c>
      <c r="L92" s="151">
        <f>(29640*0.453592)/996.96</f>
        <v>13.485462686567164</v>
      </c>
      <c r="M92" s="151">
        <f>(27701*0.453592)/996.96</f>
        <v>12.603265920398009</v>
      </c>
      <c r="N92" s="151">
        <f>(27701*0.453592)/996.96</f>
        <v>12.603265920398009</v>
      </c>
      <c r="O92" s="157" t="s">
        <v>102</v>
      </c>
      <c r="P92" s="163" t="s">
        <v>102</v>
      </c>
      <c r="Q92" s="151">
        <f>13851*0.453592/996.96</f>
        <v>6.3018604477611939</v>
      </c>
      <c r="R92" s="166">
        <v>0</v>
      </c>
      <c r="S92" s="166">
        <v>0</v>
      </c>
      <c r="T92" s="166">
        <v>0</v>
      </c>
      <c r="U92" s="166">
        <v>0</v>
      </c>
      <c r="V92" s="166">
        <v>0</v>
      </c>
      <c r="W92" s="166">
        <v>0</v>
      </c>
      <c r="X92" s="166">
        <v>0</v>
      </c>
      <c r="Y92" s="166">
        <v>0</v>
      </c>
      <c r="Z92" s="166">
        <v>0</v>
      </c>
      <c r="AA92" s="68"/>
    </row>
    <row r="93" spans="1:27">
      <c r="A93" s="67" t="s">
        <v>443</v>
      </c>
      <c r="B93" s="130">
        <v>350</v>
      </c>
      <c r="C93" s="130">
        <v>15.1</v>
      </c>
      <c r="D93" s="130">
        <v>12</v>
      </c>
      <c r="E93" s="130">
        <v>85</v>
      </c>
      <c r="F93" s="130">
        <v>0.96</v>
      </c>
      <c r="G93" s="130">
        <v>0.08</v>
      </c>
      <c r="H93" s="130">
        <v>0.7</v>
      </c>
      <c r="I93" s="139">
        <f t="shared" si="2"/>
        <v>4.5047087064676612</v>
      </c>
      <c r="J93" s="157" t="s">
        <v>102</v>
      </c>
      <c r="K93" s="187" t="s">
        <v>102</v>
      </c>
      <c r="L93" s="157" t="s">
        <v>102</v>
      </c>
      <c r="M93" s="157" t="s">
        <v>102</v>
      </c>
      <c r="N93" s="157" t="s">
        <v>102</v>
      </c>
      <c r="O93" s="151">
        <f>(9901*0.453592)/996.96</f>
        <v>4.5047087064676612</v>
      </c>
      <c r="P93" s="151">
        <f>(9901*0.453592)/996.96</f>
        <v>4.5047087064676612</v>
      </c>
      <c r="Q93" s="151">
        <f>4950*0.453592/996.96</f>
        <v>2.252126865671642</v>
      </c>
      <c r="R93" s="130">
        <v>198</v>
      </c>
      <c r="S93" s="130">
        <v>12</v>
      </c>
      <c r="T93" s="130">
        <v>549</v>
      </c>
      <c r="U93" s="130">
        <v>1.2</v>
      </c>
      <c r="V93" s="130">
        <v>0.6</v>
      </c>
      <c r="W93" s="130">
        <v>0.3</v>
      </c>
      <c r="X93" s="130">
        <v>6.3E-3</v>
      </c>
      <c r="Y93" s="73">
        <v>0.33</v>
      </c>
      <c r="Z93" s="130">
        <v>34.700000000000003</v>
      </c>
      <c r="AA93" s="68"/>
    </row>
    <row r="94" spans="1:27">
      <c r="A94" s="67" t="s">
        <v>467</v>
      </c>
      <c r="B94" s="166">
        <v>0</v>
      </c>
      <c r="C94" s="166">
        <v>0</v>
      </c>
      <c r="D94" s="166">
        <v>12</v>
      </c>
      <c r="E94" s="166">
        <v>85</v>
      </c>
      <c r="F94" s="166">
        <v>0</v>
      </c>
      <c r="G94" s="166">
        <v>0</v>
      </c>
      <c r="H94" s="166">
        <v>0</v>
      </c>
      <c r="I94" s="139">
        <f t="shared" si="2"/>
        <v>7.7700651741293525</v>
      </c>
      <c r="J94" s="73" t="s">
        <v>102</v>
      </c>
      <c r="K94" s="187" t="s">
        <v>102</v>
      </c>
      <c r="L94" s="73" t="s">
        <v>102</v>
      </c>
      <c r="M94" s="73" t="s">
        <v>102</v>
      </c>
      <c r="N94" s="73" t="s">
        <v>102</v>
      </c>
      <c r="O94" s="73">
        <f>(17078*0.453592)/996.96</f>
        <v>7.7700651741293525</v>
      </c>
      <c r="P94" s="73">
        <f>(17078*0.453592)/996.96</f>
        <v>7.7700651741293525</v>
      </c>
      <c r="Q94" s="151">
        <f>8539*0.453592/996.96</f>
        <v>3.8850325870646762</v>
      </c>
      <c r="R94" s="166">
        <v>0</v>
      </c>
      <c r="S94" s="166">
        <v>0</v>
      </c>
      <c r="T94" s="166">
        <v>0</v>
      </c>
      <c r="U94" s="166">
        <v>0</v>
      </c>
      <c r="V94" s="166">
        <v>0</v>
      </c>
      <c r="W94" s="166">
        <v>0</v>
      </c>
      <c r="X94" s="166">
        <v>0</v>
      </c>
      <c r="Y94" s="166">
        <v>0</v>
      </c>
      <c r="Z94" s="166">
        <v>0</v>
      </c>
      <c r="AA94" s="68"/>
    </row>
    <row r="95" spans="1:27">
      <c r="A95" s="67"/>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row>
    <row r="96" spans="1:27">
      <c r="A96" s="69" t="s">
        <v>323</v>
      </c>
      <c r="B96" s="68" t="s">
        <v>484</v>
      </c>
      <c r="C96" s="68" t="s">
        <v>485</v>
      </c>
      <c r="D96" s="68" t="s">
        <v>486</v>
      </c>
      <c r="E96" s="68" t="s">
        <v>487</v>
      </c>
      <c r="F96" s="68" t="s">
        <v>488</v>
      </c>
      <c r="G96" s="331" t="s">
        <v>749</v>
      </c>
      <c r="H96" s="68" t="s">
        <v>750</v>
      </c>
      <c r="I96" s="68" t="s">
        <v>349</v>
      </c>
      <c r="J96" s="68"/>
      <c r="K96" s="68"/>
      <c r="L96" s="68"/>
      <c r="M96" s="68"/>
      <c r="N96" s="68"/>
      <c r="O96" s="68"/>
      <c r="P96" s="68"/>
      <c r="Q96" s="68"/>
      <c r="R96" s="68"/>
      <c r="S96" s="68"/>
      <c r="T96" s="68"/>
      <c r="U96" s="68"/>
      <c r="V96" s="68"/>
      <c r="W96" s="68"/>
      <c r="X96" s="68"/>
      <c r="Y96" s="68"/>
      <c r="Z96" s="68"/>
      <c r="AA96" s="68"/>
    </row>
    <row r="97" spans="1:27">
      <c r="A97" s="67" t="s">
        <v>230</v>
      </c>
      <c r="B97" s="329">
        <v>1</v>
      </c>
      <c r="C97" s="329">
        <v>0</v>
      </c>
      <c r="D97" s="68">
        <f>(((1/3)*1.686)+0.4)*(5.823+1.22+0.61)</f>
        <v>7.3621860000000003</v>
      </c>
      <c r="E97" s="329">
        <f>180*2</f>
        <v>360</v>
      </c>
      <c r="F97" s="329">
        <v>0</v>
      </c>
      <c r="G97" s="329">
        <v>0</v>
      </c>
      <c r="H97" s="329">
        <v>0</v>
      </c>
      <c r="I97" s="330" t="s">
        <v>740</v>
      </c>
      <c r="J97" s="68"/>
      <c r="K97" s="68"/>
      <c r="L97" s="68"/>
      <c r="M97" s="68"/>
      <c r="N97" s="68"/>
      <c r="O97" s="68"/>
      <c r="P97" s="68"/>
      <c r="Q97" s="68"/>
      <c r="R97" s="68"/>
      <c r="S97" s="68"/>
      <c r="T97" s="68"/>
      <c r="U97" s="68"/>
      <c r="V97" s="68"/>
      <c r="W97" s="68"/>
      <c r="X97" s="68"/>
      <c r="Y97" s="68"/>
      <c r="Z97" s="68"/>
      <c r="AA97" s="68"/>
    </row>
    <row r="98" spans="1:27">
      <c r="A98" s="67" t="s">
        <v>231</v>
      </c>
      <c r="B98" s="329">
        <v>1</v>
      </c>
      <c r="C98" s="329">
        <v>0</v>
      </c>
      <c r="D98" s="329">
        <v>0</v>
      </c>
      <c r="E98" s="329">
        <v>0</v>
      </c>
      <c r="F98" s="329">
        <v>0</v>
      </c>
      <c r="G98" s="329">
        <v>0</v>
      </c>
      <c r="H98" s="329">
        <v>0</v>
      </c>
      <c r="I98" s="330" t="s">
        <v>741</v>
      </c>
      <c r="J98" s="68"/>
      <c r="K98" s="68"/>
      <c r="L98" s="68"/>
      <c r="M98" s="68"/>
      <c r="N98" s="68"/>
      <c r="O98" s="68"/>
      <c r="P98" s="68"/>
      <c r="Q98" s="68"/>
      <c r="R98" s="68"/>
      <c r="S98" s="68"/>
      <c r="T98" s="68"/>
      <c r="U98" s="68"/>
      <c r="V98" s="68"/>
      <c r="W98" s="68"/>
      <c r="X98" s="68"/>
      <c r="Y98" s="68"/>
      <c r="Z98" s="68"/>
      <c r="AA98" s="68"/>
    </row>
    <row r="99" spans="1:27">
      <c r="A99" s="67" t="s">
        <v>712</v>
      </c>
      <c r="B99" s="329">
        <v>1</v>
      </c>
      <c r="C99" s="329">
        <v>0</v>
      </c>
      <c r="D99" s="329">
        <v>0</v>
      </c>
      <c r="E99" s="329">
        <v>0</v>
      </c>
      <c r="F99" s="329">
        <v>0</v>
      </c>
      <c r="G99" s="329">
        <v>0</v>
      </c>
      <c r="H99" s="329">
        <v>0</v>
      </c>
      <c r="I99" s="330" t="s">
        <v>742</v>
      </c>
      <c r="J99" s="68"/>
      <c r="K99" s="68"/>
      <c r="L99" s="68"/>
      <c r="M99" s="68"/>
      <c r="N99" s="68"/>
      <c r="O99" s="68"/>
      <c r="P99" s="68"/>
      <c r="Q99" s="68"/>
      <c r="R99" s="68"/>
      <c r="S99" s="68"/>
      <c r="T99" s="68"/>
      <c r="U99" s="68"/>
      <c r="V99" s="68"/>
      <c r="W99" s="68"/>
      <c r="X99" s="68"/>
      <c r="Y99" s="68"/>
      <c r="Z99" s="68"/>
      <c r="AA99" s="68"/>
    </row>
    <row r="100" spans="1:27">
      <c r="A100" s="67" t="s">
        <v>709</v>
      </c>
      <c r="B100" s="329">
        <v>1</v>
      </c>
      <c r="C100" s="329">
        <v>0</v>
      </c>
      <c r="D100" s="329">
        <v>0</v>
      </c>
      <c r="E100" s="329">
        <v>0</v>
      </c>
      <c r="F100" s="329">
        <v>0</v>
      </c>
      <c r="G100" s="329">
        <v>0</v>
      </c>
      <c r="H100" s="329">
        <v>0</v>
      </c>
      <c r="I100" s="330" t="s">
        <v>743</v>
      </c>
      <c r="J100" s="68"/>
      <c r="K100" s="68"/>
      <c r="L100" s="68"/>
      <c r="M100" s="68"/>
      <c r="N100" s="68"/>
      <c r="O100" s="68"/>
      <c r="P100" s="68"/>
      <c r="Q100" s="68"/>
      <c r="R100" s="68"/>
      <c r="S100" s="68"/>
      <c r="T100" s="68"/>
      <c r="U100" s="68"/>
      <c r="V100" s="68"/>
      <c r="W100" s="68"/>
      <c r="X100" s="68"/>
      <c r="Y100" s="68"/>
      <c r="Z100" s="68"/>
      <c r="AA100" s="68"/>
    </row>
    <row r="101" spans="1:27">
      <c r="A101" s="67" t="s">
        <v>710</v>
      </c>
      <c r="B101" s="329">
        <v>1</v>
      </c>
      <c r="C101" s="329">
        <v>0</v>
      </c>
      <c r="D101" s="329">
        <v>0</v>
      </c>
      <c r="E101" s="329">
        <v>0</v>
      </c>
      <c r="F101" s="329">
        <v>0</v>
      </c>
      <c r="G101" s="329">
        <v>0</v>
      </c>
      <c r="H101" s="329">
        <v>0</v>
      </c>
      <c r="I101" s="330" t="s">
        <v>744</v>
      </c>
      <c r="J101" s="68"/>
      <c r="K101" s="68"/>
      <c r="L101" s="68"/>
      <c r="M101" s="68"/>
      <c r="N101" s="68"/>
      <c r="O101" s="68"/>
      <c r="P101" s="68"/>
      <c r="Q101" s="68"/>
      <c r="R101" s="68"/>
      <c r="S101" s="68"/>
      <c r="T101" s="68"/>
      <c r="U101" s="68"/>
      <c r="V101" s="68"/>
      <c r="W101" s="68"/>
      <c r="X101" s="68"/>
      <c r="Y101" s="68"/>
      <c r="Z101" s="68"/>
      <c r="AA101" s="68"/>
    </row>
    <row r="102" spans="1:27">
      <c r="A102" s="67" t="s">
        <v>711</v>
      </c>
      <c r="B102" s="329">
        <v>1</v>
      </c>
      <c r="C102" s="329">
        <v>0</v>
      </c>
      <c r="D102" s="329">
        <v>0</v>
      </c>
      <c r="E102" s="329">
        <v>0</v>
      </c>
      <c r="F102" s="329">
        <v>0</v>
      </c>
      <c r="G102" s="329">
        <v>0</v>
      </c>
      <c r="H102" s="329">
        <v>0</v>
      </c>
      <c r="I102" s="330" t="s">
        <v>745</v>
      </c>
      <c r="J102" s="68"/>
      <c r="K102" s="68"/>
      <c r="L102" s="68"/>
      <c r="M102" s="68"/>
      <c r="N102" s="68"/>
      <c r="O102" s="68"/>
      <c r="P102" s="68"/>
      <c r="Q102" s="68"/>
      <c r="R102" s="68"/>
      <c r="S102" s="68"/>
      <c r="T102" s="68"/>
      <c r="U102" s="68"/>
      <c r="V102" s="68"/>
      <c r="W102" s="68"/>
      <c r="X102" s="68"/>
      <c r="Y102" s="68"/>
      <c r="Z102" s="68"/>
      <c r="AA102" s="68"/>
    </row>
    <row r="103" spans="1:27">
      <c r="A103" s="67" t="s">
        <v>713</v>
      </c>
      <c r="B103" s="329">
        <v>1</v>
      </c>
      <c r="C103" s="329">
        <v>0</v>
      </c>
      <c r="D103" s="329">
        <v>0</v>
      </c>
      <c r="E103" s="329">
        <v>0</v>
      </c>
      <c r="F103" s="329">
        <v>0</v>
      </c>
      <c r="G103" s="329">
        <v>0</v>
      </c>
      <c r="H103" s="329">
        <v>0</v>
      </c>
      <c r="I103" s="330" t="s">
        <v>746</v>
      </c>
      <c r="J103" s="68"/>
      <c r="K103" s="68"/>
      <c r="L103" s="68"/>
      <c r="M103" s="68"/>
      <c r="N103" s="68"/>
      <c r="O103" s="68"/>
      <c r="P103" s="68"/>
      <c r="Q103" s="68"/>
      <c r="R103" s="68"/>
      <c r="S103" s="68"/>
      <c r="T103" s="68"/>
      <c r="U103" s="68"/>
      <c r="V103" s="68"/>
      <c r="W103" s="68"/>
      <c r="X103" s="68"/>
      <c r="Y103" s="68"/>
      <c r="Z103" s="68"/>
      <c r="AA103" s="68"/>
    </row>
    <row r="104" spans="1:27">
      <c r="A104" s="67" t="s">
        <v>714</v>
      </c>
      <c r="B104" s="329">
        <v>1</v>
      </c>
      <c r="C104" s="329">
        <v>0</v>
      </c>
      <c r="D104" s="329">
        <v>0</v>
      </c>
      <c r="E104" s="329">
        <v>0</v>
      </c>
      <c r="F104" s="329">
        <v>0</v>
      </c>
      <c r="G104" s="329">
        <v>0</v>
      </c>
      <c r="H104" s="329">
        <v>0</v>
      </c>
      <c r="I104" s="330" t="s">
        <v>747</v>
      </c>
      <c r="J104" s="68"/>
      <c r="K104" s="68"/>
      <c r="L104" s="68"/>
      <c r="M104" s="68"/>
      <c r="N104" s="68"/>
      <c r="O104" s="68"/>
      <c r="P104" s="68"/>
      <c r="Q104" s="68"/>
      <c r="R104" s="68"/>
      <c r="S104" s="68"/>
      <c r="T104" s="68"/>
      <c r="U104" s="68"/>
      <c r="V104" s="68"/>
      <c r="W104" s="68"/>
      <c r="X104" s="68"/>
      <c r="Y104" s="68"/>
      <c r="Z104" s="68"/>
      <c r="AA104" s="68"/>
    </row>
    <row r="105" spans="1:27">
      <c r="A105" s="67" t="s">
        <v>715</v>
      </c>
      <c r="B105" s="329">
        <v>1</v>
      </c>
      <c r="C105" s="329">
        <v>0</v>
      </c>
      <c r="D105" s="329">
        <v>0</v>
      </c>
      <c r="E105" s="329">
        <v>0</v>
      </c>
      <c r="F105" s="329">
        <v>0</v>
      </c>
      <c r="G105" s="329">
        <v>0</v>
      </c>
      <c r="H105" s="329">
        <v>0</v>
      </c>
      <c r="I105" s="330" t="s">
        <v>748</v>
      </c>
      <c r="J105" s="68"/>
      <c r="K105" s="68"/>
      <c r="L105" s="68"/>
      <c r="M105" s="68"/>
      <c r="N105" s="68"/>
      <c r="O105" s="68"/>
      <c r="P105" s="68"/>
      <c r="Q105" s="68"/>
      <c r="R105" s="68"/>
      <c r="S105" s="68"/>
      <c r="T105" s="68"/>
      <c r="U105" s="68"/>
      <c r="V105" s="68"/>
      <c r="W105" s="68"/>
      <c r="X105" s="68"/>
      <c r="Y105" s="68"/>
      <c r="Z105" s="68"/>
      <c r="AA105" s="68"/>
    </row>
    <row r="106" spans="1:27">
      <c r="A106" s="67" t="s">
        <v>716</v>
      </c>
      <c r="B106" s="329">
        <v>1</v>
      </c>
      <c r="C106" s="329">
        <v>0</v>
      </c>
      <c r="D106" s="329">
        <v>0</v>
      </c>
      <c r="E106" s="329">
        <v>0</v>
      </c>
      <c r="F106" s="329">
        <v>0</v>
      </c>
      <c r="G106" s="329">
        <v>0</v>
      </c>
      <c r="H106" s="329">
        <v>0</v>
      </c>
      <c r="I106" s="68" t="s">
        <v>102</v>
      </c>
      <c r="J106" s="68"/>
      <c r="K106" s="68"/>
      <c r="L106" s="68"/>
      <c r="M106" s="68"/>
      <c r="N106" s="68"/>
      <c r="O106" s="68"/>
      <c r="P106" s="68"/>
      <c r="Q106" s="68"/>
      <c r="R106" s="68"/>
      <c r="S106" s="68"/>
      <c r="T106" s="68"/>
      <c r="U106" s="68"/>
      <c r="V106" s="68"/>
      <c r="W106" s="68"/>
      <c r="X106" s="68"/>
      <c r="Y106" s="68"/>
      <c r="Z106" s="68"/>
      <c r="AA106" s="68"/>
    </row>
    <row r="107" spans="1:27">
      <c r="A107" s="67" t="s">
        <v>312</v>
      </c>
      <c r="B107" s="329">
        <v>1</v>
      </c>
      <c r="C107" s="329">
        <v>0</v>
      </c>
      <c r="D107" s="329">
        <v>0</v>
      </c>
      <c r="E107" s="329">
        <v>0</v>
      </c>
      <c r="F107" s="329">
        <v>0</v>
      </c>
      <c r="G107" s="329">
        <v>0</v>
      </c>
      <c r="H107" s="329">
        <v>0</v>
      </c>
      <c r="I107" s="68" t="s">
        <v>102</v>
      </c>
      <c r="J107" s="68"/>
      <c r="K107" s="68"/>
      <c r="L107" s="68"/>
      <c r="M107" s="68"/>
      <c r="N107" s="68"/>
      <c r="O107" s="68"/>
      <c r="P107" s="68"/>
      <c r="Q107" s="68"/>
      <c r="R107" s="68"/>
      <c r="S107" s="68"/>
      <c r="T107" s="68"/>
      <c r="U107" s="68"/>
      <c r="V107" s="68"/>
      <c r="W107" s="68"/>
      <c r="X107" s="68"/>
      <c r="Y107" s="68"/>
      <c r="Z107" s="68"/>
      <c r="AA107" s="68"/>
    </row>
    <row r="108" spans="1:27">
      <c r="A108" s="47"/>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row>
    <row r="109" spans="1:27">
      <c r="A109" s="69" t="s">
        <v>324</v>
      </c>
      <c r="B109" s="68" t="s">
        <v>326</v>
      </c>
      <c r="C109" s="68" t="s">
        <v>328</v>
      </c>
      <c r="D109" s="68" t="s">
        <v>376</v>
      </c>
      <c r="E109" s="68" t="s">
        <v>330</v>
      </c>
      <c r="F109" s="164" t="s">
        <v>490</v>
      </c>
      <c r="G109" s="68" t="s">
        <v>378</v>
      </c>
      <c r="H109" s="68" t="s">
        <v>333</v>
      </c>
      <c r="I109" s="141" t="s">
        <v>377</v>
      </c>
      <c r="J109" s="68" t="s">
        <v>334</v>
      </c>
      <c r="K109" s="141" t="s">
        <v>358</v>
      </c>
      <c r="L109" s="68" t="s">
        <v>336</v>
      </c>
      <c r="M109" s="68" t="s">
        <v>338</v>
      </c>
      <c r="N109" s="68" t="s">
        <v>340</v>
      </c>
      <c r="O109" s="68" t="s">
        <v>341</v>
      </c>
      <c r="P109" s="68" t="s">
        <v>343</v>
      </c>
      <c r="Q109" s="141" t="s">
        <v>355</v>
      </c>
      <c r="R109" s="141" t="s">
        <v>356</v>
      </c>
      <c r="S109" s="141" t="s">
        <v>361</v>
      </c>
      <c r="T109" s="68" t="s">
        <v>344</v>
      </c>
      <c r="U109" s="68" t="s">
        <v>345</v>
      </c>
      <c r="V109" s="68" t="s">
        <v>347</v>
      </c>
      <c r="W109" s="68" t="s">
        <v>349</v>
      </c>
      <c r="X109" s="305" t="s">
        <v>704</v>
      </c>
    </row>
    <row r="110" spans="1:27">
      <c r="A110" s="67" t="s">
        <v>684</v>
      </c>
      <c r="B110" s="68" t="s">
        <v>327</v>
      </c>
      <c r="C110" s="68" t="s">
        <v>696</v>
      </c>
      <c r="D110" s="68">
        <v>200</v>
      </c>
      <c r="E110" s="329">
        <v>0</v>
      </c>
      <c r="F110" s="309">
        <v>160</v>
      </c>
      <c r="G110" s="329">
        <v>0</v>
      </c>
      <c r="H110" s="68">
        <v>2.2000000000000002</v>
      </c>
      <c r="I110" s="309">
        <v>0</v>
      </c>
      <c r="J110" s="309">
        <v>0</v>
      </c>
      <c r="K110" s="309">
        <v>0</v>
      </c>
      <c r="L110" s="309">
        <v>0</v>
      </c>
      <c r="M110" s="309">
        <v>0</v>
      </c>
      <c r="N110" s="309">
        <v>0</v>
      </c>
      <c r="O110" s="309">
        <v>0</v>
      </c>
      <c r="P110" s="329">
        <v>50000</v>
      </c>
      <c r="Q110" s="309">
        <v>0</v>
      </c>
      <c r="R110" s="309">
        <v>0</v>
      </c>
      <c r="S110" s="309">
        <v>0</v>
      </c>
      <c r="T110" s="309">
        <v>0</v>
      </c>
      <c r="U110" s="309">
        <v>0</v>
      </c>
      <c r="V110" s="309">
        <v>0</v>
      </c>
      <c r="W110" s="330" t="s">
        <v>732</v>
      </c>
      <c r="X110" s="305" t="s">
        <v>706</v>
      </c>
    </row>
    <row r="111" spans="1:27">
      <c r="A111" s="67" t="s">
        <v>685</v>
      </c>
      <c r="B111" s="68" t="s">
        <v>327</v>
      </c>
      <c r="C111" s="68" t="s">
        <v>696</v>
      </c>
      <c r="D111" s="68">
        <v>852</v>
      </c>
      <c r="E111" s="329">
        <v>0</v>
      </c>
      <c r="F111" s="309">
        <v>160</v>
      </c>
      <c r="G111" s="329">
        <v>0</v>
      </c>
      <c r="H111" s="68">
        <v>2.4</v>
      </c>
      <c r="I111" s="309">
        <v>0</v>
      </c>
      <c r="J111" s="309">
        <v>0</v>
      </c>
      <c r="K111" s="309">
        <v>0</v>
      </c>
      <c r="L111" s="309">
        <v>0</v>
      </c>
      <c r="M111" s="309">
        <v>0</v>
      </c>
      <c r="N111" s="309">
        <v>0</v>
      </c>
      <c r="O111" s="309">
        <v>0</v>
      </c>
      <c r="P111" s="329">
        <v>50000</v>
      </c>
      <c r="Q111" s="309">
        <v>0</v>
      </c>
      <c r="R111" s="309">
        <v>0</v>
      </c>
      <c r="S111" s="309">
        <v>0</v>
      </c>
      <c r="T111" s="309">
        <v>0</v>
      </c>
      <c r="U111" s="68" t="s">
        <v>707</v>
      </c>
      <c r="V111" s="309">
        <v>0</v>
      </c>
      <c r="W111" s="330" t="s">
        <v>733</v>
      </c>
      <c r="X111" s="305" t="s">
        <v>705</v>
      </c>
    </row>
    <row r="112" spans="1:27">
      <c r="A112" s="67" t="s">
        <v>686</v>
      </c>
      <c r="B112" s="68" t="s">
        <v>327</v>
      </c>
      <c r="C112" s="68" t="s">
        <v>696</v>
      </c>
      <c r="D112" s="68">
        <v>1593</v>
      </c>
      <c r="E112" s="329">
        <v>0</v>
      </c>
      <c r="F112" s="309">
        <v>160</v>
      </c>
      <c r="G112" s="329">
        <v>0</v>
      </c>
      <c r="H112" s="68">
        <v>2.5</v>
      </c>
      <c r="I112" s="309">
        <v>0</v>
      </c>
      <c r="J112" s="309">
        <v>0</v>
      </c>
      <c r="K112" s="309">
        <v>0</v>
      </c>
      <c r="L112" s="309">
        <v>0</v>
      </c>
      <c r="M112" s="309">
        <v>0</v>
      </c>
      <c r="N112" s="309">
        <v>0</v>
      </c>
      <c r="O112" s="309">
        <v>0</v>
      </c>
      <c r="P112" s="329">
        <v>50000</v>
      </c>
      <c r="Q112" s="309">
        <v>0</v>
      </c>
      <c r="R112" s="309">
        <v>0</v>
      </c>
      <c r="S112" s="309">
        <v>0</v>
      </c>
      <c r="T112" s="309">
        <v>0</v>
      </c>
      <c r="U112" s="68" t="s">
        <v>708</v>
      </c>
      <c r="V112" s="309">
        <v>0</v>
      </c>
      <c r="W112" s="330" t="s">
        <v>733</v>
      </c>
      <c r="X112" s="305" t="s">
        <v>705</v>
      </c>
    </row>
    <row r="113" spans="1:24">
      <c r="A113" s="47" t="s">
        <v>325</v>
      </c>
      <c r="B113" s="68" t="s">
        <v>327</v>
      </c>
      <c r="C113" s="68" t="s">
        <v>329</v>
      </c>
      <c r="D113" s="68">
        <v>320</v>
      </c>
      <c r="E113" s="68" t="s">
        <v>331</v>
      </c>
      <c r="F113" s="309">
        <v>0</v>
      </c>
      <c r="G113" s="68" t="s">
        <v>332</v>
      </c>
      <c r="H113" s="68">
        <v>2.4</v>
      </c>
      <c r="I113" s="309">
        <v>0</v>
      </c>
      <c r="J113" s="68" t="s">
        <v>335</v>
      </c>
      <c r="K113" s="309">
        <v>0</v>
      </c>
      <c r="L113" s="68" t="s">
        <v>337</v>
      </c>
      <c r="M113" s="68" t="s">
        <v>339</v>
      </c>
      <c r="N113" s="68" t="s">
        <v>232</v>
      </c>
      <c r="O113" s="68" t="s">
        <v>342</v>
      </c>
      <c r="P113" s="68">
        <v>50000</v>
      </c>
      <c r="Q113" s="309">
        <v>0</v>
      </c>
      <c r="R113" s="309">
        <v>0</v>
      </c>
      <c r="S113" s="309">
        <v>0</v>
      </c>
      <c r="T113" s="68" t="s">
        <v>312</v>
      </c>
      <c r="U113" s="68" t="s">
        <v>346</v>
      </c>
      <c r="V113" s="68" t="s">
        <v>348</v>
      </c>
      <c r="W113" s="142" t="s">
        <v>350</v>
      </c>
      <c r="X113" s="305" t="s">
        <v>706</v>
      </c>
    </row>
    <row r="114" spans="1:24">
      <c r="A114" s="67" t="s">
        <v>687</v>
      </c>
      <c r="B114" s="68" t="s">
        <v>327</v>
      </c>
      <c r="C114" s="68" t="s">
        <v>696</v>
      </c>
      <c r="D114" s="68">
        <v>81</v>
      </c>
      <c r="E114" s="329">
        <v>0</v>
      </c>
      <c r="F114" s="309">
        <v>160</v>
      </c>
      <c r="G114" s="329">
        <v>0</v>
      </c>
      <c r="H114" s="68">
        <v>2.5</v>
      </c>
      <c r="I114" s="309">
        <v>0</v>
      </c>
      <c r="J114" s="309">
        <v>0</v>
      </c>
      <c r="K114" s="309">
        <v>0</v>
      </c>
      <c r="L114" s="309">
        <v>0</v>
      </c>
      <c r="M114" s="309">
        <v>0</v>
      </c>
      <c r="N114" s="309">
        <v>0</v>
      </c>
      <c r="O114" s="309">
        <v>0</v>
      </c>
      <c r="P114" s="329">
        <v>50000</v>
      </c>
      <c r="Q114" s="309">
        <v>0</v>
      </c>
      <c r="R114" s="309">
        <v>0</v>
      </c>
      <c r="S114" s="309">
        <v>0</v>
      </c>
      <c r="T114" s="309">
        <v>0</v>
      </c>
      <c r="U114" s="309">
        <v>0</v>
      </c>
      <c r="V114" s="309">
        <v>0</v>
      </c>
      <c r="W114" s="330" t="s">
        <v>734</v>
      </c>
      <c r="X114" s="305" t="s">
        <v>706</v>
      </c>
    </row>
    <row r="115" spans="1:24">
      <c r="A115" s="67" t="s">
        <v>687</v>
      </c>
      <c r="B115" s="68" t="s">
        <v>327</v>
      </c>
      <c r="C115" s="68" t="s">
        <v>697</v>
      </c>
      <c r="D115" s="68">
        <v>91</v>
      </c>
      <c r="E115" s="329">
        <v>0</v>
      </c>
      <c r="F115" s="309">
        <v>160</v>
      </c>
      <c r="G115" s="329">
        <v>0</v>
      </c>
      <c r="H115" s="68">
        <v>2.8</v>
      </c>
      <c r="I115" s="309">
        <v>0</v>
      </c>
      <c r="J115" s="309">
        <v>0</v>
      </c>
      <c r="K115" s="309">
        <v>0</v>
      </c>
      <c r="L115" s="309">
        <v>0</v>
      </c>
      <c r="M115" s="309">
        <v>0</v>
      </c>
      <c r="N115" s="309">
        <v>0</v>
      </c>
      <c r="O115" s="309">
        <v>0</v>
      </c>
      <c r="P115" s="329">
        <v>50000</v>
      </c>
      <c r="Q115" s="309">
        <v>0</v>
      </c>
      <c r="R115" s="309">
        <v>0</v>
      </c>
      <c r="S115" s="309">
        <v>0</v>
      </c>
      <c r="T115" s="309">
        <v>0</v>
      </c>
      <c r="U115" s="309">
        <v>0</v>
      </c>
      <c r="V115" s="309">
        <v>0</v>
      </c>
      <c r="W115" s="330" t="s">
        <v>734</v>
      </c>
      <c r="X115" s="305" t="s">
        <v>706</v>
      </c>
    </row>
    <row r="116" spans="1:24">
      <c r="A116" s="67" t="s">
        <v>717</v>
      </c>
      <c r="B116" s="68"/>
      <c r="C116" s="68"/>
      <c r="D116" s="68"/>
      <c r="E116" s="329">
        <v>0</v>
      </c>
      <c r="F116" s="309">
        <v>0</v>
      </c>
      <c r="G116" s="329">
        <v>0</v>
      </c>
      <c r="H116" s="309">
        <v>0</v>
      </c>
      <c r="I116" s="309">
        <v>0</v>
      </c>
      <c r="J116" s="309">
        <v>0</v>
      </c>
      <c r="K116" s="309">
        <v>0</v>
      </c>
      <c r="L116" s="309">
        <v>0</v>
      </c>
      <c r="M116" s="309">
        <v>0</v>
      </c>
      <c r="N116" s="309">
        <v>0</v>
      </c>
      <c r="O116" s="309">
        <v>0</v>
      </c>
      <c r="P116" s="329">
        <v>50000</v>
      </c>
      <c r="Q116" s="309">
        <v>0</v>
      </c>
      <c r="R116" s="309">
        <v>0</v>
      </c>
      <c r="S116" s="309">
        <v>0</v>
      </c>
      <c r="T116" s="309">
        <v>0</v>
      </c>
      <c r="U116" s="309">
        <v>0</v>
      </c>
      <c r="V116" s="309">
        <v>0</v>
      </c>
      <c r="W116" s="330" t="s">
        <v>735</v>
      </c>
      <c r="X116" s="305"/>
    </row>
    <row r="117" spans="1:24">
      <c r="A117" s="143" t="s">
        <v>379</v>
      </c>
      <c r="B117" s="68" t="s">
        <v>327</v>
      </c>
      <c r="C117" s="68" t="s">
        <v>371</v>
      </c>
      <c r="D117" s="68">
        <v>250</v>
      </c>
      <c r="E117" s="68" t="s">
        <v>352</v>
      </c>
      <c r="F117" s="141">
        <v>120</v>
      </c>
      <c r="G117" s="68" t="s">
        <v>374</v>
      </c>
      <c r="H117" s="68" t="s">
        <v>351</v>
      </c>
      <c r="I117" s="30">
        <v>2.5</v>
      </c>
      <c r="J117" s="309">
        <v>0</v>
      </c>
      <c r="K117" s="141" t="s">
        <v>359</v>
      </c>
      <c r="L117" s="68" t="s">
        <v>354</v>
      </c>
      <c r="M117" s="309">
        <v>0</v>
      </c>
      <c r="N117" s="309">
        <v>0</v>
      </c>
      <c r="O117" s="309">
        <v>0</v>
      </c>
      <c r="P117" s="68">
        <v>60000</v>
      </c>
      <c r="Q117" s="141" t="s">
        <v>357</v>
      </c>
      <c r="R117" s="68">
        <v>3.5</v>
      </c>
      <c r="S117" s="68" t="s">
        <v>362</v>
      </c>
      <c r="T117" s="329">
        <v>0</v>
      </c>
      <c r="U117" s="68" t="s">
        <v>363</v>
      </c>
      <c r="V117" s="309">
        <v>0</v>
      </c>
      <c r="W117" s="330" t="s">
        <v>736</v>
      </c>
      <c r="X117" s="305" t="s">
        <v>706</v>
      </c>
    </row>
    <row r="118" spans="1:24">
      <c r="A118" s="143" t="s">
        <v>380</v>
      </c>
      <c r="B118" s="68" t="s">
        <v>327</v>
      </c>
      <c r="C118" s="68" t="s">
        <v>372</v>
      </c>
      <c r="D118" s="68">
        <v>220</v>
      </c>
      <c r="E118" s="68" t="s">
        <v>352</v>
      </c>
      <c r="F118" s="141">
        <v>120</v>
      </c>
      <c r="G118" s="68" t="s">
        <v>374</v>
      </c>
      <c r="H118" s="68" t="s">
        <v>365</v>
      </c>
      <c r="I118" s="30">
        <v>2.2000000000000002</v>
      </c>
      <c r="J118" s="309">
        <v>0</v>
      </c>
      <c r="K118" s="141" t="s">
        <v>366</v>
      </c>
      <c r="L118" s="68" t="s">
        <v>354</v>
      </c>
      <c r="M118" s="309">
        <v>0</v>
      </c>
      <c r="N118" s="309">
        <v>0</v>
      </c>
      <c r="O118" s="309">
        <v>0</v>
      </c>
      <c r="P118" s="68">
        <v>60000</v>
      </c>
      <c r="Q118" s="141" t="s">
        <v>357</v>
      </c>
      <c r="R118" s="68">
        <v>4.5</v>
      </c>
      <c r="S118" s="68" t="s">
        <v>362</v>
      </c>
      <c r="T118" s="329">
        <v>0</v>
      </c>
      <c r="U118" s="68" t="s">
        <v>363</v>
      </c>
      <c r="V118" s="309">
        <v>0</v>
      </c>
      <c r="W118" s="330" t="s">
        <v>736</v>
      </c>
      <c r="X118" s="305" t="s">
        <v>706</v>
      </c>
    </row>
    <row r="119" spans="1:24">
      <c r="A119" s="143" t="s">
        <v>381</v>
      </c>
      <c r="B119" s="68" t="s">
        <v>327</v>
      </c>
      <c r="C119" s="68" t="s">
        <v>373</v>
      </c>
      <c r="D119" s="68">
        <v>160</v>
      </c>
      <c r="E119" s="68" t="s">
        <v>352</v>
      </c>
      <c r="F119" s="141">
        <v>120</v>
      </c>
      <c r="G119" s="68" t="s">
        <v>374</v>
      </c>
      <c r="H119" s="68" t="s">
        <v>367</v>
      </c>
      <c r="I119" s="30">
        <v>1.6</v>
      </c>
      <c r="J119" s="309">
        <v>0</v>
      </c>
      <c r="K119" s="141" t="s">
        <v>368</v>
      </c>
      <c r="L119" s="68" t="s">
        <v>354</v>
      </c>
      <c r="M119" s="309">
        <v>0</v>
      </c>
      <c r="N119" s="309">
        <v>0</v>
      </c>
      <c r="O119" s="309">
        <v>0</v>
      </c>
      <c r="P119" s="68">
        <v>60000</v>
      </c>
      <c r="Q119" s="141" t="s">
        <v>357</v>
      </c>
      <c r="R119" s="68">
        <v>5.5</v>
      </c>
      <c r="S119" s="68" t="s">
        <v>362</v>
      </c>
      <c r="T119" s="329">
        <v>0</v>
      </c>
      <c r="U119" s="68" t="s">
        <v>363</v>
      </c>
      <c r="V119" s="309">
        <v>0</v>
      </c>
      <c r="W119" s="330" t="s">
        <v>736</v>
      </c>
      <c r="X119" s="305" t="s">
        <v>706</v>
      </c>
    </row>
    <row r="120" spans="1:24">
      <c r="A120" s="143" t="s">
        <v>382</v>
      </c>
      <c r="B120" s="68" t="s">
        <v>327</v>
      </c>
      <c r="C120" s="68" t="s">
        <v>371</v>
      </c>
      <c r="D120" s="68">
        <v>375</v>
      </c>
      <c r="E120" s="68" t="s">
        <v>353</v>
      </c>
      <c r="F120" s="141">
        <v>160</v>
      </c>
      <c r="G120" s="68" t="s">
        <v>375</v>
      </c>
      <c r="H120" s="68" t="s">
        <v>351</v>
      </c>
      <c r="I120" s="30">
        <v>2.5</v>
      </c>
      <c r="J120" s="309">
        <v>0</v>
      </c>
      <c r="K120" s="141" t="s">
        <v>360</v>
      </c>
      <c r="L120" s="68" t="s">
        <v>354</v>
      </c>
      <c r="M120" s="309">
        <v>0</v>
      </c>
      <c r="N120" s="309">
        <v>0</v>
      </c>
      <c r="O120" s="309">
        <v>0</v>
      </c>
      <c r="P120" s="68">
        <v>60000</v>
      </c>
      <c r="Q120" s="68" t="s">
        <v>357</v>
      </c>
      <c r="R120" s="68">
        <v>5.3</v>
      </c>
      <c r="S120" s="68" t="s">
        <v>362</v>
      </c>
      <c r="T120" s="329">
        <v>0</v>
      </c>
      <c r="U120" s="68" t="s">
        <v>364</v>
      </c>
      <c r="V120" s="309">
        <v>0</v>
      </c>
      <c r="W120" s="330" t="s">
        <v>736</v>
      </c>
      <c r="X120" s="305" t="s">
        <v>706</v>
      </c>
    </row>
    <row r="121" spans="1:24">
      <c r="A121" s="143" t="s">
        <v>383</v>
      </c>
      <c r="B121" s="68" t="s">
        <v>327</v>
      </c>
      <c r="C121" s="68" t="s">
        <v>372</v>
      </c>
      <c r="D121" s="68">
        <v>330</v>
      </c>
      <c r="E121" s="68" t="s">
        <v>353</v>
      </c>
      <c r="F121" s="141">
        <v>160</v>
      </c>
      <c r="G121" s="68" t="s">
        <v>375</v>
      </c>
      <c r="H121" s="68" t="s">
        <v>365</v>
      </c>
      <c r="I121" s="30">
        <v>2.2000000000000002</v>
      </c>
      <c r="J121" s="309">
        <v>0</v>
      </c>
      <c r="K121" s="141" t="s">
        <v>369</v>
      </c>
      <c r="L121" s="68" t="s">
        <v>354</v>
      </c>
      <c r="M121" s="309">
        <v>0</v>
      </c>
      <c r="N121" s="309">
        <v>0</v>
      </c>
      <c r="O121" s="309">
        <v>0</v>
      </c>
      <c r="P121" s="68">
        <v>60000</v>
      </c>
      <c r="Q121" s="68" t="s">
        <v>357</v>
      </c>
      <c r="R121" s="68">
        <v>6.3</v>
      </c>
      <c r="S121" s="68" t="s">
        <v>362</v>
      </c>
      <c r="T121" s="329">
        <v>0</v>
      </c>
      <c r="U121" s="68" t="s">
        <v>364</v>
      </c>
      <c r="V121" s="309">
        <v>0</v>
      </c>
      <c r="W121" s="330" t="s">
        <v>736</v>
      </c>
      <c r="X121" s="305" t="s">
        <v>706</v>
      </c>
    </row>
    <row r="122" spans="1:24">
      <c r="A122" s="143" t="s">
        <v>384</v>
      </c>
      <c r="B122" s="68" t="s">
        <v>327</v>
      </c>
      <c r="C122" s="68" t="s">
        <v>373</v>
      </c>
      <c r="D122" s="68">
        <v>240</v>
      </c>
      <c r="E122" s="68" t="s">
        <v>353</v>
      </c>
      <c r="F122" s="141">
        <v>160</v>
      </c>
      <c r="G122" s="68" t="s">
        <v>375</v>
      </c>
      <c r="H122" s="68" t="s">
        <v>367</v>
      </c>
      <c r="I122" s="30">
        <v>1.6</v>
      </c>
      <c r="J122" s="309">
        <v>0</v>
      </c>
      <c r="K122" s="141" t="s">
        <v>370</v>
      </c>
      <c r="L122" s="68" t="s">
        <v>354</v>
      </c>
      <c r="M122" s="309">
        <v>0</v>
      </c>
      <c r="N122" s="309">
        <v>0</v>
      </c>
      <c r="O122" s="309">
        <v>0</v>
      </c>
      <c r="P122" s="68">
        <v>60000</v>
      </c>
      <c r="Q122" s="68" t="s">
        <v>357</v>
      </c>
      <c r="R122" s="68">
        <v>7.3</v>
      </c>
      <c r="S122" s="68" t="s">
        <v>362</v>
      </c>
      <c r="T122" s="329">
        <v>0</v>
      </c>
      <c r="U122" s="68" t="s">
        <v>364</v>
      </c>
      <c r="V122" s="309">
        <v>0</v>
      </c>
      <c r="W122" s="330" t="s">
        <v>736</v>
      </c>
      <c r="X122" s="305" t="s">
        <v>706</v>
      </c>
    </row>
    <row r="123" spans="1:24">
      <c r="A123" s="143" t="s">
        <v>688</v>
      </c>
      <c r="B123" s="68" t="s">
        <v>327</v>
      </c>
      <c r="C123" s="68" t="s">
        <v>698</v>
      </c>
      <c r="D123" s="68">
        <v>1712</v>
      </c>
      <c r="E123" s="329">
        <v>0</v>
      </c>
      <c r="F123" s="309">
        <v>160</v>
      </c>
      <c r="G123" s="329">
        <v>0</v>
      </c>
      <c r="H123" s="68">
        <v>2.5</v>
      </c>
      <c r="I123" s="309">
        <v>0</v>
      </c>
      <c r="J123" s="309">
        <v>0</v>
      </c>
      <c r="K123" s="309">
        <v>0</v>
      </c>
      <c r="L123" s="309">
        <v>0</v>
      </c>
      <c r="M123" s="309">
        <v>0</v>
      </c>
      <c r="N123" s="309">
        <v>0</v>
      </c>
      <c r="O123" s="309">
        <v>0</v>
      </c>
      <c r="P123" s="329">
        <v>50000</v>
      </c>
      <c r="Q123" s="309">
        <v>0</v>
      </c>
      <c r="R123" s="309">
        <v>0</v>
      </c>
      <c r="S123" s="309">
        <v>0</v>
      </c>
      <c r="T123" s="309">
        <v>0</v>
      </c>
      <c r="U123" s="329">
        <v>0</v>
      </c>
      <c r="V123" s="309">
        <v>0</v>
      </c>
      <c r="W123" s="330" t="s">
        <v>737</v>
      </c>
      <c r="X123" s="305" t="s">
        <v>706</v>
      </c>
    </row>
    <row r="124" spans="1:24">
      <c r="A124" s="143" t="s">
        <v>689</v>
      </c>
      <c r="B124" s="68" t="s">
        <v>327</v>
      </c>
      <c r="C124" s="68" t="s">
        <v>698</v>
      </c>
      <c r="D124" s="68">
        <v>491</v>
      </c>
      <c r="E124" s="329">
        <v>0</v>
      </c>
      <c r="F124" s="309">
        <v>160</v>
      </c>
      <c r="G124" s="329">
        <v>0</v>
      </c>
      <c r="H124" s="68">
        <v>2.4</v>
      </c>
      <c r="I124" s="309">
        <v>0</v>
      </c>
      <c r="J124" s="309">
        <v>0</v>
      </c>
      <c r="K124" s="309">
        <v>0</v>
      </c>
      <c r="L124" s="309">
        <v>0</v>
      </c>
      <c r="M124" s="309">
        <v>0</v>
      </c>
      <c r="N124" s="309">
        <v>0</v>
      </c>
      <c r="O124" s="309">
        <v>0</v>
      </c>
      <c r="P124" s="329">
        <v>50000</v>
      </c>
      <c r="Q124" s="309">
        <v>0</v>
      </c>
      <c r="R124" s="309">
        <v>0</v>
      </c>
      <c r="S124" s="309">
        <v>0</v>
      </c>
      <c r="T124" s="309">
        <v>0</v>
      </c>
      <c r="U124" s="68" t="s">
        <v>707</v>
      </c>
      <c r="V124" s="309">
        <v>0</v>
      </c>
      <c r="W124" s="330" t="s">
        <v>738</v>
      </c>
      <c r="X124" s="305" t="s">
        <v>705</v>
      </c>
    </row>
    <row r="125" spans="1:24">
      <c r="A125" s="143" t="s">
        <v>690</v>
      </c>
      <c r="B125" s="68" t="s">
        <v>327</v>
      </c>
      <c r="C125" s="68" t="s">
        <v>699</v>
      </c>
      <c r="D125" s="68">
        <v>533</v>
      </c>
      <c r="E125" s="329">
        <v>0</v>
      </c>
      <c r="F125" s="309">
        <v>160</v>
      </c>
      <c r="G125" s="329">
        <v>0</v>
      </c>
      <c r="H125" s="68">
        <v>2.7</v>
      </c>
      <c r="I125" s="309">
        <v>0</v>
      </c>
      <c r="J125" s="309">
        <v>0</v>
      </c>
      <c r="K125" s="309">
        <v>0</v>
      </c>
      <c r="L125" s="309">
        <v>0</v>
      </c>
      <c r="M125" s="309">
        <v>0</v>
      </c>
      <c r="N125" s="309">
        <v>0</v>
      </c>
      <c r="O125" s="309">
        <v>0</v>
      </c>
      <c r="P125" s="329">
        <v>50000</v>
      </c>
      <c r="Q125" s="309">
        <v>0</v>
      </c>
      <c r="R125" s="309">
        <v>0</v>
      </c>
      <c r="S125" s="309">
        <v>0</v>
      </c>
      <c r="T125" s="309">
        <v>0</v>
      </c>
      <c r="U125" s="68" t="s">
        <v>707</v>
      </c>
      <c r="V125" s="309">
        <v>0</v>
      </c>
      <c r="W125" s="330" t="s">
        <v>738</v>
      </c>
      <c r="X125" s="305" t="s">
        <v>705</v>
      </c>
    </row>
    <row r="126" spans="1:24">
      <c r="A126" s="143" t="s">
        <v>692</v>
      </c>
      <c r="B126" s="68" t="s">
        <v>327</v>
      </c>
      <c r="C126" s="68" t="s">
        <v>700</v>
      </c>
      <c r="D126" s="68">
        <v>210</v>
      </c>
      <c r="E126" s="329">
        <v>0</v>
      </c>
      <c r="F126" s="309">
        <v>160</v>
      </c>
      <c r="G126" s="329">
        <v>0</v>
      </c>
      <c r="H126" s="68">
        <v>3</v>
      </c>
      <c r="I126" s="309">
        <v>0</v>
      </c>
      <c r="J126" s="309">
        <v>0</v>
      </c>
      <c r="K126" s="309">
        <v>0</v>
      </c>
      <c r="L126" s="309">
        <v>0</v>
      </c>
      <c r="M126" s="309">
        <v>0</v>
      </c>
      <c r="N126" s="309">
        <v>0</v>
      </c>
      <c r="O126" s="309">
        <v>0</v>
      </c>
      <c r="P126" s="329">
        <v>50000</v>
      </c>
      <c r="Q126" s="309">
        <v>0</v>
      </c>
      <c r="R126" s="309">
        <v>0</v>
      </c>
      <c r="S126" s="309">
        <v>0</v>
      </c>
      <c r="T126" s="309">
        <v>0</v>
      </c>
      <c r="U126" s="329">
        <v>0</v>
      </c>
      <c r="V126" s="309">
        <v>0</v>
      </c>
      <c r="W126" s="330" t="s">
        <v>739</v>
      </c>
      <c r="X126" s="305" t="s">
        <v>706</v>
      </c>
    </row>
    <row r="127" spans="1:24">
      <c r="A127" s="143" t="s">
        <v>693</v>
      </c>
      <c r="B127" s="68" t="s">
        <v>327</v>
      </c>
      <c r="C127" s="68" t="s">
        <v>701</v>
      </c>
      <c r="D127" s="68">
        <v>210</v>
      </c>
      <c r="E127" s="329">
        <v>0</v>
      </c>
      <c r="F127" s="309">
        <v>160</v>
      </c>
      <c r="G127" s="329">
        <v>0</v>
      </c>
      <c r="H127" s="68">
        <v>3</v>
      </c>
      <c r="I127" s="309">
        <v>0</v>
      </c>
      <c r="J127" s="309">
        <v>0</v>
      </c>
      <c r="K127" s="309">
        <v>0</v>
      </c>
      <c r="L127" s="309">
        <v>0</v>
      </c>
      <c r="M127" s="309">
        <v>0</v>
      </c>
      <c r="N127" s="309">
        <v>0</v>
      </c>
      <c r="O127" s="309">
        <v>0</v>
      </c>
      <c r="P127" s="329">
        <v>50000</v>
      </c>
      <c r="Q127" s="309">
        <v>0</v>
      </c>
      <c r="R127" s="309">
        <v>0</v>
      </c>
      <c r="S127" s="309">
        <v>0</v>
      </c>
      <c r="T127" s="309">
        <v>0</v>
      </c>
      <c r="U127" s="329">
        <v>0</v>
      </c>
      <c r="V127" s="309">
        <v>0</v>
      </c>
      <c r="W127" s="330" t="s">
        <v>739</v>
      </c>
      <c r="X127" s="305" t="s">
        <v>706</v>
      </c>
    </row>
    <row r="128" spans="1:24">
      <c r="A128" s="143" t="s">
        <v>694</v>
      </c>
      <c r="B128" s="68" t="s">
        <v>327</v>
      </c>
      <c r="C128" s="68" t="s">
        <v>702</v>
      </c>
      <c r="D128" s="68">
        <v>210</v>
      </c>
      <c r="E128" s="329">
        <v>0</v>
      </c>
      <c r="F128" s="309">
        <v>160</v>
      </c>
      <c r="G128" s="329">
        <v>0</v>
      </c>
      <c r="H128" s="68">
        <v>2.8</v>
      </c>
      <c r="I128" s="309">
        <v>0</v>
      </c>
      <c r="J128" s="309">
        <v>0</v>
      </c>
      <c r="K128" s="309">
        <v>0</v>
      </c>
      <c r="L128" s="309">
        <v>0</v>
      </c>
      <c r="M128" s="309">
        <v>0</v>
      </c>
      <c r="N128" s="309">
        <v>0</v>
      </c>
      <c r="O128" s="309">
        <v>0</v>
      </c>
      <c r="P128" s="329">
        <v>50000</v>
      </c>
      <c r="Q128" s="309">
        <v>0</v>
      </c>
      <c r="R128" s="309">
        <v>0</v>
      </c>
      <c r="S128" s="309">
        <v>0</v>
      </c>
      <c r="T128" s="309">
        <v>0</v>
      </c>
      <c r="U128" s="329">
        <v>0</v>
      </c>
      <c r="V128" s="309">
        <v>0</v>
      </c>
      <c r="W128" s="330" t="s">
        <v>739</v>
      </c>
      <c r="X128" s="305" t="s">
        <v>706</v>
      </c>
    </row>
    <row r="129" spans="1:27">
      <c r="A129" s="143" t="s">
        <v>695</v>
      </c>
      <c r="B129" s="68" t="s">
        <v>327</v>
      </c>
      <c r="C129" s="68" t="s">
        <v>703</v>
      </c>
      <c r="D129" s="68">
        <v>210</v>
      </c>
      <c r="E129" s="329">
        <v>0</v>
      </c>
      <c r="F129" s="309">
        <v>160</v>
      </c>
      <c r="G129" s="329">
        <v>0</v>
      </c>
      <c r="H129" s="68">
        <v>2.7</v>
      </c>
      <c r="I129" s="309">
        <v>0</v>
      </c>
      <c r="J129" s="309">
        <v>0</v>
      </c>
      <c r="K129" s="309">
        <v>0</v>
      </c>
      <c r="L129" s="309">
        <v>0</v>
      </c>
      <c r="M129" s="309">
        <v>0</v>
      </c>
      <c r="N129" s="309">
        <v>0</v>
      </c>
      <c r="O129" s="309">
        <v>0</v>
      </c>
      <c r="P129" s="329">
        <v>50000</v>
      </c>
      <c r="Q129" s="309">
        <v>0</v>
      </c>
      <c r="R129" s="309">
        <v>0</v>
      </c>
      <c r="S129" s="309">
        <v>0</v>
      </c>
      <c r="T129" s="309">
        <v>0</v>
      </c>
      <c r="U129" s="329">
        <v>0</v>
      </c>
      <c r="V129" s="309">
        <v>0</v>
      </c>
      <c r="W129" s="330" t="s">
        <v>739</v>
      </c>
      <c r="X129" s="305" t="s">
        <v>706</v>
      </c>
    </row>
    <row r="130" spans="1:27">
      <c r="X130" s="68"/>
      <c r="Y130" s="68"/>
    </row>
    <row r="131" spans="1:27">
      <c r="A131" s="306" t="s">
        <v>667</v>
      </c>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row>
    <row r="132" spans="1:27">
      <c r="B132" s="305" t="s">
        <v>668</v>
      </c>
      <c r="C132" s="68" t="s">
        <v>669</v>
      </c>
      <c r="D132" s="68" t="s">
        <v>670</v>
      </c>
      <c r="E132" s="68" t="s">
        <v>671</v>
      </c>
      <c r="F132" s="68" t="s">
        <v>345</v>
      </c>
      <c r="G132" s="68" t="s">
        <v>672</v>
      </c>
      <c r="H132" s="68" t="s">
        <v>673</v>
      </c>
      <c r="I132" s="68" t="s">
        <v>674</v>
      </c>
      <c r="J132" s="68"/>
      <c r="K132" s="68"/>
      <c r="L132" s="68"/>
      <c r="M132" s="68"/>
      <c r="N132" s="68"/>
      <c r="O132" s="68"/>
      <c r="P132" s="68"/>
      <c r="Q132" s="68"/>
      <c r="R132" s="68"/>
      <c r="S132" s="68"/>
      <c r="T132" s="68"/>
      <c r="U132" s="68"/>
      <c r="V132" s="68"/>
      <c r="W132" s="68"/>
      <c r="X132" s="68"/>
      <c r="Y132" s="68"/>
      <c r="Z132" s="68"/>
      <c r="AA132" s="68"/>
    </row>
    <row r="133" spans="1:27">
      <c r="A133" s="305" t="s">
        <v>691</v>
      </c>
      <c r="B133" s="305" t="s">
        <v>682</v>
      </c>
      <c r="C133" s="68" t="s">
        <v>676</v>
      </c>
      <c r="D133" s="308" t="s">
        <v>677</v>
      </c>
      <c r="E133" s="308" t="s">
        <v>677</v>
      </c>
      <c r="F133" s="308" t="s">
        <v>678</v>
      </c>
      <c r="G133" s="308" t="s">
        <v>679</v>
      </c>
      <c r="H133" s="308" t="s">
        <v>680</v>
      </c>
      <c r="I133" s="68" t="s">
        <v>681</v>
      </c>
      <c r="J133" s="68"/>
      <c r="K133" s="68"/>
      <c r="L133" s="68"/>
      <c r="M133" s="68"/>
      <c r="N133" s="68"/>
      <c r="O133" s="68"/>
      <c r="P133" s="68"/>
      <c r="Q133" s="68"/>
      <c r="R133" s="68"/>
      <c r="S133" s="68"/>
      <c r="T133" s="68"/>
      <c r="U133" s="68"/>
      <c r="V133" s="68"/>
      <c r="W133" s="68"/>
      <c r="X133" s="68"/>
      <c r="Y133" s="68"/>
      <c r="Z133" s="68"/>
      <c r="AA133" s="68"/>
    </row>
    <row r="134" spans="1:27">
      <c r="A134" s="307">
        <v>44197</v>
      </c>
      <c r="B134" s="305" t="s">
        <v>675</v>
      </c>
      <c r="C134" s="68" t="s">
        <v>676</v>
      </c>
      <c r="D134" s="308" t="s">
        <v>677</v>
      </c>
      <c r="E134" s="308" t="s">
        <v>677</v>
      </c>
      <c r="F134" s="308" t="s">
        <v>678</v>
      </c>
      <c r="G134" s="308" t="s">
        <v>683</v>
      </c>
      <c r="H134" s="308" t="s">
        <v>680</v>
      </c>
      <c r="I134" s="68" t="s">
        <v>681</v>
      </c>
      <c r="J134" s="68"/>
      <c r="K134" s="68"/>
      <c r="L134" s="68"/>
      <c r="M134" s="68"/>
    </row>
    <row r="136" spans="1:27">
      <c r="A136" s="302" t="s">
        <v>88</v>
      </c>
      <c r="B136" s="302" t="s">
        <v>87</v>
      </c>
    </row>
    <row r="137" spans="1:27">
      <c r="A137" s="302" t="s">
        <v>86</v>
      </c>
      <c r="B137" s="302">
        <v>2</v>
      </c>
    </row>
    <row r="138" spans="1:27">
      <c r="A138" s="302" t="s">
        <v>85</v>
      </c>
      <c r="B138" s="302">
        <v>1.5</v>
      </c>
    </row>
    <row r="139" spans="1:27">
      <c r="A139" s="302" t="s">
        <v>84</v>
      </c>
      <c r="B139" s="302">
        <v>1.3</v>
      </c>
    </row>
    <row r="140" spans="1:27">
      <c r="A140" s="302" t="s">
        <v>83</v>
      </c>
      <c r="B140" s="302">
        <v>1.3</v>
      </c>
    </row>
    <row r="141" spans="1:27">
      <c r="A141" s="66"/>
    </row>
    <row r="142" spans="1:27">
      <c r="A142"/>
    </row>
    <row r="143" spans="1:27">
      <c r="A143" s="66"/>
    </row>
    <row r="144" spans="1:27">
      <c r="A144"/>
    </row>
    <row r="145" spans="1:1">
      <c r="A145" s="66"/>
    </row>
    <row r="146" spans="1:1">
      <c r="A146"/>
    </row>
    <row r="147" spans="1:1">
      <c r="A147" s="66"/>
    </row>
    <row r="148" spans="1:1">
      <c r="A148"/>
    </row>
    <row r="149" spans="1:1">
      <c r="A149" s="66"/>
    </row>
    <row r="150" spans="1:1">
      <c r="A150"/>
    </row>
    <row r="151" spans="1:1">
      <c r="A151" s="66"/>
    </row>
    <row r="152" spans="1:1">
      <c r="A152"/>
    </row>
    <row r="153" spans="1:1">
      <c r="A153" s="66"/>
    </row>
    <row r="154" spans="1:1">
      <c r="A154"/>
    </row>
    <row r="155" spans="1:1">
      <c r="A155" s="66"/>
    </row>
    <row r="156" spans="1:1">
      <c r="A156"/>
    </row>
    <row r="157" spans="1:1">
      <c r="A157" s="66"/>
    </row>
    <row r="158" spans="1:1">
      <c r="A158"/>
    </row>
    <row r="159" spans="1:1">
      <c r="A159" s="66"/>
    </row>
    <row r="160" spans="1:1">
      <c r="A160"/>
    </row>
    <row r="161" spans="1:1">
      <c r="A161" s="66"/>
    </row>
    <row r="162" spans="1:1">
      <c r="A162"/>
    </row>
    <row r="163" spans="1:1">
      <c r="A163" s="66"/>
    </row>
    <row r="164" spans="1:1">
      <c r="A164"/>
    </row>
    <row r="165" spans="1:1">
      <c r="A165" s="66"/>
    </row>
    <row r="166" spans="1:1">
      <c r="A166"/>
    </row>
    <row r="167" spans="1:1">
      <c r="A167" s="66"/>
    </row>
    <row r="168" spans="1:1">
      <c r="A168"/>
    </row>
    <row r="169" spans="1:1">
      <c r="A169" s="66"/>
    </row>
    <row r="170" spans="1:1">
      <c r="A170"/>
    </row>
    <row r="171" spans="1:1">
      <c r="A171" s="66"/>
    </row>
    <row r="172" spans="1:1">
      <c r="A172"/>
    </row>
    <row r="173" spans="1:1">
      <c r="A173" s="66"/>
    </row>
    <row r="174" spans="1:1">
      <c r="A174"/>
    </row>
    <row r="175" spans="1:1">
      <c r="A175" s="66"/>
    </row>
    <row r="176" spans="1:1">
      <c r="A176"/>
    </row>
    <row r="177" spans="1:1">
      <c r="A177" s="66"/>
    </row>
    <row r="178" spans="1:1">
      <c r="A178"/>
    </row>
    <row r="179" spans="1:1">
      <c r="A179" s="66"/>
    </row>
    <row r="180" spans="1:1">
      <c r="A180"/>
    </row>
    <row r="181" spans="1:1">
      <c r="A181" s="66"/>
    </row>
    <row r="182" spans="1:1">
      <c r="A182"/>
    </row>
    <row r="183" spans="1:1">
      <c r="A183" s="66"/>
    </row>
    <row r="184" spans="1:1">
      <c r="A184"/>
    </row>
    <row r="185" spans="1:1">
      <c r="A185" s="66"/>
    </row>
    <row r="186" spans="1:1">
      <c r="A186"/>
    </row>
    <row r="187" spans="1:1">
      <c r="A187" s="66"/>
    </row>
    <row r="188" spans="1:1">
      <c r="A188"/>
    </row>
    <row r="189" spans="1:1">
      <c r="A189" s="66"/>
    </row>
    <row r="190" spans="1:1">
      <c r="A190"/>
    </row>
    <row r="191" spans="1:1">
      <c r="A191" s="66"/>
    </row>
    <row r="192" spans="1:1">
      <c r="A192"/>
    </row>
    <row r="193" spans="1:1">
      <c r="A193" s="66"/>
    </row>
    <row r="194" spans="1:1">
      <c r="A194"/>
    </row>
    <row r="195" spans="1:1">
      <c r="A195" s="66"/>
    </row>
    <row r="196" spans="1:1">
      <c r="A196"/>
    </row>
    <row r="197" spans="1:1">
      <c r="A197" s="66"/>
    </row>
    <row r="198" spans="1:1">
      <c r="A198"/>
    </row>
    <row r="199" spans="1:1">
      <c r="A199" s="66"/>
    </row>
  </sheetData>
  <autoFilter ref="A7:Z93" xr:uid="{294F1981-EF3B-ED49-B4C9-0F3090CA4658}">
    <sortState xmlns:xlrd2="http://schemas.microsoft.com/office/spreadsheetml/2017/richdata2" ref="A8:Z93">
      <sortCondition ref="A7:A93"/>
    </sortState>
  </autoFilter>
  <sortState xmlns:xlrd2="http://schemas.microsoft.com/office/spreadsheetml/2017/richdata2" ref="A8:V93">
    <sortCondition ref="A8:A93"/>
  </sortState>
  <mergeCells count="1">
    <mergeCell ref="J6:O6"/>
  </mergeCells>
  <phoneticPr fontId="32" type="noConversion"/>
  <hyperlinks>
    <hyperlink ref="W113" r:id="rId1" xr:uid="{6951BE87-0DEE-2D41-B852-49720AF62F95}"/>
    <hyperlink ref="W110" r:id="rId2" xr:uid="{2C271945-9AF5-9B49-9AAA-CA44B011A012}"/>
    <hyperlink ref="W111" r:id="rId3" xr:uid="{FC5523AC-C232-1645-9643-B18B255A7629}"/>
    <hyperlink ref="W112" r:id="rId4" xr:uid="{27E4547F-128A-8141-90C9-670D3F1858AE}"/>
    <hyperlink ref="W114" r:id="rId5" xr:uid="{4FFC2F02-4DE8-204B-AB31-C1A2A3BC9ED4}"/>
    <hyperlink ref="W115" r:id="rId6" xr:uid="{BB03E59E-7713-C84D-8230-EDBD4B2BC0F0}"/>
    <hyperlink ref="W116" r:id="rId7" xr:uid="{0CE264FD-9120-7344-8655-A695D91E22A7}"/>
    <hyperlink ref="W117" r:id="rId8" xr:uid="{65954815-8090-C541-98FE-2E18E48508DF}"/>
    <hyperlink ref="W118" r:id="rId9" xr:uid="{9CC21C21-9493-6C46-A62E-8AA421EF6524}"/>
    <hyperlink ref="W119" r:id="rId10" xr:uid="{A7ED3F9C-CCBB-8143-A5DC-813FAE230D1F}"/>
    <hyperlink ref="W120" r:id="rId11" xr:uid="{D0AA62EC-0F9B-044D-8193-4747E852C91C}"/>
    <hyperlink ref="W121" r:id="rId12" xr:uid="{B7937EBF-1953-6A4D-9327-F847A83718B8}"/>
    <hyperlink ref="W122" r:id="rId13" xr:uid="{B70BCF4A-25F4-5748-BCC1-4C9EA6C779AE}"/>
    <hyperlink ref="W123" r:id="rId14" xr:uid="{947E584E-E5D5-8E4C-AF99-39F62D9B5423}"/>
    <hyperlink ref="W124" r:id="rId15" xr:uid="{5308E1AC-7785-B246-8A5C-2210C5F9555A}"/>
    <hyperlink ref="W125" r:id="rId16" xr:uid="{EA8C5E19-E5DD-564F-BB07-F748436CFB83}"/>
    <hyperlink ref="W126" r:id="rId17" xr:uid="{5A4D0E22-AAB9-DB44-BE42-FAA2114E755F}"/>
    <hyperlink ref="W127" r:id="rId18" xr:uid="{5B3B389F-480E-3343-8B46-3F4CB9EA2DAF}"/>
    <hyperlink ref="W128" r:id="rId19" xr:uid="{A47C6449-8247-2446-8B24-D7BA9D9D4EEF}"/>
    <hyperlink ref="W129" r:id="rId20" xr:uid="{BCD09910-93FA-AC4B-B269-37418DC2EDFA}"/>
    <hyperlink ref="I97" r:id="rId21" xr:uid="{4E92167C-2CB9-FE45-9D62-4B86B9AD7652}"/>
    <hyperlink ref="I98" r:id="rId22" xr:uid="{FFCCF47B-D00D-0247-B88F-86B731B1E6F1}"/>
    <hyperlink ref="I99" r:id="rId23" xr:uid="{994EF342-B1C2-424D-A965-8684B5072B5E}"/>
    <hyperlink ref="I100" r:id="rId24" xr:uid="{2DF0013D-89B2-6E42-9C75-70E547890B28}"/>
    <hyperlink ref="I101" r:id="rId25" xr:uid="{B428DDE2-A642-AE48-97FC-D947F361CE97}"/>
    <hyperlink ref="I102" r:id="rId26" xr:uid="{E7D3C99E-4842-9046-84BA-9225003C77F7}"/>
    <hyperlink ref="I103" r:id="rId27" xr:uid="{6EF6B8DE-98BF-2E47-9A26-B11AD068BB4D}"/>
    <hyperlink ref="I104" r:id="rId28" xr:uid="{F1852188-9572-CF46-BC58-A88F035F6762}"/>
    <hyperlink ref="I105" r:id="rId29" xr:uid="{7956F2A3-30AD-544F-ABA6-F8D9EAF6B0B2}"/>
  </hyperlinks>
  <pageMargins left="0.7" right="0.7" top="0.75" bottom="0.75" header="0.3" footer="0.3"/>
  <pageSetup paperSize="9" orientation="portrait" horizontalDpi="0" verticalDpi="0"/>
  <legacyDrawing r:id="rId3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62F1-4745-4048-9BB3-A51A95143108}">
  <dimension ref="A1:AI75"/>
  <sheetViews>
    <sheetView workbookViewId="0">
      <selection activeCell="P63" sqref="P63"/>
    </sheetView>
  </sheetViews>
  <sheetFormatPr baseColWidth="10" defaultRowHeight="16"/>
  <cols>
    <col min="1" max="1" width="10.83203125" style="30"/>
    <col min="2" max="2" width="22.33203125" style="30" bestFit="1" customWidth="1"/>
    <col min="3" max="16384" width="10.83203125" style="30"/>
  </cols>
  <sheetData>
    <row r="1" spans="1:32">
      <c r="A1" s="30" t="s">
        <v>124</v>
      </c>
    </row>
    <row r="2" spans="1:32">
      <c r="A2" s="30" t="s">
        <v>100</v>
      </c>
      <c r="C2" s="30" t="s">
        <v>117</v>
      </c>
      <c r="K2" s="30" t="s">
        <v>99</v>
      </c>
      <c r="M2" s="30" t="s">
        <v>123</v>
      </c>
      <c r="U2" s="30" t="s">
        <v>100</v>
      </c>
      <c r="W2" s="30" t="s">
        <v>110</v>
      </c>
    </row>
    <row r="3" spans="1:32" ht="51">
      <c r="A3" s="34" t="s">
        <v>122</v>
      </c>
      <c r="B3" s="34" t="s">
        <v>121</v>
      </c>
      <c r="C3" s="34" t="s">
        <v>95</v>
      </c>
      <c r="D3" s="34" t="s">
        <v>94</v>
      </c>
      <c r="E3" s="34" t="s">
        <v>93</v>
      </c>
      <c r="F3" s="34" t="s">
        <v>92</v>
      </c>
      <c r="G3" s="34" t="s">
        <v>91</v>
      </c>
      <c r="H3" s="34" t="s">
        <v>90</v>
      </c>
      <c r="I3" s="34" t="s">
        <v>89</v>
      </c>
      <c r="K3" s="34" t="s">
        <v>122</v>
      </c>
      <c r="L3" s="34" t="s">
        <v>121</v>
      </c>
      <c r="M3" s="34" t="s">
        <v>95</v>
      </c>
      <c r="N3" s="34" t="s">
        <v>94</v>
      </c>
      <c r="O3" s="34" t="s">
        <v>93</v>
      </c>
      <c r="P3" s="34" t="s">
        <v>92</v>
      </c>
      <c r="Q3" s="34" t="s">
        <v>91</v>
      </c>
      <c r="R3" s="34" t="s">
        <v>90</v>
      </c>
      <c r="S3" s="34" t="s">
        <v>89</v>
      </c>
      <c r="U3" s="34" t="s">
        <v>122</v>
      </c>
      <c r="V3" s="34" t="s">
        <v>121</v>
      </c>
      <c r="W3" s="34" t="s">
        <v>95</v>
      </c>
      <c r="X3" s="34" t="s">
        <v>94</v>
      </c>
      <c r="Y3" s="34" t="s">
        <v>93</v>
      </c>
      <c r="Z3" s="34" t="s">
        <v>92</v>
      </c>
      <c r="AA3" s="34" t="s">
        <v>91</v>
      </c>
      <c r="AB3" s="34" t="s">
        <v>90</v>
      </c>
      <c r="AC3" s="34" t="s">
        <v>89</v>
      </c>
    </row>
    <row r="4" spans="1:32">
      <c r="A4" s="30">
        <v>1</v>
      </c>
      <c r="B4" s="30">
        <v>1000</v>
      </c>
      <c r="E4" s="30">
        <f>C4+D4</f>
        <v>0</v>
      </c>
      <c r="F4" s="30">
        <f>C4/B4</f>
        <v>0</v>
      </c>
      <c r="G4" s="30">
        <f>D4/B4</f>
        <v>0</v>
      </c>
      <c r="H4" s="30">
        <f>(F4+G4)/B4</f>
        <v>0</v>
      </c>
      <c r="K4" s="30">
        <v>1</v>
      </c>
      <c r="L4" s="30">
        <v>1000</v>
      </c>
      <c r="O4" s="30">
        <f>M4+N4</f>
        <v>0</v>
      </c>
      <c r="P4" s="30">
        <f>M4/L4</f>
        <v>0</v>
      </c>
      <c r="Q4" s="30">
        <f>N4/L4</f>
        <v>0</v>
      </c>
      <c r="R4" s="30">
        <f>(P4+Q4)/L4</f>
        <v>0</v>
      </c>
      <c r="U4" s="30">
        <v>1</v>
      </c>
      <c r="V4" s="30">
        <v>1000</v>
      </c>
      <c r="Y4" s="30">
        <f>W4+X4</f>
        <v>0</v>
      </c>
      <c r="Z4" s="30">
        <f>W4/V4</f>
        <v>0</v>
      </c>
      <c r="AA4" s="30">
        <f>X4/V4</f>
        <v>0</v>
      </c>
      <c r="AB4" s="30">
        <f>(Z4+AA4)/V4</f>
        <v>0</v>
      </c>
    </row>
    <row r="5" spans="1:32">
      <c r="A5" s="30">
        <v>1</v>
      </c>
      <c r="B5" s="30">
        <v>2000</v>
      </c>
      <c r="E5" s="30">
        <f>C5+D5</f>
        <v>0</v>
      </c>
      <c r="F5" s="30">
        <f>C5/B5</f>
        <v>0</v>
      </c>
      <c r="G5" s="30">
        <f>D5/B5</f>
        <v>0</v>
      </c>
      <c r="H5" s="30">
        <f>(F5+G5)/B5</f>
        <v>0</v>
      </c>
      <c r="I5" s="30">
        <f>H5-H4</f>
        <v>0</v>
      </c>
      <c r="K5" s="30">
        <v>1</v>
      </c>
      <c r="L5" s="30">
        <v>2000</v>
      </c>
      <c r="O5" s="30">
        <f>M5+N5</f>
        <v>0</v>
      </c>
      <c r="P5" s="30">
        <f>M5/L5</f>
        <v>0</v>
      </c>
      <c r="Q5" s="30">
        <f>N5/L5</f>
        <v>0</v>
      </c>
      <c r="R5" s="30">
        <f>(P5+Q5)/L5</f>
        <v>0</v>
      </c>
      <c r="S5" s="30">
        <f>R5-R4</f>
        <v>0</v>
      </c>
      <c r="U5" s="30">
        <v>1</v>
      </c>
      <c r="V5" s="30">
        <v>2000</v>
      </c>
      <c r="Y5" s="30">
        <f>W5+X5</f>
        <v>0</v>
      </c>
      <c r="Z5" s="30">
        <f>W5/V5</f>
        <v>0</v>
      </c>
      <c r="AA5" s="30">
        <f>X5/V5</f>
        <v>0</v>
      </c>
      <c r="AB5" s="30">
        <f>(Z5+AA5)/V5</f>
        <v>0</v>
      </c>
      <c r="AC5" s="30">
        <f>AB5-AB4</f>
        <v>0</v>
      </c>
    </row>
    <row r="6" spans="1:32">
      <c r="A6" s="30">
        <v>1</v>
      </c>
      <c r="B6" s="30">
        <v>3000</v>
      </c>
      <c r="E6" s="30">
        <f>C6+D6</f>
        <v>0</v>
      </c>
      <c r="F6" s="30">
        <f>C6/B6</f>
        <v>0</v>
      </c>
      <c r="G6" s="30">
        <f>D6/B6</f>
        <v>0</v>
      </c>
      <c r="H6" s="30">
        <f>(F6+G6)/B6</f>
        <v>0</v>
      </c>
      <c r="K6" s="30">
        <v>1</v>
      </c>
      <c r="L6" s="30">
        <v>3000</v>
      </c>
      <c r="O6" s="30">
        <f>M6+N6</f>
        <v>0</v>
      </c>
      <c r="P6" s="30">
        <f>M6/L6</f>
        <v>0</v>
      </c>
      <c r="Q6" s="30">
        <f>N6/L6</f>
        <v>0</v>
      </c>
      <c r="R6" s="30">
        <f>(P6+Q6)/L6</f>
        <v>0</v>
      </c>
      <c r="U6" s="30">
        <v>1</v>
      </c>
      <c r="V6" s="30">
        <v>3000</v>
      </c>
      <c r="Y6" s="30">
        <f>W6+X6</f>
        <v>0</v>
      </c>
      <c r="Z6" s="30">
        <f>W6/V6</f>
        <v>0</v>
      </c>
      <c r="AA6" s="30">
        <f>X6/V6</f>
        <v>0</v>
      </c>
      <c r="AB6" s="30">
        <f>(Z6+AA6)/V6</f>
        <v>0</v>
      </c>
    </row>
    <row r="7" spans="1:32">
      <c r="A7" s="30">
        <v>1</v>
      </c>
      <c r="B7" s="30">
        <v>4000</v>
      </c>
      <c r="E7" s="30">
        <f>C7+D7</f>
        <v>0</v>
      </c>
      <c r="F7" s="30">
        <f>C7/B7</f>
        <v>0</v>
      </c>
      <c r="G7" s="30">
        <f>D7/B7</f>
        <v>0</v>
      </c>
      <c r="H7" s="30">
        <f>(F7+G7)/B7</f>
        <v>0</v>
      </c>
      <c r="K7" s="30">
        <v>1</v>
      </c>
      <c r="L7" s="30">
        <v>4000</v>
      </c>
      <c r="O7" s="30">
        <f>M7+N7</f>
        <v>0</v>
      </c>
      <c r="P7" s="30">
        <f>M7/L7</f>
        <v>0</v>
      </c>
      <c r="Q7" s="30">
        <f>N7/L7</f>
        <v>0</v>
      </c>
      <c r="R7" s="30">
        <f>(P7+Q7)/L7</f>
        <v>0</v>
      </c>
      <c r="U7" s="30">
        <v>1</v>
      </c>
      <c r="V7" s="30">
        <v>4000</v>
      </c>
      <c r="Y7" s="30">
        <f>W7+X7</f>
        <v>0</v>
      </c>
      <c r="Z7" s="30">
        <f>W7/V7</f>
        <v>0</v>
      </c>
      <c r="AA7" s="30">
        <f>X7/V7</f>
        <v>0</v>
      </c>
      <c r="AB7" s="30">
        <f>(Z7+AA7)/V7</f>
        <v>0</v>
      </c>
    </row>
    <row r="10" spans="1:32">
      <c r="A10" s="30" t="s">
        <v>120</v>
      </c>
    </row>
    <row r="11" spans="1:32">
      <c r="A11" s="30" t="s">
        <v>100</v>
      </c>
      <c r="C11" s="30" t="s">
        <v>117</v>
      </c>
      <c r="L11" s="30" t="s">
        <v>99</v>
      </c>
      <c r="M11" s="30" t="s">
        <v>112</v>
      </c>
      <c r="W11" s="32" t="s">
        <v>111</v>
      </c>
      <c r="X11" s="30" t="s">
        <v>110</v>
      </c>
    </row>
    <row r="12" spans="1:32" ht="51">
      <c r="A12" s="34" t="s">
        <v>98</v>
      </c>
      <c r="B12" s="34" t="s">
        <v>97</v>
      </c>
      <c r="C12" s="34" t="s">
        <v>119</v>
      </c>
      <c r="D12" s="34" t="s">
        <v>95</v>
      </c>
      <c r="E12" s="34" t="s">
        <v>94</v>
      </c>
      <c r="F12" s="34" t="s">
        <v>93</v>
      </c>
      <c r="G12" s="34" t="s">
        <v>92</v>
      </c>
      <c r="H12" s="34" t="s">
        <v>91</v>
      </c>
      <c r="I12" s="34" t="s">
        <v>90</v>
      </c>
      <c r="J12" s="34" t="s">
        <v>89</v>
      </c>
      <c r="L12" s="34" t="s">
        <v>98</v>
      </c>
      <c r="M12" s="34" t="s">
        <v>97</v>
      </c>
      <c r="N12" s="34" t="s">
        <v>119</v>
      </c>
      <c r="O12" s="34" t="s">
        <v>95</v>
      </c>
      <c r="P12" s="34" t="s">
        <v>94</v>
      </c>
      <c r="Q12" s="34" t="s">
        <v>93</v>
      </c>
      <c r="R12" s="34" t="s">
        <v>92</v>
      </c>
      <c r="S12" s="34" t="s">
        <v>91</v>
      </c>
      <c r="T12" s="34" t="s">
        <v>90</v>
      </c>
      <c r="U12" s="34" t="s">
        <v>89</v>
      </c>
      <c r="W12" s="34" t="s">
        <v>98</v>
      </c>
      <c r="X12" s="34" t="s">
        <v>97</v>
      </c>
      <c r="Y12" s="34" t="s">
        <v>119</v>
      </c>
      <c r="Z12" s="34" t="s">
        <v>95</v>
      </c>
      <c r="AA12" s="34" t="s">
        <v>94</v>
      </c>
      <c r="AB12" s="34" t="s">
        <v>93</v>
      </c>
      <c r="AC12" s="34" t="s">
        <v>92</v>
      </c>
      <c r="AD12" s="34" t="s">
        <v>91</v>
      </c>
      <c r="AE12" s="34" t="s">
        <v>90</v>
      </c>
      <c r="AF12" s="34" t="s">
        <v>89</v>
      </c>
    </row>
    <row r="13" spans="1:32">
      <c r="A13" s="30">
        <v>0</v>
      </c>
      <c r="B13" s="30">
        <v>1</v>
      </c>
      <c r="C13" s="30">
        <v>1000</v>
      </c>
      <c r="F13" s="30">
        <f>D13+E13</f>
        <v>0</v>
      </c>
      <c r="G13" s="30">
        <f>D13/C13</f>
        <v>0</v>
      </c>
      <c r="H13" s="30">
        <f>E13/C13</f>
        <v>0</v>
      </c>
      <c r="I13" s="30">
        <f>(G13+H13)/C13</f>
        <v>0</v>
      </c>
      <c r="L13" s="30">
        <v>0</v>
      </c>
      <c r="M13" s="30">
        <v>1</v>
      </c>
      <c r="N13" s="30">
        <v>1000</v>
      </c>
      <c r="Q13" s="30">
        <f>O13+P13</f>
        <v>0</v>
      </c>
      <c r="R13" s="30">
        <f>O13/N13</f>
        <v>0</v>
      </c>
      <c r="S13" s="30">
        <f>P13/N13</f>
        <v>0</v>
      </c>
      <c r="T13" s="30">
        <f>(R13+S13)/N13</f>
        <v>0</v>
      </c>
      <c r="W13" s="30">
        <v>0</v>
      </c>
      <c r="X13" s="30">
        <v>1</v>
      </c>
      <c r="Y13" s="30">
        <v>1000</v>
      </c>
      <c r="AB13" s="30">
        <f>Z13+AA13</f>
        <v>0</v>
      </c>
      <c r="AC13" s="30">
        <f>Z13/Y13</f>
        <v>0</v>
      </c>
      <c r="AD13" s="30">
        <f>AA13/Y13</f>
        <v>0</v>
      </c>
      <c r="AE13" s="30">
        <f>(AC13+AD13)/Y13</f>
        <v>0</v>
      </c>
    </row>
    <row r="14" spans="1:32">
      <c r="A14" s="30">
        <v>1</v>
      </c>
      <c r="B14" s="30">
        <v>1</v>
      </c>
      <c r="C14" s="30">
        <v>2000</v>
      </c>
      <c r="F14" s="30">
        <f>D14+E14</f>
        <v>0</v>
      </c>
      <c r="G14" s="30">
        <f>D14/C14</f>
        <v>0</v>
      </c>
      <c r="H14" s="30">
        <f>E14/C14</f>
        <v>0</v>
      </c>
      <c r="I14" s="30">
        <f>(G14+H14)/C14</f>
        <v>0</v>
      </c>
      <c r="J14" s="30">
        <f>I14-I13</f>
        <v>0</v>
      </c>
      <c r="L14" s="30">
        <v>1</v>
      </c>
      <c r="M14" s="30">
        <v>1</v>
      </c>
      <c r="N14" s="30">
        <v>2000</v>
      </c>
      <c r="Q14" s="30">
        <f>O14+P14</f>
        <v>0</v>
      </c>
      <c r="R14" s="30">
        <f>O14/N14</f>
        <v>0</v>
      </c>
      <c r="S14" s="30">
        <f>P14/N14</f>
        <v>0</v>
      </c>
      <c r="T14" s="30">
        <f>(R14+S14)/N14</f>
        <v>0</v>
      </c>
      <c r="U14" s="30">
        <f>T14-T13</f>
        <v>0</v>
      </c>
      <c r="W14" s="30">
        <v>1</v>
      </c>
      <c r="X14" s="30">
        <v>1</v>
      </c>
      <c r="Y14" s="30">
        <v>2000</v>
      </c>
      <c r="AB14" s="30">
        <f>Z14+AA14</f>
        <v>0</v>
      </c>
      <c r="AC14" s="30">
        <f>Z14/Y14</f>
        <v>0</v>
      </c>
      <c r="AD14" s="30">
        <f>AA14/Y14</f>
        <v>0</v>
      </c>
      <c r="AE14" s="30">
        <f>(AC14+AD14)/Y14</f>
        <v>0</v>
      </c>
      <c r="AF14" s="30">
        <f>AE14-AE13</f>
        <v>0</v>
      </c>
    </row>
    <row r="15" spans="1:32">
      <c r="A15" s="30">
        <v>2</v>
      </c>
      <c r="B15" s="30">
        <v>1</v>
      </c>
      <c r="C15" s="30">
        <v>3000</v>
      </c>
      <c r="F15" s="30">
        <f>D15+E15</f>
        <v>0</v>
      </c>
      <c r="G15" s="30">
        <f>D15/C15</f>
        <v>0</v>
      </c>
      <c r="H15" s="30">
        <f>E15/C15</f>
        <v>0</v>
      </c>
      <c r="I15" s="30">
        <f>(G15+H15)/C15</f>
        <v>0</v>
      </c>
      <c r="L15" s="30">
        <v>2</v>
      </c>
      <c r="M15" s="30">
        <v>1</v>
      </c>
      <c r="N15" s="30">
        <v>3000</v>
      </c>
      <c r="Q15" s="30">
        <f>O15+P15</f>
        <v>0</v>
      </c>
      <c r="R15" s="30">
        <f>O15/N15</f>
        <v>0</v>
      </c>
      <c r="S15" s="30">
        <f>P15/N15</f>
        <v>0</v>
      </c>
      <c r="T15" s="30">
        <f>(R15+S15)/N15</f>
        <v>0</v>
      </c>
      <c r="W15" s="30">
        <v>2</v>
      </c>
      <c r="X15" s="30">
        <v>1</v>
      </c>
      <c r="Y15" s="30">
        <v>3000</v>
      </c>
      <c r="AB15" s="30">
        <f>Z15+AA15</f>
        <v>0</v>
      </c>
      <c r="AC15" s="30">
        <f>Z15/Y15</f>
        <v>0</v>
      </c>
      <c r="AD15" s="30">
        <f>AA15/Y15</f>
        <v>0</v>
      </c>
      <c r="AE15" s="30">
        <f>(AC15+AD15)/Y15</f>
        <v>0</v>
      </c>
    </row>
    <row r="16" spans="1:32">
      <c r="A16" s="30">
        <v>3</v>
      </c>
      <c r="B16" s="30">
        <v>1</v>
      </c>
      <c r="C16" s="30">
        <v>4000</v>
      </c>
      <c r="F16" s="30">
        <f>D16+E16</f>
        <v>0</v>
      </c>
      <c r="G16" s="30">
        <f>D16/C16</f>
        <v>0</v>
      </c>
      <c r="H16" s="30">
        <f>E16/C16</f>
        <v>0</v>
      </c>
      <c r="I16" s="30">
        <f>(G16+H16)/C16</f>
        <v>0</v>
      </c>
      <c r="L16" s="30">
        <v>3</v>
      </c>
      <c r="M16" s="30">
        <v>1</v>
      </c>
      <c r="N16" s="30">
        <v>4000</v>
      </c>
      <c r="Q16" s="30">
        <f>O16+P16</f>
        <v>0</v>
      </c>
      <c r="R16" s="30">
        <f>O16/N16</f>
        <v>0</v>
      </c>
      <c r="S16" s="30">
        <f>P16/N16</f>
        <v>0</v>
      </c>
      <c r="T16" s="30">
        <f>(R16+S16)/N16</f>
        <v>0</v>
      </c>
      <c r="W16" s="30">
        <v>3</v>
      </c>
      <c r="X16" s="30">
        <v>1</v>
      </c>
      <c r="Y16" s="30">
        <v>4000</v>
      </c>
      <c r="AB16" s="30">
        <f>Z16+AA16</f>
        <v>0</v>
      </c>
      <c r="AC16" s="30">
        <f>Z16/Y16</f>
        <v>0</v>
      </c>
      <c r="AD16" s="30">
        <f>AA16/Y16</f>
        <v>0</v>
      </c>
      <c r="AE16" s="30">
        <f>(AC16+AD16)/Y16</f>
        <v>0</v>
      </c>
    </row>
    <row r="18" spans="1:32">
      <c r="A18" s="30" t="s">
        <v>118</v>
      </c>
    </row>
    <row r="19" spans="1:32">
      <c r="A19" s="30" t="s">
        <v>100</v>
      </c>
      <c r="C19" s="30" t="s">
        <v>117</v>
      </c>
      <c r="G19" s="386" t="s">
        <v>116</v>
      </c>
      <c r="H19" s="386"/>
      <c r="I19" s="386"/>
      <c r="J19" s="386"/>
      <c r="L19" s="30" t="s">
        <v>99</v>
      </c>
      <c r="N19" s="30" t="s">
        <v>112</v>
      </c>
      <c r="W19" s="32" t="s">
        <v>111</v>
      </c>
      <c r="X19" s="32"/>
      <c r="Y19" s="32" t="s">
        <v>110</v>
      </c>
      <c r="Z19" s="32"/>
    </row>
    <row r="20" spans="1:32" ht="51">
      <c r="A20" s="34" t="s">
        <v>98</v>
      </c>
      <c r="B20" s="34" t="s">
        <v>97</v>
      </c>
      <c r="C20" s="34" t="s">
        <v>115</v>
      </c>
      <c r="D20" s="34" t="s">
        <v>95</v>
      </c>
      <c r="E20" s="34" t="s">
        <v>94</v>
      </c>
      <c r="F20" s="34" t="s">
        <v>93</v>
      </c>
      <c r="G20" s="34" t="s">
        <v>92</v>
      </c>
      <c r="H20" s="34" t="s">
        <v>91</v>
      </c>
      <c r="I20" s="34" t="s">
        <v>90</v>
      </c>
      <c r="J20" s="34" t="s">
        <v>89</v>
      </c>
      <c r="L20" s="34" t="s">
        <v>98</v>
      </c>
      <c r="M20" s="34" t="s">
        <v>97</v>
      </c>
      <c r="N20" s="34" t="s">
        <v>115</v>
      </c>
      <c r="O20" s="34" t="s">
        <v>95</v>
      </c>
      <c r="P20" s="34" t="s">
        <v>94</v>
      </c>
      <c r="Q20" s="34" t="s">
        <v>93</v>
      </c>
      <c r="R20" s="34" t="s">
        <v>92</v>
      </c>
      <c r="S20" s="34" t="s">
        <v>91</v>
      </c>
      <c r="T20" s="34" t="s">
        <v>90</v>
      </c>
      <c r="U20" s="34" t="s">
        <v>89</v>
      </c>
      <c r="W20" s="34" t="s">
        <v>98</v>
      </c>
      <c r="X20" s="34" t="s">
        <v>97</v>
      </c>
      <c r="Y20" s="34" t="s">
        <v>115</v>
      </c>
      <c r="Z20" s="34" t="s">
        <v>95</v>
      </c>
      <c r="AA20" s="34" t="s">
        <v>94</v>
      </c>
      <c r="AB20" s="34" t="s">
        <v>93</v>
      </c>
      <c r="AC20" s="34" t="s">
        <v>92</v>
      </c>
      <c r="AD20" s="34" t="s">
        <v>91</v>
      </c>
      <c r="AE20" s="34" t="s">
        <v>90</v>
      </c>
      <c r="AF20" s="34" t="s">
        <v>89</v>
      </c>
    </row>
    <row r="21" spans="1:32">
      <c r="A21" s="30">
        <v>0</v>
      </c>
      <c r="B21" s="30">
        <v>1</v>
      </c>
      <c r="C21" s="30">
        <v>1</v>
      </c>
      <c r="D21" s="30">
        <v>0</v>
      </c>
      <c r="F21" s="30">
        <f>D21+E21</f>
        <v>0</v>
      </c>
      <c r="G21" s="30">
        <f>D21/C21</f>
        <v>0</v>
      </c>
      <c r="H21" s="30">
        <f>E21/C21</f>
        <v>0</v>
      </c>
      <c r="I21" s="30">
        <f>(H21+G21)/C21</f>
        <v>0</v>
      </c>
      <c r="L21" s="30">
        <v>0</v>
      </c>
      <c r="M21" s="30">
        <v>1</v>
      </c>
      <c r="N21" s="30">
        <v>1</v>
      </c>
      <c r="O21" s="30">
        <v>0</v>
      </c>
      <c r="Q21" s="30">
        <f>O21+P21</f>
        <v>0</v>
      </c>
      <c r="R21" s="30">
        <f>O21/N21</f>
        <v>0</v>
      </c>
      <c r="S21" s="30">
        <f>P21/N21</f>
        <v>0</v>
      </c>
      <c r="T21" s="30">
        <f>(S21+R21)/N21</f>
        <v>0</v>
      </c>
      <c r="W21" s="30">
        <v>0</v>
      </c>
      <c r="X21" s="30">
        <v>1</v>
      </c>
      <c r="Y21" s="30">
        <v>1</v>
      </c>
      <c r="Z21" s="30">
        <v>0</v>
      </c>
      <c r="AB21" s="30">
        <f>Z21+AA21</f>
        <v>0</v>
      </c>
      <c r="AC21" s="30">
        <f>Z21/Y21</f>
        <v>0</v>
      </c>
      <c r="AD21" s="30">
        <f>AA21/Y21</f>
        <v>0</v>
      </c>
      <c r="AE21" s="30">
        <f>(AD21+AC21)/Y21</f>
        <v>0</v>
      </c>
    </row>
    <row r="22" spans="1:32">
      <c r="A22" s="30">
        <v>1</v>
      </c>
      <c r="B22" s="30">
        <v>1</v>
      </c>
      <c r="C22" s="30">
        <v>1</v>
      </c>
      <c r="D22" s="30">
        <v>0</v>
      </c>
      <c r="F22" s="30">
        <f>D22+E22</f>
        <v>0</v>
      </c>
      <c r="G22" s="30">
        <f>D22/C22</f>
        <v>0</v>
      </c>
      <c r="H22" s="30">
        <f>E22/C22</f>
        <v>0</v>
      </c>
      <c r="J22" s="30">
        <f>I22-I21</f>
        <v>0</v>
      </c>
      <c r="L22" s="30">
        <v>1</v>
      </c>
      <c r="M22" s="30">
        <v>1</v>
      </c>
      <c r="N22" s="30">
        <v>1</v>
      </c>
      <c r="O22" s="30">
        <v>0</v>
      </c>
      <c r="Q22" s="30">
        <f>O22+P22</f>
        <v>0</v>
      </c>
      <c r="R22" s="30">
        <f>O22/N22</f>
        <v>0</v>
      </c>
      <c r="S22" s="30">
        <f>P22/N22</f>
        <v>0</v>
      </c>
      <c r="U22" s="30">
        <f>T22-T21</f>
        <v>0</v>
      </c>
      <c r="W22" s="30">
        <v>1</v>
      </c>
      <c r="X22" s="30">
        <v>1</v>
      </c>
      <c r="Y22" s="30">
        <v>1</v>
      </c>
      <c r="Z22" s="30">
        <v>0</v>
      </c>
      <c r="AB22" s="30">
        <f>Z22+AA22</f>
        <v>0</v>
      </c>
      <c r="AC22" s="30">
        <f>Z22/Y22</f>
        <v>0</v>
      </c>
      <c r="AD22" s="30">
        <f>AA22/Y22</f>
        <v>0</v>
      </c>
      <c r="AF22" s="30">
        <f>AE22-AE21</f>
        <v>0</v>
      </c>
    </row>
    <row r="23" spans="1:32">
      <c r="A23" s="30">
        <v>2</v>
      </c>
      <c r="B23" s="30">
        <v>1</v>
      </c>
      <c r="C23" s="30">
        <v>1</v>
      </c>
      <c r="D23" s="30">
        <v>0</v>
      </c>
      <c r="F23" s="30">
        <f>D23+E23</f>
        <v>0</v>
      </c>
      <c r="G23" s="30">
        <f>D23/C23</f>
        <v>0</v>
      </c>
      <c r="H23" s="30">
        <f>E23/C23</f>
        <v>0</v>
      </c>
      <c r="J23" s="30">
        <f>I23-I22</f>
        <v>0</v>
      </c>
      <c r="L23" s="30">
        <v>2</v>
      </c>
      <c r="M23" s="30">
        <v>1</v>
      </c>
      <c r="N23" s="30">
        <v>1</v>
      </c>
      <c r="O23" s="30">
        <v>0</v>
      </c>
      <c r="Q23" s="30">
        <f>O23+P23</f>
        <v>0</v>
      </c>
      <c r="R23" s="30">
        <f>O23/N23</f>
        <v>0</v>
      </c>
      <c r="S23" s="30">
        <f>P23/N23</f>
        <v>0</v>
      </c>
      <c r="U23" s="30">
        <f>T23-T22</f>
        <v>0</v>
      </c>
      <c r="W23" s="30">
        <v>2</v>
      </c>
      <c r="X23" s="30">
        <v>1</v>
      </c>
      <c r="Y23" s="30">
        <v>1</v>
      </c>
      <c r="Z23" s="30">
        <v>0</v>
      </c>
      <c r="AB23" s="30">
        <f>Z23+AA23</f>
        <v>0</v>
      </c>
      <c r="AC23" s="30">
        <f>Z23/Y23</f>
        <v>0</v>
      </c>
      <c r="AD23" s="30">
        <f>AA23/Y23</f>
        <v>0</v>
      </c>
      <c r="AF23" s="30">
        <f>AE23-AE22</f>
        <v>0</v>
      </c>
    </row>
    <row r="24" spans="1:32">
      <c r="A24" s="30">
        <v>3</v>
      </c>
      <c r="B24" s="30">
        <v>1</v>
      </c>
      <c r="C24" s="30">
        <v>1</v>
      </c>
      <c r="D24" s="30">
        <v>0</v>
      </c>
      <c r="F24" s="30">
        <f>D24+E24</f>
        <v>0</v>
      </c>
      <c r="G24" s="30">
        <f>D24/C24</f>
        <v>0</v>
      </c>
      <c r="H24" s="30">
        <f>E24/C24</f>
        <v>0</v>
      </c>
      <c r="J24" s="30">
        <f>I24-I23</f>
        <v>0</v>
      </c>
      <c r="L24" s="30">
        <v>3</v>
      </c>
      <c r="M24" s="30">
        <v>1</v>
      </c>
      <c r="N24" s="30">
        <v>1</v>
      </c>
      <c r="O24" s="30">
        <v>0</v>
      </c>
      <c r="Q24" s="30">
        <f>O24+P24</f>
        <v>0</v>
      </c>
      <c r="R24" s="30">
        <f>O24/N24</f>
        <v>0</v>
      </c>
      <c r="S24" s="30">
        <f>P24/N24</f>
        <v>0</v>
      </c>
      <c r="U24" s="30">
        <f>T24-T23</f>
        <v>0</v>
      </c>
      <c r="W24" s="30">
        <v>3</v>
      </c>
      <c r="X24" s="30">
        <v>1</v>
      </c>
      <c r="Y24" s="30">
        <v>1</v>
      </c>
      <c r="Z24" s="30">
        <v>0</v>
      </c>
      <c r="AB24" s="30">
        <f>Z24+AA24</f>
        <v>0</v>
      </c>
      <c r="AC24" s="30">
        <f>Z24/Y24</f>
        <v>0</v>
      </c>
      <c r="AD24" s="30">
        <f>AA24/Y24</f>
        <v>0</v>
      </c>
      <c r="AF24" s="30">
        <f>AE24-AE23</f>
        <v>0</v>
      </c>
    </row>
    <row r="27" spans="1:32">
      <c r="A27" s="30" t="s">
        <v>114</v>
      </c>
    </row>
    <row r="28" spans="1:32">
      <c r="A28" s="32" t="s">
        <v>100</v>
      </c>
      <c r="L28" s="32" t="s">
        <v>99</v>
      </c>
      <c r="N28" s="30" t="s">
        <v>112</v>
      </c>
      <c r="W28" s="32" t="s">
        <v>111</v>
      </c>
      <c r="Y28" s="30" t="s">
        <v>110</v>
      </c>
    </row>
    <row r="29" spans="1:32" ht="51">
      <c r="A29" s="34" t="s">
        <v>98</v>
      </c>
      <c r="B29" s="34" t="s">
        <v>97</v>
      </c>
      <c r="C29" s="34" t="s">
        <v>113</v>
      </c>
      <c r="D29" s="34" t="s">
        <v>95</v>
      </c>
      <c r="E29" s="34" t="s">
        <v>94</v>
      </c>
      <c r="F29" s="34" t="s">
        <v>93</v>
      </c>
      <c r="G29" s="34" t="s">
        <v>92</v>
      </c>
      <c r="H29" s="34" t="s">
        <v>91</v>
      </c>
      <c r="I29" s="34" t="s">
        <v>90</v>
      </c>
      <c r="J29" s="34" t="s">
        <v>89</v>
      </c>
      <c r="L29" s="34" t="s">
        <v>98</v>
      </c>
      <c r="M29" s="34" t="s">
        <v>97</v>
      </c>
      <c r="N29" s="34" t="s">
        <v>113</v>
      </c>
      <c r="O29" s="34" t="s">
        <v>95</v>
      </c>
      <c r="P29" s="34" t="s">
        <v>94</v>
      </c>
      <c r="Q29" s="34" t="s">
        <v>93</v>
      </c>
      <c r="R29" s="34" t="s">
        <v>92</v>
      </c>
      <c r="S29" s="34" t="s">
        <v>91</v>
      </c>
      <c r="T29" s="34" t="s">
        <v>90</v>
      </c>
      <c r="U29" s="34" t="s">
        <v>89</v>
      </c>
      <c r="W29" s="34" t="s">
        <v>98</v>
      </c>
      <c r="X29" s="34" t="s">
        <v>97</v>
      </c>
      <c r="Y29" s="34" t="s">
        <v>113</v>
      </c>
      <c r="Z29" s="34" t="s">
        <v>95</v>
      </c>
      <c r="AA29" s="34" t="s">
        <v>94</v>
      </c>
      <c r="AB29" s="34" t="s">
        <v>93</v>
      </c>
      <c r="AC29" s="34" t="s">
        <v>92</v>
      </c>
      <c r="AD29" s="34" t="s">
        <v>91</v>
      </c>
      <c r="AE29" s="34" t="s">
        <v>90</v>
      </c>
      <c r="AF29" s="34" t="s">
        <v>89</v>
      </c>
    </row>
    <row r="30" spans="1:32">
      <c r="A30" s="30">
        <v>0</v>
      </c>
      <c r="B30" s="30">
        <v>1</v>
      </c>
      <c r="C30" s="30">
        <v>1</v>
      </c>
      <c r="D30" s="30">
        <v>0</v>
      </c>
      <c r="F30" s="30">
        <f>D30+E30</f>
        <v>0</v>
      </c>
      <c r="G30" s="30">
        <f>D30/C30</f>
        <v>0</v>
      </c>
      <c r="H30" s="30">
        <f>E30/C30</f>
        <v>0</v>
      </c>
      <c r="I30" s="30">
        <f>(H30+G30)/C30</f>
        <v>0</v>
      </c>
      <c r="L30" s="30">
        <v>0</v>
      </c>
      <c r="M30" s="30">
        <v>1</v>
      </c>
      <c r="N30" s="30">
        <v>1</v>
      </c>
      <c r="O30" s="30">
        <v>0</v>
      </c>
      <c r="Q30" s="30">
        <f>O30+P30</f>
        <v>0</v>
      </c>
      <c r="R30" s="30">
        <f>O30/N30</f>
        <v>0</v>
      </c>
      <c r="S30" s="30">
        <f>P30/N30</f>
        <v>0</v>
      </c>
      <c r="T30" s="30">
        <f>(S30+R30)/N30</f>
        <v>0</v>
      </c>
      <c r="W30" s="30">
        <v>0</v>
      </c>
      <c r="X30" s="30">
        <v>1</v>
      </c>
      <c r="Y30" s="30">
        <v>1</v>
      </c>
      <c r="Z30" s="30">
        <v>0</v>
      </c>
      <c r="AB30" s="30">
        <f>Z30+AA30</f>
        <v>0</v>
      </c>
      <c r="AC30" s="30">
        <f>Z30/Y30</f>
        <v>0</v>
      </c>
      <c r="AD30" s="30">
        <f>AA30/Y30</f>
        <v>0</v>
      </c>
      <c r="AE30" s="30">
        <f>(AD30+AC30)/Y30</f>
        <v>0</v>
      </c>
    </row>
    <row r="31" spans="1:32">
      <c r="A31" s="30">
        <v>1</v>
      </c>
      <c r="B31" s="30">
        <v>1</v>
      </c>
      <c r="C31" s="30">
        <v>1</v>
      </c>
      <c r="D31" s="30">
        <v>0</v>
      </c>
      <c r="F31" s="30">
        <f>D31+E31</f>
        <v>0</v>
      </c>
      <c r="G31" s="30">
        <f>D31/C31</f>
        <v>0</v>
      </c>
      <c r="H31" s="30">
        <f>E31/C31</f>
        <v>0</v>
      </c>
      <c r="J31" s="30">
        <f>I31-I30</f>
        <v>0</v>
      </c>
      <c r="L31" s="30">
        <v>1</v>
      </c>
      <c r="M31" s="30">
        <v>1</v>
      </c>
      <c r="N31" s="30">
        <v>1</v>
      </c>
      <c r="O31" s="30">
        <v>0</v>
      </c>
      <c r="Q31" s="30">
        <f>O31+P31</f>
        <v>0</v>
      </c>
      <c r="R31" s="30">
        <f>O31/N31</f>
        <v>0</v>
      </c>
      <c r="S31" s="30">
        <f>P31/N31</f>
        <v>0</v>
      </c>
      <c r="U31" s="30">
        <f>T31-T30</f>
        <v>0</v>
      </c>
      <c r="W31" s="30">
        <v>1</v>
      </c>
      <c r="X31" s="30">
        <v>1</v>
      </c>
      <c r="Y31" s="30">
        <v>1</v>
      </c>
      <c r="Z31" s="30">
        <v>0</v>
      </c>
      <c r="AB31" s="30">
        <f>Z31+AA31</f>
        <v>0</v>
      </c>
      <c r="AC31" s="30">
        <f>Z31/Y31</f>
        <v>0</v>
      </c>
      <c r="AD31" s="30">
        <f>AA31/Y31</f>
        <v>0</v>
      </c>
      <c r="AF31" s="30">
        <f>AE31-AE30</f>
        <v>0</v>
      </c>
    </row>
    <row r="32" spans="1:32">
      <c r="A32" s="30">
        <v>2</v>
      </c>
      <c r="B32" s="30">
        <v>1</v>
      </c>
      <c r="C32" s="30">
        <v>1</v>
      </c>
      <c r="D32" s="30">
        <v>0</v>
      </c>
      <c r="F32" s="30">
        <f>D32+E32</f>
        <v>0</v>
      </c>
      <c r="G32" s="30">
        <f>D32/C32</f>
        <v>0</v>
      </c>
      <c r="H32" s="30">
        <f>E32/C32</f>
        <v>0</v>
      </c>
      <c r="J32" s="30">
        <f>I32-I31</f>
        <v>0</v>
      </c>
      <c r="L32" s="30">
        <v>2</v>
      </c>
      <c r="M32" s="30">
        <v>1</v>
      </c>
      <c r="N32" s="30">
        <v>1</v>
      </c>
      <c r="O32" s="30">
        <v>0</v>
      </c>
      <c r="Q32" s="30">
        <f>O32+P32</f>
        <v>0</v>
      </c>
      <c r="R32" s="30">
        <f>O32/N32</f>
        <v>0</v>
      </c>
      <c r="S32" s="30">
        <f>P32/N32</f>
        <v>0</v>
      </c>
      <c r="U32" s="30">
        <f>T32-T31</f>
        <v>0</v>
      </c>
      <c r="W32" s="30">
        <v>2</v>
      </c>
      <c r="X32" s="30">
        <v>1</v>
      </c>
      <c r="Y32" s="30">
        <v>1</v>
      </c>
      <c r="Z32" s="30">
        <v>0</v>
      </c>
      <c r="AB32" s="30">
        <f>Z32+AA32</f>
        <v>0</v>
      </c>
      <c r="AC32" s="30">
        <f>Z32/Y32</f>
        <v>0</v>
      </c>
      <c r="AD32" s="30">
        <f>AA32/Y32</f>
        <v>0</v>
      </c>
      <c r="AF32" s="30">
        <f>AE32-AE31</f>
        <v>0</v>
      </c>
    </row>
    <row r="33" spans="1:35">
      <c r="A33" s="30">
        <v>3</v>
      </c>
      <c r="B33" s="30">
        <v>1</v>
      </c>
      <c r="C33" s="30">
        <v>1</v>
      </c>
      <c r="D33" s="30">
        <v>0</v>
      </c>
      <c r="F33" s="30">
        <f>D33+E33</f>
        <v>0</v>
      </c>
      <c r="G33" s="30">
        <f>D33/C33</f>
        <v>0</v>
      </c>
      <c r="H33" s="30">
        <f>E33/C33</f>
        <v>0</v>
      </c>
      <c r="J33" s="30">
        <f>I33-I32</f>
        <v>0</v>
      </c>
      <c r="L33" s="30">
        <v>3</v>
      </c>
      <c r="M33" s="30">
        <v>1</v>
      </c>
      <c r="N33" s="30">
        <v>1</v>
      </c>
      <c r="O33" s="30">
        <v>0</v>
      </c>
      <c r="Q33" s="30">
        <f>O33+P33</f>
        <v>0</v>
      </c>
      <c r="R33" s="30">
        <f>O33/N33</f>
        <v>0</v>
      </c>
      <c r="S33" s="30">
        <f>P33/N33</f>
        <v>0</v>
      </c>
      <c r="U33" s="30">
        <f>T33-T32</f>
        <v>0</v>
      </c>
      <c r="W33" s="30">
        <v>3</v>
      </c>
      <c r="X33" s="30">
        <v>1</v>
      </c>
      <c r="Y33" s="30">
        <v>1</v>
      </c>
      <c r="Z33" s="30">
        <v>0</v>
      </c>
      <c r="AB33" s="30">
        <f>Z33+AA33</f>
        <v>0</v>
      </c>
      <c r="AC33" s="30">
        <f>Z33/Y33</f>
        <v>0</v>
      </c>
      <c r="AD33" s="30">
        <f>AA33/Y33</f>
        <v>0</v>
      </c>
      <c r="AF33" s="30">
        <f>AE33-AE32</f>
        <v>0</v>
      </c>
    </row>
    <row r="35" spans="1:35">
      <c r="A35" s="32" t="s">
        <v>48</v>
      </c>
    </row>
    <row r="36" spans="1:35">
      <c r="A36" s="30" t="s">
        <v>100</v>
      </c>
      <c r="L36" s="32" t="s">
        <v>99</v>
      </c>
      <c r="N36" s="30" t="s">
        <v>112</v>
      </c>
      <c r="W36" s="32" t="s">
        <v>111</v>
      </c>
      <c r="Y36" s="30" t="s">
        <v>110</v>
      </c>
    </row>
    <row r="37" spans="1:35" ht="51">
      <c r="A37" s="33" t="s">
        <v>98</v>
      </c>
      <c r="B37" s="33" t="s">
        <v>97</v>
      </c>
      <c r="C37" s="33" t="s">
        <v>109</v>
      </c>
      <c r="D37" s="33" t="s">
        <v>95</v>
      </c>
      <c r="E37" s="33" t="s">
        <v>94</v>
      </c>
      <c r="F37" s="33" t="s">
        <v>93</v>
      </c>
      <c r="G37" s="33" t="s">
        <v>92</v>
      </c>
      <c r="H37" s="33" t="s">
        <v>91</v>
      </c>
      <c r="I37" s="33" t="s">
        <v>90</v>
      </c>
      <c r="J37" s="33" t="s">
        <v>89</v>
      </c>
      <c r="L37" s="33" t="s">
        <v>98</v>
      </c>
      <c r="M37" s="33" t="s">
        <v>97</v>
      </c>
      <c r="N37" s="33" t="s">
        <v>109</v>
      </c>
      <c r="O37" s="33" t="s">
        <v>95</v>
      </c>
      <c r="P37" s="33" t="s">
        <v>94</v>
      </c>
      <c r="Q37" s="33" t="s">
        <v>93</v>
      </c>
      <c r="R37" s="33" t="s">
        <v>92</v>
      </c>
      <c r="S37" s="33" t="s">
        <v>91</v>
      </c>
      <c r="T37" s="33" t="s">
        <v>90</v>
      </c>
      <c r="U37" s="33" t="s">
        <v>89</v>
      </c>
      <c r="W37" s="33" t="s">
        <v>98</v>
      </c>
      <c r="X37" s="33" t="s">
        <v>97</v>
      </c>
      <c r="Y37" s="33" t="s">
        <v>109</v>
      </c>
      <c r="Z37" s="33" t="s">
        <v>95</v>
      </c>
      <c r="AA37" s="33" t="s">
        <v>94</v>
      </c>
      <c r="AB37" s="33" t="s">
        <v>93</v>
      </c>
      <c r="AC37" s="33" t="s">
        <v>92</v>
      </c>
      <c r="AD37" s="33" t="s">
        <v>91</v>
      </c>
      <c r="AE37" s="33" t="s">
        <v>90</v>
      </c>
      <c r="AF37" s="33" t="s">
        <v>89</v>
      </c>
    </row>
    <row r="38" spans="1:35">
      <c r="A38" s="32">
        <v>0</v>
      </c>
      <c r="B38" s="32">
        <v>1</v>
      </c>
      <c r="C38" s="32">
        <v>1</v>
      </c>
      <c r="D38" s="32">
        <v>0</v>
      </c>
      <c r="E38" s="32"/>
      <c r="F38" s="32">
        <v>0</v>
      </c>
      <c r="G38" s="32">
        <v>0</v>
      </c>
      <c r="H38" s="32">
        <v>0</v>
      </c>
      <c r="I38" s="32">
        <v>0</v>
      </c>
      <c r="J38" s="32"/>
      <c r="L38" s="32">
        <v>0</v>
      </c>
      <c r="M38" s="32">
        <v>1</v>
      </c>
      <c r="N38" s="32">
        <v>1</v>
      </c>
      <c r="O38" s="32">
        <v>0</v>
      </c>
      <c r="P38" s="32"/>
      <c r="Q38" s="32">
        <v>0</v>
      </c>
      <c r="R38" s="32">
        <v>0</v>
      </c>
      <c r="S38" s="32">
        <v>0</v>
      </c>
      <c r="T38" s="32">
        <v>0</v>
      </c>
      <c r="U38" s="32"/>
      <c r="W38" s="32">
        <v>0</v>
      </c>
      <c r="X38" s="32">
        <v>1</v>
      </c>
      <c r="Y38" s="32">
        <v>1</v>
      </c>
      <c r="Z38" s="32">
        <v>0</v>
      </c>
      <c r="AA38" s="32"/>
      <c r="AB38" s="32">
        <v>0</v>
      </c>
      <c r="AC38" s="32">
        <v>0</v>
      </c>
      <c r="AD38" s="32">
        <v>0</v>
      </c>
      <c r="AE38" s="32">
        <v>0</v>
      </c>
      <c r="AF38" s="32"/>
    </row>
    <row r="39" spans="1:35">
      <c r="A39" s="32">
        <v>1</v>
      </c>
      <c r="B39" s="32">
        <v>1</v>
      </c>
      <c r="C39" s="32">
        <v>1</v>
      </c>
      <c r="D39" s="32">
        <v>0</v>
      </c>
      <c r="E39" s="32"/>
      <c r="F39" s="32">
        <v>0</v>
      </c>
      <c r="G39" s="32">
        <v>0</v>
      </c>
      <c r="H39" s="32">
        <v>0</v>
      </c>
      <c r="I39" s="32"/>
      <c r="J39" s="32">
        <v>0</v>
      </c>
      <c r="L39" s="32">
        <v>1</v>
      </c>
      <c r="M39" s="32">
        <v>1</v>
      </c>
      <c r="N39" s="32">
        <v>1</v>
      </c>
      <c r="O39" s="32">
        <v>0</v>
      </c>
      <c r="P39" s="32"/>
      <c r="Q39" s="32">
        <v>0</v>
      </c>
      <c r="R39" s="32">
        <v>0</v>
      </c>
      <c r="S39" s="32">
        <v>0</v>
      </c>
      <c r="T39" s="32"/>
      <c r="U39" s="32">
        <v>0</v>
      </c>
      <c r="W39" s="32">
        <v>1</v>
      </c>
      <c r="X39" s="32">
        <v>1</v>
      </c>
      <c r="Y39" s="32">
        <v>1</v>
      </c>
      <c r="Z39" s="32">
        <v>0</v>
      </c>
      <c r="AA39" s="32"/>
      <c r="AB39" s="32">
        <v>0</v>
      </c>
      <c r="AC39" s="32">
        <v>0</v>
      </c>
      <c r="AD39" s="32">
        <v>0</v>
      </c>
      <c r="AE39" s="32"/>
      <c r="AF39" s="32">
        <v>0</v>
      </c>
    </row>
    <row r="40" spans="1:35">
      <c r="A40" s="32">
        <v>2</v>
      </c>
      <c r="B40" s="32">
        <v>1</v>
      </c>
      <c r="C40" s="32">
        <v>1</v>
      </c>
      <c r="D40" s="32">
        <v>0</v>
      </c>
      <c r="E40" s="32"/>
      <c r="F40" s="32">
        <v>0</v>
      </c>
      <c r="G40" s="32">
        <v>0</v>
      </c>
      <c r="H40" s="32">
        <v>0</v>
      </c>
      <c r="I40" s="32"/>
      <c r="J40" s="32">
        <v>0</v>
      </c>
      <c r="L40" s="32">
        <v>2</v>
      </c>
      <c r="M40" s="32">
        <v>1</v>
      </c>
      <c r="N40" s="32">
        <v>1</v>
      </c>
      <c r="O40" s="32">
        <v>0</v>
      </c>
      <c r="P40" s="32"/>
      <c r="Q40" s="32">
        <v>0</v>
      </c>
      <c r="R40" s="32">
        <v>0</v>
      </c>
      <c r="S40" s="32">
        <v>0</v>
      </c>
      <c r="T40" s="32"/>
      <c r="U40" s="32">
        <v>0</v>
      </c>
      <c r="W40" s="32">
        <v>2</v>
      </c>
      <c r="X40" s="32">
        <v>1</v>
      </c>
      <c r="Y40" s="32">
        <v>1</v>
      </c>
      <c r="Z40" s="32">
        <v>0</v>
      </c>
      <c r="AA40" s="32"/>
      <c r="AB40" s="32">
        <v>0</v>
      </c>
      <c r="AC40" s="32">
        <v>0</v>
      </c>
      <c r="AD40" s="32">
        <v>0</v>
      </c>
      <c r="AE40" s="32"/>
      <c r="AF40" s="32">
        <v>0</v>
      </c>
    </row>
    <row r="41" spans="1:35">
      <c r="A41" s="32">
        <v>3</v>
      </c>
      <c r="B41" s="32">
        <v>1</v>
      </c>
      <c r="C41" s="32">
        <v>1</v>
      </c>
      <c r="D41" s="32">
        <v>0</v>
      </c>
      <c r="E41" s="32"/>
      <c r="F41" s="32">
        <v>0</v>
      </c>
      <c r="G41" s="32">
        <v>0</v>
      </c>
      <c r="H41" s="32">
        <v>0</v>
      </c>
      <c r="I41" s="32"/>
      <c r="J41" s="32">
        <v>0</v>
      </c>
      <c r="L41" s="32">
        <v>3</v>
      </c>
      <c r="M41" s="32">
        <v>1</v>
      </c>
      <c r="N41" s="32">
        <v>1</v>
      </c>
      <c r="O41" s="32">
        <v>0</v>
      </c>
      <c r="P41" s="32"/>
      <c r="Q41" s="32">
        <v>0</v>
      </c>
      <c r="R41" s="32">
        <v>0</v>
      </c>
      <c r="S41" s="32">
        <v>0</v>
      </c>
      <c r="T41" s="32"/>
      <c r="U41" s="32">
        <v>0</v>
      </c>
      <c r="W41" s="32">
        <v>3</v>
      </c>
      <c r="X41" s="32">
        <v>1</v>
      </c>
      <c r="Y41" s="32">
        <v>1</v>
      </c>
      <c r="Z41" s="32">
        <v>0</v>
      </c>
      <c r="AA41" s="32"/>
      <c r="AB41" s="32">
        <v>0</v>
      </c>
      <c r="AC41" s="32">
        <v>0</v>
      </c>
      <c r="AD41" s="32">
        <v>0</v>
      </c>
      <c r="AE41" s="32"/>
      <c r="AF41" s="32">
        <v>0</v>
      </c>
    </row>
    <row r="43" spans="1:35">
      <c r="A43" s="30" t="s">
        <v>62</v>
      </c>
    </row>
    <row r="44" spans="1:35">
      <c r="A44" s="30" t="s">
        <v>100</v>
      </c>
      <c r="C44" s="30" t="s">
        <v>108</v>
      </c>
      <c r="M44" s="30" t="s">
        <v>99</v>
      </c>
      <c r="O44" s="30" t="s">
        <v>107</v>
      </c>
      <c r="Y44" s="30" t="s">
        <v>106</v>
      </c>
      <c r="AA44" s="30" t="s">
        <v>105</v>
      </c>
    </row>
    <row r="45" spans="1:35" ht="51">
      <c r="A45" s="33" t="s">
        <v>98</v>
      </c>
      <c r="B45" s="33" t="s">
        <v>97</v>
      </c>
      <c r="C45" s="33" t="s">
        <v>104</v>
      </c>
      <c r="D45" s="33" t="s">
        <v>95</v>
      </c>
      <c r="E45" s="33" t="s">
        <v>94</v>
      </c>
      <c r="F45" s="33" t="s">
        <v>103</v>
      </c>
      <c r="G45" s="33" t="s">
        <v>93</v>
      </c>
      <c r="H45" s="33" t="s">
        <v>92</v>
      </c>
      <c r="I45" s="33" t="s">
        <v>91</v>
      </c>
      <c r="J45" s="33" t="s">
        <v>90</v>
      </c>
      <c r="K45" s="33" t="s">
        <v>89</v>
      </c>
      <c r="M45" s="33" t="s">
        <v>98</v>
      </c>
      <c r="N45" s="33" t="s">
        <v>97</v>
      </c>
      <c r="O45" s="33" t="s">
        <v>104</v>
      </c>
      <c r="P45" s="33" t="s">
        <v>95</v>
      </c>
      <c r="Q45" s="33" t="s">
        <v>94</v>
      </c>
      <c r="R45" s="33" t="s">
        <v>103</v>
      </c>
      <c r="S45" s="33" t="s">
        <v>93</v>
      </c>
      <c r="T45" s="33" t="s">
        <v>92</v>
      </c>
      <c r="U45" s="33" t="s">
        <v>91</v>
      </c>
      <c r="V45" s="33" t="s">
        <v>90</v>
      </c>
      <c r="W45" s="33" t="s">
        <v>89</v>
      </c>
      <c r="Y45" s="33" t="s">
        <v>98</v>
      </c>
      <c r="Z45" s="33" t="s">
        <v>97</v>
      </c>
      <c r="AA45" s="33" t="s">
        <v>104</v>
      </c>
      <c r="AB45" s="33" t="s">
        <v>95</v>
      </c>
      <c r="AC45" s="33" t="s">
        <v>94</v>
      </c>
      <c r="AD45" s="33" t="s">
        <v>103</v>
      </c>
      <c r="AE45" s="33" t="s">
        <v>93</v>
      </c>
      <c r="AF45" s="33" t="s">
        <v>92</v>
      </c>
      <c r="AG45" s="33" t="s">
        <v>91</v>
      </c>
      <c r="AH45" s="33" t="s">
        <v>90</v>
      </c>
      <c r="AI45" s="33" t="s">
        <v>89</v>
      </c>
    </row>
    <row r="46" spans="1:35">
      <c r="A46" s="32">
        <v>0</v>
      </c>
      <c r="B46" s="32">
        <v>1</v>
      </c>
      <c r="C46" s="32">
        <v>1</v>
      </c>
      <c r="D46" s="32">
        <v>0</v>
      </c>
      <c r="E46" s="32"/>
      <c r="F46" s="32" t="s">
        <v>102</v>
      </c>
      <c r="G46" s="32">
        <v>0</v>
      </c>
      <c r="H46" s="32">
        <v>0</v>
      </c>
      <c r="I46" s="32">
        <v>0</v>
      </c>
      <c r="J46" s="32">
        <v>0</v>
      </c>
      <c r="K46" s="32"/>
      <c r="M46" s="32">
        <v>0</v>
      </c>
      <c r="N46" s="32">
        <v>1</v>
      </c>
      <c r="O46" s="32">
        <v>1</v>
      </c>
      <c r="P46" s="32">
        <v>0</v>
      </c>
      <c r="Q46" s="32"/>
      <c r="R46" s="32" t="s">
        <v>102</v>
      </c>
      <c r="S46" s="32">
        <v>0</v>
      </c>
      <c r="T46" s="32">
        <v>0</v>
      </c>
      <c r="U46" s="32">
        <v>0</v>
      </c>
      <c r="V46" s="32">
        <v>0</v>
      </c>
      <c r="W46" s="32"/>
      <c r="Y46" s="32">
        <v>0</v>
      </c>
      <c r="Z46" s="32">
        <v>1</v>
      </c>
      <c r="AA46" s="32">
        <v>1</v>
      </c>
      <c r="AB46" s="32">
        <v>0</v>
      </c>
      <c r="AC46" s="32"/>
      <c r="AD46" s="32" t="s">
        <v>102</v>
      </c>
      <c r="AE46" s="32">
        <v>0</v>
      </c>
      <c r="AF46" s="32">
        <v>0</v>
      </c>
      <c r="AG46" s="32">
        <v>0</v>
      </c>
      <c r="AH46" s="32">
        <v>0</v>
      </c>
      <c r="AI46" s="32"/>
    </row>
    <row r="47" spans="1:35">
      <c r="A47" s="32">
        <v>1</v>
      </c>
      <c r="B47" s="32">
        <v>1</v>
      </c>
      <c r="C47" s="32">
        <v>1</v>
      </c>
      <c r="D47" s="32">
        <v>0</v>
      </c>
      <c r="E47" s="32"/>
      <c r="F47" s="32">
        <v>0</v>
      </c>
      <c r="G47" s="32">
        <v>0</v>
      </c>
      <c r="H47" s="32">
        <v>0</v>
      </c>
      <c r="I47" s="32">
        <v>0</v>
      </c>
      <c r="J47" s="32"/>
      <c r="K47" s="32">
        <v>0</v>
      </c>
      <c r="M47" s="32">
        <v>1</v>
      </c>
      <c r="N47" s="32">
        <v>1</v>
      </c>
      <c r="O47" s="32">
        <v>1</v>
      </c>
      <c r="P47" s="32">
        <v>0</v>
      </c>
      <c r="Q47" s="32"/>
      <c r="R47" s="32">
        <v>0</v>
      </c>
      <c r="S47" s="32">
        <v>0</v>
      </c>
      <c r="T47" s="32">
        <v>0</v>
      </c>
      <c r="U47" s="32">
        <v>0</v>
      </c>
      <c r="V47" s="32"/>
      <c r="W47" s="32">
        <v>0</v>
      </c>
      <c r="Y47" s="32">
        <v>1</v>
      </c>
      <c r="Z47" s="32">
        <v>1</v>
      </c>
      <c r="AA47" s="32">
        <v>1</v>
      </c>
      <c r="AB47" s="32">
        <v>0</v>
      </c>
      <c r="AC47" s="32"/>
      <c r="AD47" s="32">
        <v>0</v>
      </c>
      <c r="AE47" s="32">
        <v>0</v>
      </c>
      <c r="AF47" s="32">
        <v>0</v>
      </c>
      <c r="AG47" s="32">
        <v>0</v>
      </c>
      <c r="AH47" s="32"/>
      <c r="AI47" s="32">
        <v>0</v>
      </c>
    </row>
    <row r="48" spans="1:35">
      <c r="A48" s="32">
        <v>2</v>
      </c>
      <c r="B48" s="32">
        <v>1</v>
      </c>
      <c r="C48" s="32">
        <v>1</v>
      </c>
      <c r="D48" s="32">
        <v>0</v>
      </c>
      <c r="E48" s="32"/>
      <c r="F48" s="32">
        <v>0</v>
      </c>
      <c r="G48" s="32">
        <v>0</v>
      </c>
      <c r="H48" s="32">
        <v>0</v>
      </c>
      <c r="I48" s="32">
        <v>0</v>
      </c>
      <c r="J48" s="32"/>
      <c r="K48" s="32">
        <v>0</v>
      </c>
      <c r="M48" s="32">
        <v>2</v>
      </c>
      <c r="N48" s="32">
        <v>1</v>
      </c>
      <c r="O48" s="32">
        <v>1</v>
      </c>
      <c r="P48" s="32">
        <v>0</v>
      </c>
      <c r="Q48" s="32"/>
      <c r="R48" s="32">
        <v>0</v>
      </c>
      <c r="S48" s="32">
        <v>0</v>
      </c>
      <c r="T48" s="32">
        <v>0</v>
      </c>
      <c r="U48" s="32">
        <v>0</v>
      </c>
      <c r="V48" s="32"/>
      <c r="W48" s="32">
        <v>0</v>
      </c>
      <c r="Y48" s="32">
        <v>2</v>
      </c>
      <c r="Z48" s="32">
        <v>1</v>
      </c>
      <c r="AA48" s="32">
        <v>1</v>
      </c>
      <c r="AB48" s="32">
        <v>0</v>
      </c>
      <c r="AC48" s="32"/>
      <c r="AD48" s="32">
        <v>0</v>
      </c>
      <c r="AE48" s="32">
        <v>0</v>
      </c>
      <c r="AF48" s="32">
        <v>0</v>
      </c>
      <c r="AG48" s="32">
        <v>0</v>
      </c>
      <c r="AH48" s="32"/>
      <c r="AI48" s="32">
        <v>0</v>
      </c>
    </row>
    <row r="49" spans="1:35">
      <c r="A49" s="32">
        <v>3</v>
      </c>
      <c r="B49" s="32">
        <v>1</v>
      </c>
      <c r="C49" s="32">
        <v>1</v>
      </c>
      <c r="D49" s="32">
        <v>0</v>
      </c>
      <c r="E49" s="32"/>
      <c r="F49" s="32">
        <v>0</v>
      </c>
      <c r="G49" s="32">
        <v>0</v>
      </c>
      <c r="H49" s="32">
        <v>0</v>
      </c>
      <c r="I49" s="32">
        <v>0</v>
      </c>
      <c r="J49" s="32"/>
      <c r="K49" s="32">
        <v>0</v>
      </c>
      <c r="M49" s="32">
        <v>3</v>
      </c>
      <c r="N49" s="32">
        <v>1</v>
      </c>
      <c r="O49" s="32">
        <v>1</v>
      </c>
      <c r="P49" s="32">
        <v>0</v>
      </c>
      <c r="Q49" s="32"/>
      <c r="R49" s="32">
        <v>0</v>
      </c>
      <c r="S49" s="32">
        <v>0</v>
      </c>
      <c r="T49" s="32">
        <v>0</v>
      </c>
      <c r="U49" s="32">
        <v>0</v>
      </c>
      <c r="V49" s="32"/>
      <c r="W49" s="32">
        <v>0</v>
      </c>
      <c r="Y49" s="32">
        <v>3</v>
      </c>
      <c r="Z49" s="32">
        <v>1</v>
      </c>
      <c r="AA49" s="32">
        <v>1</v>
      </c>
      <c r="AB49" s="32">
        <v>0</v>
      </c>
      <c r="AC49" s="32"/>
      <c r="AD49" s="32">
        <v>0</v>
      </c>
      <c r="AE49" s="32">
        <v>0</v>
      </c>
      <c r="AF49" s="32">
        <v>0</v>
      </c>
      <c r="AG49" s="32">
        <v>0</v>
      </c>
      <c r="AH49" s="32"/>
      <c r="AI49" s="32">
        <v>0</v>
      </c>
    </row>
    <row r="51" spans="1:35">
      <c r="A51" s="30" t="s">
        <v>101</v>
      </c>
    </row>
    <row r="52" spans="1:35">
      <c r="A52" s="30" t="s">
        <v>100</v>
      </c>
      <c r="L52" s="30" t="s">
        <v>99</v>
      </c>
      <c r="W52" s="30" t="s">
        <v>99</v>
      </c>
    </row>
    <row r="53" spans="1:35" ht="51">
      <c r="A53" s="33" t="s">
        <v>98</v>
      </c>
      <c r="B53" s="33" t="s">
        <v>97</v>
      </c>
      <c r="C53" s="33" t="s">
        <v>96</v>
      </c>
      <c r="D53" s="33" t="s">
        <v>95</v>
      </c>
      <c r="E53" s="33" t="s">
        <v>94</v>
      </c>
      <c r="F53" s="33" t="s">
        <v>93</v>
      </c>
      <c r="G53" s="33" t="s">
        <v>92</v>
      </c>
      <c r="H53" s="33" t="s">
        <v>91</v>
      </c>
      <c r="I53" s="33" t="s">
        <v>90</v>
      </c>
      <c r="J53" s="33" t="s">
        <v>89</v>
      </c>
      <c r="L53" s="33" t="s">
        <v>98</v>
      </c>
      <c r="M53" s="33" t="s">
        <v>97</v>
      </c>
      <c r="N53" s="33" t="s">
        <v>96</v>
      </c>
      <c r="O53" s="33" t="s">
        <v>95</v>
      </c>
      <c r="P53" s="33" t="s">
        <v>94</v>
      </c>
      <c r="Q53" s="33" t="s">
        <v>93</v>
      </c>
      <c r="R53" s="33" t="s">
        <v>92</v>
      </c>
      <c r="S53" s="33" t="s">
        <v>91</v>
      </c>
      <c r="T53" s="33" t="s">
        <v>90</v>
      </c>
      <c r="U53" s="33" t="s">
        <v>89</v>
      </c>
      <c r="W53" s="33" t="s">
        <v>98</v>
      </c>
      <c r="X53" s="33" t="s">
        <v>97</v>
      </c>
      <c r="Y53" s="33" t="s">
        <v>96</v>
      </c>
      <c r="Z53" s="33" t="s">
        <v>95</v>
      </c>
      <c r="AA53" s="33" t="s">
        <v>94</v>
      </c>
      <c r="AB53" s="33" t="s">
        <v>93</v>
      </c>
      <c r="AC53" s="33" t="s">
        <v>92</v>
      </c>
      <c r="AD53" s="33" t="s">
        <v>91</v>
      </c>
      <c r="AE53" s="33" t="s">
        <v>90</v>
      </c>
      <c r="AF53" s="33" t="s">
        <v>89</v>
      </c>
    </row>
    <row r="54" spans="1:35">
      <c r="A54" s="32">
        <v>0</v>
      </c>
      <c r="B54" s="32">
        <v>1</v>
      </c>
      <c r="C54" s="32">
        <v>1</v>
      </c>
      <c r="D54" s="32">
        <v>0</v>
      </c>
      <c r="E54" s="32"/>
      <c r="F54" s="32">
        <v>0</v>
      </c>
      <c r="G54" s="32">
        <v>0</v>
      </c>
      <c r="H54" s="32">
        <v>0</v>
      </c>
      <c r="I54" s="32">
        <v>0</v>
      </c>
      <c r="J54" s="32"/>
      <c r="L54" s="32">
        <v>0</v>
      </c>
      <c r="M54" s="32">
        <v>1</v>
      </c>
      <c r="N54" s="32">
        <v>1</v>
      </c>
      <c r="O54" s="32">
        <v>0</v>
      </c>
      <c r="P54" s="32"/>
      <c r="Q54" s="32">
        <v>0</v>
      </c>
      <c r="R54" s="32">
        <v>0</v>
      </c>
      <c r="S54" s="32">
        <v>0</v>
      </c>
      <c r="T54" s="32">
        <v>0</v>
      </c>
      <c r="U54" s="32"/>
      <c r="W54" s="32">
        <v>0</v>
      </c>
      <c r="X54" s="32">
        <v>1</v>
      </c>
      <c r="Y54" s="32">
        <v>1</v>
      </c>
      <c r="Z54" s="32">
        <v>0</v>
      </c>
      <c r="AA54" s="32"/>
      <c r="AB54" s="32">
        <v>0</v>
      </c>
      <c r="AC54" s="32">
        <v>0</v>
      </c>
      <c r="AD54" s="32">
        <v>0</v>
      </c>
      <c r="AE54" s="32">
        <v>0</v>
      </c>
      <c r="AF54" s="32"/>
    </row>
    <row r="55" spans="1:35">
      <c r="A55" s="32">
        <v>1</v>
      </c>
      <c r="B55" s="32">
        <v>1</v>
      </c>
      <c r="C55" s="32">
        <v>1</v>
      </c>
      <c r="D55" s="32">
        <v>0</v>
      </c>
      <c r="E55" s="32"/>
      <c r="F55" s="32">
        <v>0</v>
      </c>
      <c r="G55" s="32">
        <v>0</v>
      </c>
      <c r="H55" s="32">
        <v>0</v>
      </c>
      <c r="I55" s="32"/>
      <c r="J55" s="32">
        <v>0</v>
      </c>
      <c r="L55" s="32">
        <v>1</v>
      </c>
      <c r="M55" s="32">
        <v>1</v>
      </c>
      <c r="N55" s="32">
        <v>1</v>
      </c>
      <c r="O55" s="32">
        <v>0</v>
      </c>
      <c r="P55" s="32"/>
      <c r="Q55" s="32">
        <v>0</v>
      </c>
      <c r="R55" s="32">
        <v>0</v>
      </c>
      <c r="S55" s="32">
        <v>0</v>
      </c>
      <c r="T55" s="32"/>
      <c r="U55" s="32">
        <v>0</v>
      </c>
      <c r="W55" s="32">
        <v>1</v>
      </c>
      <c r="X55" s="32">
        <v>1</v>
      </c>
      <c r="Y55" s="32">
        <v>1</v>
      </c>
      <c r="Z55" s="32">
        <v>0</v>
      </c>
      <c r="AA55" s="32"/>
      <c r="AB55" s="32">
        <v>0</v>
      </c>
      <c r="AC55" s="32">
        <v>0</v>
      </c>
      <c r="AD55" s="32">
        <v>0</v>
      </c>
      <c r="AE55" s="32"/>
      <c r="AF55" s="32">
        <v>0</v>
      </c>
    </row>
    <row r="56" spans="1:35">
      <c r="A56" s="32">
        <v>2</v>
      </c>
      <c r="B56" s="32">
        <v>1</v>
      </c>
      <c r="C56" s="32">
        <v>1</v>
      </c>
      <c r="D56" s="32">
        <v>0</v>
      </c>
      <c r="E56" s="32"/>
      <c r="F56" s="32">
        <v>0</v>
      </c>
      <c r="G56" s="32">
        <v>0</v>
      </c>
      <c r="H56" s="32">
        <v>0</v>
      </c>
      <c r="I56" s="32"/>
      <c r="J56" s="32">
        <v>0</v>
      </c>
      <c r="L56" s="32">
        <v>2</v>
      </c>
      <c r="M56" s="32">
        <v>1</v>
      </c>
      <c r="N56" s="32">
        <v>1</v>
      </c>
      <c r="O56" s="32">
        <v>0</v>
      </c>
      <c r="P56" s="32"/>
      <c r="Q56" s="32">
        <v>0</v>
      </c>
      <c r="R56" s="32">
        <v>0</v>
      </c>
      <c r="S56" s="32">
        <v>0</v>
      </c>
      <c r="T56" s="32"/>
      <c r="U56" s="32">
        <v>0</v>
      </c>
      <c r="W56" s="32">
        <v>2</v>
      </c>
      <c r="X56" s="32">
        <v>1</v>
      </c>
      <c r="Y56" s="32">
        <v>1</v>
      </c>
      <c r="Z56" s="32">
        <v>0</v>
      </c>
      <c r="AA56" s="32"/>
      <c r="AB56" s="32">
        <v>0</v>
      </c>
      <c r="AC56" s="32">
        <v>0</v>
      </c>
      <c r="AD56" s="32">
        <v>0</v>
      </c>
      <c r="AE56" s="32"/>
      <c r="AF56" s="32">
        <v>0</v>
      </c>
    </row>
    <row r="57" spans="1:35">
      <c r="A57" s="32">
        <v>3</v>
      </c>
      <c r="B57" s="32">
        <v>1</v>
      </c>
      <c r="C57" s="32">
        <v>1</v>
      </c>
      <c r="D57" s="32">
        <v>0</v>
      </c>
      <c r="E57" s="32"/>
      <c r="F57" s="32">
        <v>0</v>
      </c>
      <c r="G57" s="32">
        <v>0</v>
      </c>
      <c r="H57" s="32">
        <v>0</v>
      </c>
      <c r="I57" s="32"/>
      <c r="J57" s="32">
        <v>0</v>
      </c>
      <c r="L57" s="32">
        <v>3</v>
      </c>
      <c r="M57" s="32">
        <v>1</v>
      </c>
      <c r="N57" s="32">
        <v>1</v>
      </c>
      <c r="O57" s="32">
        <v>0</v>
      </c>
      <c r="P57" s="32"/>
      <c r="Q57" s="32">
        <v>0</v>
      </c>
      <c r="R57" s="32">
        <v>0</v>
      </c>
      <c r="S57" s="32">
        <v>0</v>
      </c>
      <c r="T57" s="32"/>
      <c r="U57" s="32">
        <v>0</v>
      </c>
      <c r="W57" s="32">
        <v>3</v>
      </c>
      <c r="X57" s="32">
        <v>1</v>
      </c>
      <c r="Y57" s="32">
        <v>1</v>
      </c>
      <c r="Z57" s="32">
        <v>0</v>
      </c>
      <c r="AA57" s="32"/>
      <c r="AB57" s="32">
        <v>0</v>
      </c>
      <c r="AC57" s="32">
        <v>0</v>
      </c>
      <c r="AD57" s="32">
        <v>0</v>
      </c>
      <c r="AE57" s="32"/>
      <c r="AF57" s="32">
        <v>0</v>
      </c>
    </row>
    <row r="59" spans="1:35">
      <c r="A59" s="30" t="s">
        <v>219</v>
      </c>
    </row>
    <row r="60" spans="1:35">
      <c r="A60" s="30" t="s">
        <v>220</v>
      </c>
      <c r="B60" s="30">
        <v>1</v>
      </c>
      <c r="C60" s="30">
        <v>2</v>
      </c>
      <c r="D60" s="30">
        <v>3</v>
      </c>
      <c r="E60" s="30">
        <v>4</v>
      </c>
      <c r="F60" s="30">
        <v>5</v>
      </c>
      <c r="G60" s="30">
        <v>6</v>
      </c>
      <c r="H60" s="30">
        <v>7</v>
      </c>
      <c r="I60" s="30">
        <v>8</v>
      </c>
      <c r="J60" s="30">
        <v>9</v>
      </c>
      <c r="K60" s="30">
        <v>10</v>
      </c>
      <c r="L60" s="30">
        <v>11</v>
      </c>
      <c r="M60" s="30">
        <v>12</v>
      </c>
      <c r="N60" s="30">
        <v>13</v>
      </c>
      <c r="O60" s="30">
        <v>14</v>
      </c>
      <c r="P60" s="30">
        <v>15</v>
      </c>
    </row>
    <row r="61" spans="1:35" ht="21">
      <c r="A61" s="100" t="s">
        <v>163</v>
      </c>
      <c r="B61" s="88">
        <v>0.12540000000000001</v>
      </c>
      <c r="C61" s="88">
        <v>0.1129</v>
      </c>
      <c r="D61" s="88">
        <v>0.1016</v>
      </c>
      <c r="E61" s="88">
        <v>9.3399999999999997E-2</v>
      </c>
      <c r="F61" s="88">
        <v>8.5999999999999993E-2</v>
      </c>
      <c r="G61" s="88">
        <v>7.9100000000000004E-2</v>
      </c>
      <c r="H61" s="88">
        <v>7.2800000000000004E-2</v>
      </c>
      <c r="I61" s="88">
        <v>6.8400000000000002E-2</v>
      </c>
      <c r="J61" s="88">
        <v>6.4299999999999996E-2</v>
      </c>
      <c r="K61" s="88">
        <v>6.0400000000000002E-2</v>
      </c>
      <c r="L61" s="88">
        <v>5.6800000000000003E-2</v>
      </c>
      <c r="M61" s="88">
        <v>5.3400000000000003E-2</v>
      </c>
      <c r="N61" s="88">
        <v>5.0200000000000002E-2</v>
      </c>
      <c r="O61" s="88">
        <v>4.7199999999999999E-2</v>
      </c>
      <c r="P61" s="88">
        <v>4.4400000000000002E-2</v>
      </c>
    </row>
    <row r="62" spans="1:35" ht="21">
      <c r="A62" s="100" t="s">
        <v>165</v>
      </c>
      <c r="B62" s="88">
        <v>0.1777</v>
      </c>
      <c r="C62" s="88">
        <v>0.15989999999999999</v>
      </c>
      <c r="D62" s="88">
        <v>0.1439</v>
      </c>
      <c r="E62" s="88">
        <v>0.13239999999999999</v>
      </c>
      <c r="F62" s="88">
        <v>0.12180000000000001</v>
      </c>
      <c r="G62" s="88">
        <v>0.11210000000000001</v>
      </c>
      <c r="H62" s="88">
        <v>0.1031</v>
      </c>
      <c r="I62" s="88">
        <v>9.69E-2</v>
      </c>
      <c r="J62" s="88">
        <v>9.11E-2</v>
      </c>
      <c r="K62" s="88">
        <v>8.5599999999999996E-2</v>
      </c>
      <c r="L62" s="88">
        <v>8.0500000000000002E-2</v>
      </c>
      <c r="M62" s="88">
        <v>7.5700000000000003E-2</v>
      </c>
      <c r="N62" s="88">
        <v>7.1099999999999997E-2</v>
      </c>
      <c r="O62" s="88">
        <v>6.6799999999999998E-2</v>
      </c>
      <c r="P62" s="88">
        <v>6.2799999999999995E-2</v>
      </c>
    </row>
    <row r="63" spans="1:35" ht="21">
      <c r="A63" s="30" t="s">
        <v>164</v>
      </c>
      <c r="B63" s="88">
        <v>0.2404</v>
      </c>
      <c r="C63" s="88">
        <v>0.21629999999999999</v>
      </c>
      <c r="D63" s="88">
        <v>0.19470000000000001</v>
      </c>
      <c r="E63" s="88">
        <v>0.17910000000000001</v>
      </c>
      <c r="F63" s="88">
        <v>0.1648</v>
      </c>
      <c r="G63" s="88">
        <v>0.15160000000000001</v>
      </c>
      <c r="H63" s="88">
        <v>0.13950000000000001</v>
      </c>
      <c r="I63" s="88">
        <v>0.13109999999999999</v>
      </c>
      <c r="J63" s="88">
        <v>0.1232</v>
      </c>
      <c r="K63" s="88">
        <v>0.1158</v>
      </c>
      <c r="L63" s="88">
        <v>0.1089</v>
      </c>
      <c r="M63" s="88">
        <v>0.1024</v>
      </c>
      <c r="N63" s="88">
        <v>9.6199999999999994E-2</v>
      </c>
      <c r="O63" s="88">
        <v>9.0399999999999994E-2</v>
      </c>
      <c r="P63" s="88">
        <v>8.5000000000000006E-2</v>
      </c>
    </row>
    <row r="66" spans="1:16" ht="21">
      <c r="A66" s="100" t="s">
        <v>229</v>
      </c>
      <c r="B66" s="88"/>
      <c r="C66" s="88"/>
      <c r="D66" s="88"/>
      <c r="E66" s="88"/>
      <c r="F66" s="88"/>
      <c r="G66" s="88"/>
      <c r="H66" s="88"/>
      <c r="I66" s="88"/>
      <c r="J66" s="88"/>
      <c r="K66" s="88"/>
      <c r="L66" s="88"/>
      <c r="M66" s="88"/>
      <c r="N66" s="88"/>
      <c r="O66" s="88"/>
      <c r="P66" s="88"/>
    </row>
    <row r="67" spans="1:16">
      <c r="A67" s="100" t="s">
        <v>230</v>
      </c>
    </row>
    <row r="68" spans="1:16">
      <c r="A68" s="100" t="s">
        <v>231</v>
      </c>
    </row>
    <row r="70" spans="1:16">
      <c r="A70" s="47" t="s">
        <v>538</v>
      </c>
      <c r="B70" s="47" t="s">
        <v>541</v>
      </c>
      <c r="C70" s="47" t="s">
        <v>75</v>
      </c>
      <c r="D70" s="47" t="s">
        <v>537</v>
      </c>
      <c r="E70" s="47" t="s">
        <v>539</v>
      </c>
      <c r="F70" s="47" t="s">
        <v>233</v>
      </c>
    </row>
    <row r="71" spans="1:16">
      <c r="A71" s="47" t="s">
        <v>163</v>
      </c>
      <c r="B71" s="211">
        <v>1</v>
      </c>
      <c r="C71" s="211">
        <v>1</v>
      </c>
      <c r="D71" s="211">
        <v>1</v>
      </c>
      <c r="E71" s="211">
        <v>1</v>
      </c>
      <c r="F71" s="47" t="s">
        <v>102</v>
      </c>
    </row>
    <row r="72" spans="1:16">
      <c r="A72" s="47" t="s">
        <v>165</v>
      </c>
      <c r="B72" s="211">
        <v>0.9</v>
      </c>
      <c r="C72" s="211">
        <v>0.9</v>
      </c>
      <c r="D72" s="211">
        <v>0.9</v>
      </c>
      <c r="E72" s="211">
        <v>0.97</v>
      </c>
      <c r="F72" s="47" t="s">
        <v>102</v>
      </c>
    </row>
    <row r="73" spans="1:16">
      <c r="A73" s="47" t="s">
        <v>164</v>
      </c>
      <c r="B73" s="211">
        <v>0.6</v>
      </c>
      <c r="C73" s="211">
        <v>0.85</v>
      </c>
      <c r="D73" s="211">
        <v>0.85</v>
      </c>
      <c r="E73" s="211">
        <v>0.95</v>
      </c>
      <c r="F73" s="47" t="s">
        <v>102</v>
      </c>
    </row>
    <row r="74" spans="1:16">
      <c r="A74" s="47" t="s">
        <v>232</v>
      </c>
      <c r="B74" s="47" t="s">
        <v>102</v>
      </c>
      <c r="C74" s="47" t="s">
        <v>102</v>
      </c>
      <c r="D74" s="47" t="s">
        <v>102</v>
      </c>
      <c r="E74" s="47" t="s">
        <v>102</v>
      </c>
      <c r="F74" s="211">
        <v>1</v>
      </c>
    </row>
    <row r="75" spans="1:16">
      <c r="A75" s="47" t="s">
        <v>540</v>
      </c>
      <c r="B75" s="47" t="s">
        <v>102</v>
      </c>
      <c r="C75" s="47" t="s">
        <v>102</v>
      </c>
      <c r="D75" s="47" t="s">
        <v>102</v>
      </c>
      <c r="E75" s="47" t="s">
        <v>102</v>
      </c>
      <c r="F75" s="211">
        <v>0.9</v>
      </c>
    </row>
  </sheetData>
  <mergeCells count="1">
    <mergeCell ref="G19:J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B50E-E1BD-F747-A818-5BD7A58FB3DB}">
  <dimension ref="A1:G32"/>
  <sheetViews>
    <sheetView workbookViewId="0">
      <selection activeCell="L18" sqref="L18"/>
    </sheetView>
  </sheetViews>
  <sheetFormatPr baseColWidth="10" defaultRowHeight="13"/>
  <sheetData>
    <row r="1" spans="1:7">
      <c r="A1" s="295"/>
      <c r="B1" s="295" t="s">
        <v>635</v>
      </c>
      <c r="C1" s="295" t="s">
        <v>636</v>
      </c>
      <c r="D1" s="295" t="s">
        <v>637</v>
      </c>
      <c r="E1" s="295" t="s">
        <v>638</v>
      </c>
      <c r="F1" s="295" t="s">
        <v>639</v>
      </c>
      <c r="G1" s="295" t="s">
        <v>640</v>
      </c>
    </row>
    <row r="2" spans="1:7">
      <c r="A2" s="207" t="s">
        <v>641</v>
      </c>
      <c r="B2" s="296">
        <v>30</v>
      </c>
      <c r="C2" s="296">
        <v>20</v>
      </c>
      <c r="D2" s="296">
        <v>2</v>
      </c>
      <c r="E2" s="297">
        <v>600</v>
      </c>
      <c r="F2" s="298">
        <v>0.85</v>
      </c>
      <c r="G2" s="297">
        <v>613.79999999999995</v>
      </c>
    </row>
    <row r="3" spans="1:7">
      <c r="A3" s="207" t="s">
        <v>642</v>
      </c>
      <c r="B3" s="296">
        <v>35</v>
      </c>
      <c r="C3" s="296">
        <v>25</v>
      </c>
      <c r="D3" s="296">
        <v>1</v>
      </c>
      <c r="E3" s="297">
        <v>875</v>
      </c>
      <c r="F3" s="298">
        <v>0.85</v>
      </c>
      <c r="G3" s="297">
        <v>447.5625</v>
      </c>
    </row>
    <row r="4" spans="1:7">
      <c r="A4" s="207" t="s">
        <v>643</v>
      </c>
      <c r="B4" s="296"/>
      <c r="C4" s="296"/>
      <c r="D4" s="296"/>
      <c r="E4" s="297">
        <v>0</v>
      </c>
      <c r="F4" s="298">
        <v>0.85</v>
      </c>
      <c r="G4" s="297">
        <v>0</v>
      </c>
    </row>
    <row r="5" spans="1:7">
      <c r="A5" s="47"/>
      <c r="B5" s="47"/>
      <c r="C5" s="47"/>
      <c r="D5" s="47"/>
      <c r="E5" s="47"/>
      <c r="F5" s="47"/>
      <c r="G5" s="47"/>
    </row>
    <row r="6" spans="1:7">
      <c r="A6" s="207" t="s">
        <v>64</v>
      </c>
      <c r="B6" s="47"/>
      <c r="C6" s="47"/>
      <c r="D6" s="47"/>
      <c r="E6" s="47"/>
      <c r="F6" s="47"/>
      <c r="G6" s="297">
        <v>1061.3625</v>
      </c>
    </row>
    <row r="7" spans="1:7">
      <c r="A7" s="47"/>
      <c r="B7" s="47"/>
      <c r="C7" s="47"/>
      <c r="D7" s="47"/>
      <c r="E7" s="47"/>
      <c r="F7" s="47"/>
      <c r="G7" s="47"/>
    </row>
    <row r="8" spans="1:7">
      <c r="A8" s="47"/>
      <c r="B8" s="47"/>
      <c r="C8" s="47"/>
      <c r="D8" s="47"/>
      <c r="E8" s="47"/>
      <c r="F8" s="47"/>
      <c r="G8" s="47"/>
    </row>
    <row r="9" spans="1:7">
      <c r="A9" s="295" t="s">
        <v>644</v>
      </c>
      <c r="B9" s="295" t="s">
        <v>645</v>
      </c>
      <c r="C9" s="295" t="s">
        <v>646</v>
      </c>
      <c r="D9" s="295" t="s">
        <v>647</v>
      </c>
      <c r="E9" s="295" t="s">
        <v>639</v>
      </c>
      <c r="F9" s="295" t="s">
        <v>648</v>
      </c>
      <c r="G9" s="295" t="s">
        <v>649</v>
      </c>
    </row>
    <row r="10" spans="1:7">
      <c r="A10" s="296"/>
      <c r="B10" s="296" t="s">
        <v>327</v>
      </c>
      <c r="C10" s="296"/>
      <c r="D10" s="296">
        <v>30</v>
      </c>
      <c r="E10" s="298">
        <v>0.4</v>
      </c>
      <c r="F10" s="296">
        <v>2</v>
      </c>
      <c r="G10" s="297">
        <v>122.76</v>
      </c>
    </row>
    <row r="11" spans="1:7">
      <c r="A11" s="296"/>
      <c r="B11" s="296" t="s">
        <v>650</v>
      </c>
      <c r="C11" s="296"/>
      <c r="D11" s="296">
        <v>30</v>
      </c>
      <c r="E11" s="298">
        <v>0.2</v>
      </c>
      <c r="F11" s="296">
        <v>2</v>
      </c>
      <c r="G11" s="297">
        <v>163.68</v>
      </c>
    </row>
    <row r="12" spans="1:7">
      <c r="A12" s="47"/>
      <c r="B12" s="47"/>
      <c r="C12" s="47"/>
      <c r="D12" s="47"/>
      <c r="E12" s="47"/>
      <c r="F12" s="47"/>
      <c r="G12" s="47"/>
    </row>
    <row r="13" spans="1:7">
      <c r="A13" s="207" t="s">
        <v>64</v>
      </c>
      <c r="B13" s="47"/>
      <c r="C13" s="47"/>
      <c r="D13" s="47"/>
      <c r="E13" s="47"/>
      <c r="F13" s="47"/>
      <c r="G13" s="297">
        <v>286.44</v>
      </c>
    </row>
    <row r="14" spans="1:7" ht="98">
      <c r="A14" s="299" t="s">
        <v>651</v>
      </c>
      <c r="B14" s="47"/>
      <c r="C14" s="47"/>
      <c r="D14" s="47"/>
      <c r="E14" s="47"/>
      <c r="F14" s="47"/>
      <c r="G14" s="47"/>
    </row>
    <row r="15" spans="1:7">
      <c r="A15" s="47"/>
      <c r="B15" s="47"/>
      <c r="C15" s="47"/>
      <c r="D15" s="47"/>
      <c r="E15" s="47"/>
      <c r="F15" s="47"/>
      <c r="G15" s="47"/>
    </row>
    <row r="16" spans="1:7">
      <c r="A16" s="47"/>
      <c r="B16" s="47"/>
      <c r="C16" s="47"/>
      <c r="D16" s="47"/>
      <c r="E16" s="47"/>
      <c r="F16" s="47"/>
      <c r="G16" s="47"/>
    </row>
    <row r="17" spans="1:7">
      <c r="A17" s="295" t="s">
        <v>652</v>
      </c>
      <c r="B17" s="295" t="s">
        <v>645</v>
      </c>
      <c r="C17" s="295" t="s">
        <v>653</v>
      </c>
      <c r="D17" s="295" t="s">
        <v>647</v>
      </c>
      <c r="E17" s="295" t="s">
        <v>639</v>
      </c>
      <c r="F17" s="295" t="s">
        <v>654</v>
      </c>
      <c r="G17" s="295" t="s">
        <v>655</v>
      </c>
    </row>
    <row r="18" spans="1:7">
      <c r="A18" s="296"/>
      <c r="B18" s="296" t="s">
        <v>327</v>
      </c>
      <c r="C18" s="296"/>
      <c r="D18" s="296">
        <v>35</v>
      </c>
      <c r="E18" s="298">
        <v>0.9</v>
      </c>
      <c r="F18" s="296">
        <v>2</v>
      </c>
      <c r="G18" s="297">
        <v>23.87</v>
      </c>
    </row>
    <row r="19" spans="1:7">
      <c r="A19" s="296"/>
      <c r="B19" s="296" t="s">
        <v>650</v>
      </c>
      <c r="C19" s="296"/>
      <c r="D19" s="296">
        <v>35</v>
      </c>
      <c r="E19" s="298">
        <v>0.85</v>
      </c>
      <c r="F19" s="296">
        <v>2</v>
      </c>
      <c r="G19" s="297">
        <v>35.805</v>
      </c>
    </row>
    <row r="20" spans="1:7">
      <c r="A20" s="47"/>
      <c r="B20" s="47"/>
      <c r="C20" s="47"/>
      <c r="D20" s="47"/>
      <c r="E20" s="47"/>
      <c r="F20" s="47"/>
      <c r="G20" s="47"/>
    </row>
    <row r="21" spans="1:7">
      <c r="A21" s="207" t="s">
        <v>64</v>
      </c>
      <c r="B21" s="47"/>
      <c r="C21" s="47"/>
      <c r="D21" s="47"/>
      <c r="E21" s="47"/>
      <c r="F21" s="47"/>
      <c r="G21" s="297">
        <v>59.674999999999997</v>
      </c>
    </row>
    <row r="22" spans="1:7" ht="98">
      <c r="A22" s="300" t="s">
        <v>656</v>
      </c>
      <c r="B22" s="47"/>
      <c r="C22" s="47"/>
      <c r="D22" s="47"/>
      <c r="E22" s="47"/>
      <c r="F22" s="47"/>
      <c r="G22" s="47"/>
    </row>
    <row r="23" spans="1:7">
      <c r="A23" s="47"/>
      <c r="B23" s="47"/>
      <c r="C23" s="47"/>
      <c r="D23" s="47"/>
      <c r="E23" s="47"/>
      <c r="F23" s="47"/>
      <c r="G23" s="47"/>
    </row>
    <row r="24" spans="1:7">
      <c r="A24" s="295" t="s">
        <v>657</v>
      </c>
      <c r="B24" s="295" t="s">
        <v>658</v>
      </c>
      <c r="C24" s="295" t="s">
        <v>659</v>
      </c>
      <c r="D24" s="295" t="s">
        <v>660</v>
      </c>
      <c r="E24" s="47"/>
      <c r="F24" s="47"/>
      <c r="G24" s="47"/>
    </row>
    <row r="25" spans="1:7" ht="14">
      <c r="A25" s="207" t="s">
        <v>661</v>
      </c>
      <c r="B25" s="296"/>
      <c r="C25" s="296"/>
      <c r="D25" s="301">
        <v>42030.184289999997</v>
      </c>
      <c r="E25" s="47"/>
      <c r="F25" s="47"/>
      <c r="G25" s="47"/>
    </row>
    <row r="26" spans="1:7" ht="14">
      <c r="A26" s="207" t="s">
        <v>662</v>
      </c>
      <c r="B26" s="296"/>
      <c r="C26" s="296"/>
      <c r="D26" s="301">
        <v>35348.158920000002</v>
      </c>
      <c r="E26" s="47"/>
      <c r="F26" s="47"/>
      <c r="G26" s="47"/>
    </row>
    <row r="27" spans="1:7" ht="14">
      <c r="A27" s="207" t="s">
        <v>663</v>
      </c>
      <c r="B27" s="296"/>
      <c r="C27" s="296"/>
      <c r="D27" s="301" t="s">
        <v>312</v>
      </c>
      <c r="E27" s="47"/>
      <c r="F27" s="47"/>
      <c r="G27" s="47"/>
    </row>
    <row r="28" spans="1:7">
      <c r="A28" s="47"/>
      <c r="B28" s="47"/>
      <c r="C28" s="47"/>
      <c r="D28" s="47"/>
      <c r="E28" s="47"/>
      <c r="F28" s="47"/>
      <c r="G28" s="47"/>
    </row>
    <row r="29" spans="1:7">
      <c r="A29" s="47"/>
      <c r="B29" s="47"/>
      <c r="C29" s="47"/>
      <c r="D29" s="47"/>
      <c r="E29" s="47"/>
      <c r="F29" s="47"/>
      <c r="G29" s="47"/>
    </row>
    <row r="30" spans="1:7">
      <c r="A30" s="207" t="s">
        <v>664</v>
      </c>
      <c r="B30" s="297">
        <v>43437.661789999998</v>
      </c>
      <c r="C30" s="47"/>
      <c r="D30" s="47"/>
      <c r="E30" s="47"/>
      <c r="F30" s="47"/>
      <c r="G30" s="47"/>
    </row>
    <row r="31" spans="1:7">
      <c r="A31" s="47"/>
      <c r="B31" s="47"/>
      <c r="C31" s="47"/>
      <c r="D31" s="47"/>
      <c r="E31" s="47"/>
      <c r="F31" s="47"/>
      <c r="G31" s="47"/>
    </row>
    <row r="32" spans="1:7" ht="210">
      <c r="A32" s="300" t="s">
        <v>665</v>
      </c>
      <c r="B32" s="47"/>
      <c r="C32" s="47"/>
      <c r="D32" s="47"/>
      <c r="E32" s="47"/>
      <c r="F32" s="47"/>
      <c r="G32"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306</vt:i4>
      </vt:variant>
    </vt:vector>
  </HeadingPairs>
  <TitlesOfParts>
    <vt:vector size="314" baseType="lpstr">
      <vt:lpstr>Inputs</vt:lpstr>
      <vt:lpstr>Summary</vt:lpstr>
      <vt:lpstr>Overview</vt:lpstr>
      <vt:lpstr>CapEx Breakdown</vt:lpstr>
      <vt:lpstr>Consumables</vt:lpstr>
      <vt:lpstr>Database</vt:lpstr>
      <vt:lpstr>Production Technologies</vt:lpstr>
      <vt:lpstr>HVAC</vt:lpstr>
      <vt:lpstr>admin_count_y1</vt:lpstr>
      <vt:lpstr>admin_count_y2</vt:lpstr>
      <vt:lpstr>admin_msalary</vt:lpstr>
      <vt:lpstr>automation_level</vt:lpstr>
      <vt:lpstr>avg_revenue_full</vt:lpstr>
      <vt:lpstr>avg_revenue_pilot</vt:lpstr>
      <vt:lpstr>avg_yield_full</vt:lpstr>
      <vt:lpstr>avg_yield_pilot</vt:lpstr>
      <vt:lpstr>biosecurity_level</vt:lpstr>
      <vt:lpstr>business_model</vt:lpstr>
      <vt:lpstr>ceiling_height</vt:lpstr>
      <vt:lpstr>ceo_count_y1</vt:lpstr>
      <vt:lpstr>ceo_count_y2</vt:lpstr>
      <vt:lpstr>ceo_msalary</vt:lpstr>
      <vt:lpstr>climate_control</vt:lpstr>
      <vt:lpstr>co2_enrichment</vt:lpstr>
      <vt:lpstr>construction_cost</vt:lpstr>
      <vt:lpstr>crop_total_percent</vt:lpstr>
      <vt:lpstr>crop_typ1</vt:lpstr>
      <vt:lpstr>crop_typ2</vt:lpstr>
      <vt:lpstr>crop_typ3</vt:lpstr>
      <vt:lpstr>crop_typ4</vt:lpstr>
      <vt:lpstr>crop1_ayield_full</vt:lpstr>
      <vt:lpstr>crop1_ayield_pilot</vt:lpstr>
      <vt:lpstr>crop1_brevenue_full</vt:lpstr>
      <vt:lpstr>crop1_brevenue_pilot</vt:lpstr>
      <vt:lpstr>crop1_byield_full</vt:lpstr>
      <vt:lpstr>crop1_byield_pilot</vt:lpstr>
      <vt:lpstr>crop1_co2f</vt:lpstr>
      <vt:lpstr>crop1_cost</vt:lpstr>
      <vt:lpstr>crop1_customer_percent</vt:lpstr>
      <vt:lpstr>crop1_harvest_cycle</vt:lpstr>
      <vt:lpstr>crop1_harvest_weight</vt:lpstr>
      <vt:lpstr>crop1_lightf</vt:lpstr>
      <vt:lpstr>crop1_nutrientf</vt:lpstr>
      <vt:lpstr>crop1_percent</vt:lpstr>
      <vt:lpstr>crop1_photoperiod</vt:lpstr>
      <vt:lpstr>crop1_plants_full</vt:lpstr>
      <vt:lpstr>crop1_plants_pilot</vt:lpstr>
      <vt:lpstr>crop1_pq</vt:lpstr>
      <vt:lpstr>crop1_price1</vt:lpstr>
      <vt:lpstr>crop1_price2</vt:lpstr>
      <vt:lpstr>crop1_product_weight</vt:lpstr>
      <vt:lpstr>crop1_racks_full</vt:lpstr>
      <vt:lpstr>crop1_racks_pilot</vt:lpstr>
      <vt:lpstr>crop1_seeds_cost_full</vt:lpstr>
      <vt:lpstr>crop1_seeds_cost_pilot</vt:lpstr>
      <vt:lpstr>crop1_system</vt:lpstr>
      <vt:lpstr>crop1_tempf</vt:lpstr>
      <vt:lpstr>crop2_ayield_full</vt:lpstr>
      <vt:lpstr>crop2_ayield_pilot</vt:lpstr>
      <vt:lpstr>crop2_brevenue_full</vt:lpstr>
      <vt:lpstr>crop2_brevenue_pilot</vt:lpstr>
      <vt:lpstr>crop2_byield_full</vt:lpstr>
      <vt:lpstr>crop2_byield_pilot</vt:lpstr>
      <vt:lpstr>crop2_co2f</vt:lpstr>
      <vt:lpstr>crop2_cost</vt:lpstr>
      <vt:lpstr>crop2_customer_percent</vt:lpstr>
      <vt:lpstr>crop2_harvest_cycle</vt:lpstr>
      <vt:lpstr>crop2_harvest_weight</vt:lpstr>
      <vt:lpstr>crop2_lightf</vt:lpstr>
      <vt:lpstr>crop2_nutrientf</vt:lpstr>
      <vt:lpstr>crop2_percent</vt:lpstr>
      <vt:lpstr>crop2_photoperiod</vt:lpstr>
      <vt:lpstr>crop2_plants_full</vt:lpstr>
      <vt:lpstr>crop2_plants_pilot</vt:lpstr>
      <vt:lpstr>crop2_pq</vt:lpstr>
      <vt:lpstr>crop2_price1</vt:lpstr>
      <vt:lpstr>crop2_price2</vt:lpstr>
      <vt:lpstr>crop2_product_weight</vt:lpstr>
      <vt:lpstr>crop2_racks_full</vt:lpstr>
      <vt:lpstr>crop2_racks_pilot</vt:lpstr>
      <vt:lpstr>crop2_seeds_cost_full</vt:lpstr>
      <vt:lpstr>crop2_seeds_cost_pilot</vt:lpstr>
      <vt:lpstr>crop2_system</vt:lpstr>
      <vt:lpstr>crop2_tempf</vt:lpstr>
      <vt:lpstr>crop3_ayield_full</vt:lpstr>
      <vt:lpstr>crop3_ayield_pilot</vt:lpstr>
      <vt:lpstr>crop3_brevenue_full</vt:lpstr>
      <vt:lpstr>crop3_brevenue_pilot</vt:lpstr>
      <vt:lpstr>crop3_byield_full</vt:lpstr>
      <vt:lpstr>crop3_byield_pilot</vt:lpstr>
      <vt:lpstr>crop3_co2f</vt:lpstr>
      <vt:lpstr>crop3_cost</vt:lpstr>
      <vt:lpstr>crop3_customer_percent</vt:lpstr>
      <vt:lpstr>crop3_harvest_cycle</vt:lpstr>
      <vt:lpstr>crop3_harvest_weight</vt:lpstr>
      <vt:lpstr>crop3_lightf</vt:lpstr>
      <vt:lpstr>crop3_nutrientf</vt:lpstr>
      <vt:lpstr>crop3_percent</vt:lpstr>
      <vt:lpstr>crop3_photoperiod</vt:lpstr>
      <vt:lpstr>crop3_plants_full</vt:lpstr>
      <vt:lpstr>crop3_plants_pilot</vt:lpstr>
      <vt:lpstr>crop3_pq</vt:lpstr>
      <vt:lpstr>crop3_price1</vt:lpstr>
      <vt:lpstr>crop3_price2</vt:lpstr>
      <vt:lpstr>crop3_product_weight</vt:lpstr>
      <vt:lpstr>crop3_racks_full</vt:lpstr>
      <vt:lpstr>crop3_racks_pilot</vt:lpstr>
      <vt:lpstr>crop3_seeds_cost_full</vt:lpstr>
      <vt:lpstr>crop3_seeds_cost_pilot</vt:lpstr>
      <vt:lpstr>crop3_system</vt:lpstr>
      <vt:lpstr>crop3_tempf</vt:lpstr>
      <vt:lpstr>crop4_ayield_full</vt:lpstr>
      <vt:lpstr>crop4_ayield_pilot</vt:lpstr>
      <vt:lpstr>crop4_brevenue_full</vt:lpstr>
      <vt:lpstr>crop4_brevenue_pilot</vt:lpstr>
      <vt:lpstr>crop4_byield_full</vt:lpstr>
      <vt:lpstr>crop4_byield_pilot</vt:lpstr>
      <vt:lpstr>crop4_co2f</vt:lpstr>
      <vt:lpstr>crop4_cost</vt:lpstr>
      <vt:lpstr>crop4_customer_percent</vt:lpstr>
      <vt:lpstr>crop4_harvest_cycle</vt:lpstr>
      <vt:lpstr>crop4_harvest_weight</vt:lpstr>
      <vt:lpstr>crop4_lightf</vt:lpstr>
      <vt:lpstr>crop4_nutrientf</vt:lpstr>
      <vt:lpstr>crop4_percent</vt:lpstr>
      <vt:lpstr>crop4_photoperiod</vt:lpstr>
      <vt:lpstr>crop4_plants_full</vt:lpstr>
      <vt:lpstr>crop4_plants_pilot</vt:lpstr>
      <vt:lpstr>crop4_pq</vt:lpstr>
      <vt:lpstr>crop4_price1</vt:lpstr>
      <vt:lpstr>crop4_price2</vt:lpstr>
      <vt:lpstr>crop4_product_weight</vt:lpstr>
      <vt:lpstr>crop4_racks_full</vt:lpstr>
      <vt:lpstr>crop4_racks_pilot</vt:lpstr>
      <vt:lpstr>crop4_seeds_cost_full</vt:lpstr>
      <vt:lpstr>crop4_seeds_cost_pilot</vt:lpstr>
      <vt:lpstr>crop4_system</vt:lpstr>
      <vt:lpstr>crop4_tempf</vt:lpstr>
      <vt:lpstr>delivery_count_y1</vt:lpstr>
      <vt:lpstr>delivery_count_y2</vt:lpstr>
      <vt:lpstr>delivery_msalary</vt:lpstr>
      <vt:lpstr>education_avg_revenue_y1</vt:lpstr>
      <vt:lpstr>education_avg_revenue_y2</vt:lpstr>
      <vt:lpstr>education_multiplier</vt:lpstr>
      <vt:lpstr>electricity_price</vt:lpstr>
      <vt:lpstr>equipment_cost</vt:lpstr>
      <vt:lpstr>facility_size_full</vt:lpstr>
      <vt:lpstr>facility_size_pilot</vt:lpstr>
      <vt:lpstr>farm_type</vt:lpstr>
      <vt:lpstr>farmhand_count_y1</vt:lpstr>
      <vt:lpstr>farmhand_count_y2</vt:lpstr>
      <vt:lpstr>farmhand_msalary</vt:lpstr>
      <vt:lpstr>grant_revenue_y1</vt:lpstr>
      <vt:lpstr>grant_revenue_y10</vt:lpstr>
      <vt:lpstr>grant_revenue_y11</vt:lpstr>
      <vt:lpstr>grant_revenue_y12</vt:lpstr>
      <vt:lpstr>grant_revenue_y13</vt:lpstr>
      <vt:lpstr>grant_revenue_y14</vt:lpstr>
      <vt:lpstr>grant_revenue_y15</vt:lpstr>
      <vt:lpstr>grant_revenue_y2</vt:lpstr>
      <vt:lpstr>grant_revenue_y3</vt:lpstr>
      <vt:lpstr>grant_revenue_y4</vt:lpstr>
      <vt:lpstr>grant_revenue_y5</vt:lpstr>
      <vt:lpstr>grant_revenue_y6</vt:lpstr>
      <vt:lpstr>grant_revenue_y7</vt:lpstr>
      <vt:lpstr>grant_revenue_y8</vt:lpstr>
      <vt:lpstr>grant_revenue_y9</vt:lpstr>
      <vt:lpstr>grower_exp</vt:lpstr>
      <vt:lpstr>growing_area_full</vt:lpstr>
      <vt:lpstr>growing_area_mulitplier</vt:lpstr>
      <vt:lpstr>growing_area_pilot</vt:lpstr>
      <vt:lpstr>growing_levels_full</vt:lpstr>
      <vt:lpstr>growing_levels_pilot</vt:lpstr>
      <vt:lpstr>growing_media</vt:lpstr>
      <vt:lpstr>hgrower_count_y1</vt:lpstr>
      <vt:lpstr>hgrower_count_y2</vt:lpstr>
      <vt:lpstr>hgrower_msalary</vt:lpstr>
      <vt:lpstr>hospitality_avg_revenue_y1</vt:lpstr>
      <vt:lpstr>hospitality_avg_revenue_y2</vt:lpstr>
      <vt:lpstr>hospitality_multiplier</vt:lpstr>
      <vt:lpstr>insultation_level</vt:lpstr>
      <vt:lpstr>insurance_full</vt:lpstr>
      <vt:lpstr>insurance_pilot</vt:lpstr>
      <vt:lpstr>labour_improvement</vt:lpstr>
      <vt:lpstr>light_qty</vt:lpstr>
      <vt:lpstr>light_system</vt:lpstr>
      <vt:lpstr>lighting_control</vt:lpstr>
      <vt:lpstr>loan_amount</vt:lpstr>
      <vt:lpstr>loan_interest</vt:lpstr>
      <vt:lpstr>loan_tenure</vt:lpstr>
      <vt:lpstr>loan_type</vt:lpstr>
      <vt:lpstr>m1_wa_sales</vt:lpstr>
      <vt:lpstr>m1_wa_yield_crop1</vt:lpstr>
      <vt:lpstr>m1_wa_yield_crop2</vt:lpstr>
      <vt:lpstr>m1_wa_yield_crop3</vt:lpstr>
      <vt:lpstr>m1_wa_yield_crop4</vt:lpstr>
      <vt:lpstr>m2_wa_sales</vt:lpstr>
      <vt:lpstr>m2_wa_yield_crop1</vt:lpstr>
      <vt:lpstr>m2_wa_yield_crop2</vt:lpstr>
      <vt:lpstr>m2_wa_yield_crop3</vt:lpstr>
      <vt:lpstr>m2_wa_yield_crop4</vt:lpstr>
      <vt:lpstr>manager_count_y1</vt:lpstr>
      <vt:lpstr>manager_count_y2</vt:lpstr>
      <vt:lpstr>manager_msalary</vt:lpstr>
      <vt:lpstr>marketer_count_y1</vt:lpstr>
      <vt:lpstr>marketer_count_y2</vt:lpstr>
      <vt:lpstr>marketer_msalary</vt:lpstr>
      <vt:lpstr>metric_CO2_emitted</vt:lpstr>
      <vt:lpstr>metric_CO2_mitigated</vt:lpstr>
      <vt:lpstr>metric_CO2_net</vt:lpstr>
      <vt:lpstr>metric_energy</vt:lpstr>
      <vt:lpstr>metric_labour</vt:lpstr>
      <vt:lpstr>metric_nutrients</vt:lpstr>
      <vt:lpstr>metric_plants</vt:lpstr>
      <vt:lpstr>metric_space</vt:lpstr>
      <vt:lpstr>metric_volume</vt:lpstr>
      <vt:lpstr>metric_water</vt:lpstr>
      <vt:lpstr>metric_yield</vt:lpstr>
      <vt:lpstr>monthly_distribution_y1</vt:lpstr>
      <vt:lpstr>monthly_distribution_y2</vt:lpstr>
      <vt:lpstr>monthly_rent_y1</vt:lpstr>
      <vt:lpstr>monthly_rent_y2</vt:lpstr>
      <vt:lpstr>no_lights_full</vt:lpstr>
      <vt:lpstr>no_lights_pilot</vt:lpstr>
      <vt:lpstr>normal</vt:lpstr>
      <vt:lpstr>normal_CO2</vt:lpstr>
      <vt:lpstr>normal_CO2_emit</vt:lpstr>
      <vt:lpstr>normal_CO2_net</vt:lpstr>
      <vt:lpstr>normal_energy</vt:lpstr>
      <vt:lpstr>normal_labour</vt:lpstr>
      <vt:lpstr>normal_nutrient</vt:lpstr>
      <vt:lpstr>normal_space</vt:lpstr>
      <vt:lpstr>normal_volume</vt:lpstr>
      <vt:lpstr>normal_water</vt:lpstr>
      <vt:lpstr>nutrient_control</vt:lpstr>
      <vt:lpstr>other_costs_full</vt:lpstr>
      <vt:lpstr>other_costs_pilot</vt:lpstr>
      <vt:lpstr>packaging_cost_full</vt:lpstr>
      <vt:lpstr>packaging_cost_pilot</vt:lpstr>
      <vt:lpstr>parttime_count_y1</vt:lpstr>
      <vt:lpstr>parttime_count_y2</vt:lpstr>
      <vt:lpstr>parttime_wage</vt:lpstr>
      <vt:lpstr>percent_production_area_full</vt:lpstr>
      <vt:lpstr>percent_production_area_pilot</vt:lpstr>
      <vt:lpstr>percentage_renewable_energy</vt:lpstr>
      <vt:lpstr>plant_sites</vt:lpstr>
      <vt:lpstr>production_area_full</vt:lpstr>
      <vt:lpstr>production_area_pilot</vt:lpstr>
      <vt:lpstr>productivity_CO2</vt:lpstr>
      <vt:lpstr>productivity_CO2_omit</vt:lpstr>
      <vt:lpstr>productivity_energy</vt:lpstr>
      <vt:lpstr>productivity_labour</vt:lpstr>
      <vt:lpstr>productivity_nutrient</vt:lpstr>
      <vt:lpstr>productivity_plants</vt:lpstr>
      <vt:lpstr>productivity_volume</vt:lpstr>
      <vt:lpstr>productivity_water</vt:lpstr>
      <vt:lpstr>produticity_net_CO2</vt:lpstr>
      <vt:lpstr>reserve_fund</vt:lpstr>
      <vt:lpstr>roof_type</vt:lpstr>
      <vt:lpstr>salesperson_count_y1</vt:lpstr>
      <vt:lpstr>salesperson_count_y2</vt:lpstr>
      <vt:lpstr>salesperson_msalary</vt:lpstr>
      <vt:lpstr>scientist_count_y1</vt:lpstr>
      <vt:lpstr>scientist_count_y2</vt:lpstr>
      <vt:lpstr>scientist_msalary</vt:lpstr>
      <vt:lpstr>stacked_growing_area_full</vt:lpstr>
      <vt:lpstr>stacked_growing_area_pilot</vt:lpstr>
      <vt:lpstr>start_date</vt:lpstr>
      <vt:lpstr>structure_type</vt:lpstr>
      <vt:lpstr>system_quantity</vt:lpstr>
      <vt:lpstr>system_type</vt:lpstr>
      <vt:lpstr>target_productivity_CO2</vt:lpstr>
      <vt:lpstr>target_productivity_CO2_net</vt:lpstr>
      <vt:lpstr>target_productivity_CO2_omitted</vt:lpstr>
      <vt:lpstr>target_productivity_energy</vt:lpstr>
      <vt:lpstr>target_productivity_labour</vt:lpstr>
      <vt:lpstr>target_productivity_nutrients</vt:lpstr>
      <vt:lpstr>target_productivity_plants</vt:lpstr>
      <vt:lpstr>target_productivity_space</vt:lpstr>
      <vt:lpstr>target_productivity_volume</vt:lpstr>
      <vt:lpstr>target_productivity_water</vt:lpstr>
      <vt:lpstr>tax_rate</vt:lpstr>
      <vt:lpstr>total_brevenue_full</vt:lpstr>
      <vt:lpstr>total_brevenue_pilot</vt:lpstr>
      <vt:lpstr>total_byield_full</vt:lpstr>
      <vt:lpstr>total_byield_pilot</vt:lpstr>
      <vt:lpstr>total_capex</vt:lpstr>
      <vt:lpstr>total_headcount_y1</vt:lpstr>
      <vt:lpstr>total_headcount_y2</vt:lpstr>
      <vt:lpstr>total_plants_full</vt:lpstr>
      <vt:lpstr>total_plants_pilot</vt:lpstr>
      <vt:lpstr>tourism_avg_revenue_y1</vt:lpstr>
      <vt:lpstr>tourism_avg_revenue_y2</vt:lpstr>
      <vt:lpstr>tourism_multiplier</vt:lpstr>
      <vt:lpstr>vadded_avg_revenue_y1</vt:lpstr>
      <vt:lpstr>vadded_avg_revenue_y2</vt:lpstr>
      <vt:lpstr>vadded_products_multiplier</vt:lpstr>
      <vt:lpstr>water_price</vt:lpstr>
      <vt:lpstr>weight_unit</vt:lpstr>
      <vt:lpstr>y1_wa_sales</vt:lpstr>
      <vt:lpstr>y1_wa_yield_crop1</vt:lpstr>
      <vt:lpstr>y1_wa_yield_crop2</vt:lpstr>
      <vt:lpstr>y1_wa_yield_crop3</vt:lpstr>
      <vt:lpstr>y1_wa_yield_crop4</vt:lpstr>
      <vt:lpstr>y2_wa_sales</vt:lpstr>
      <vt:lpstr>y2_wa_yield_crop1</vt:lpstr>
      <vt:lpstr>y2_wa_yield_crop2</vt:lpstr>
      <vt:lpstr>y2_wa_yield_crop3</vt:lpstr>
      <vt:lpstr>y2_wa_yield_crop4</vt:lpstr>
      <vt:lpstr>y3_wa_sales</vt:lpstr>
      <vt:lpstr>y3_wa_yield_crop1</vt:lpstr>
      <vt:lpstr>y3_wa_yield_crop2</vt:lpstr>
      <vt:lpstr>y3_wa_yield_crop3</vt:lpstr>
      <vt:lpstr>y3_wa_yield_crop4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 Baumont De Oliveira</cp:lastModifiedBy>
  <dcterms:created xsi:type="dcterms:W3CDTF">2020-04-08T02:51:17Z</dcterms:created>
  <dcterms:modified xsi:type="dcterms:W3CDTF">2020-07-28T15:58:22Z</dcterms:modified>
</cp:coreProperties>
</file>