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34E476DD-0F1D-9D4C-9C3E-187400EFC45C}" xr6:coauthVersionLast="47" xr6:coauthVersionMax="47" xr10:uidLastSave="{00000000-0000-0000-0000-000000000000}"/>
  <bookViews>
    <workbookView xWindow="38360" yWindow="6260" windowWidth="36060" windowHeight="20340"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definedNames>
    <definedName name="_xlnm._FilterDatabase" localSheetId="5" hidden="1">Database!$A$7:$Z$93</definedName>
    <definedName name="admin_count_y1">Overview!$F$141</definedName>
    <definedName name="admin_count_y2">Overview!$G$141</definedName>
    <definedName name="admin_msalary">Overview!$B$129</definedName>
    <definedName name="automation_level">Overview!$B$33</definedName>
    <definedName name="avg_revenue_full">Overview!$C$28</definedName>
    <definedName name="avg_revenue_pilot">Overview!$B$28</definedName>
    <definedName name="avg_yield_full">Overview!$C$27</definedName>
    <definedName name="avg_yield_pilot">Overview!$B$27</definedName>
    <definedName name="biosecurity_level">Overview!$B$51</definedName>
    <definedName name="business_model">Overview!$B$31</definedName>
    <definedName name="ceiling_height">Overview!$B$41</definedName>
    <definedName name="ceo_count_y1">Overview!$F$133</definedName>
    <definedName name="ceo_count_y2">Overview!$G$133</definedName>
    <definedName name="ceo_msalary">Overview!$B$123</definedName>
    <definedName name="climate_control">Overview!$B$34</definedName>
    <definedName name="co2_enrichment">Overview!$B$44</definedName>
    <definedName name="construction_cost">Overview!$B$65</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Overview!$B$47</definedName>
    <definedName name="delivery_count_y1">Overview!$F$139</definedName>
    <definedName name="delivery_count_y2">Overview!$G$139</definedName>
    <definedName name="delivery_full">Overview!$C$25</definedName>
    <definedName name="delivery_msalary">Overview!$B$117</definedName>
    <definedName name="delivery_pilot">Overview!$B$25</definedName>
    <definedName name="education_avg_revenue_y1">Overview!$F$80</definedName>
    <definedName name="education_avg_revenue_y2">Overview!$G$80</definedName>
    <definedName name="education_multiplier">Overview!$C$80</definedName>
    <definedName name="electricity_price">Overview!$B$48</definedName>
    <definedName name="energy_type">Overview!$B$54</definedName>
    <definedName name="equipment_cost">Overview!$B$66</definedName>
    <definedName name="facility_size_full">Overview!$C$16</definedName>
    <definedName name="facility_size_pilot">Overview!$B$16</definedName>
    <definedName name="farm_type">Overview!$B$30</definedName>
    <definedName name="farmhand_count_y1">Overview!$F$140</definedName>
    <definedName name="farmhand_count_y2">Overview!$G$140</definedName>
    <definedName name="farmhand_msalary">Overview!$B$118</definedName>
    <definedName name="grant_revenue_y1">Overview!$H$83</definedName>
    <definedName name="grant_revenue_y10">Overview!$Q$83</definedName>
    <definedName name="grant_revenue_y11">Overview!$R$83</definedName>
    <definedName name="grant_revenue_y12">Overview!$S$83</definedName>
    <definedName name="grant_revenue_y13">Overview!$T$83</definedName>
    <definedName name="grant_revenue_y14">Overview!$U$83</definedName>
    <definedName name="grant_revenue_y15">Overview!$V$83</definedName>
    <definedName name="grant_revenue_y2">Overview!$I$83</definedName>
    <definedName name="grant_revenue_y3">Overview!$J$83</definedName>
    <definedName name="grant_revenue_y4">Overview!$K$83</definedName>
    <definedName name="grant_revenue_y5">Overview!$L$83</definedName>
    <definedName name="grant_revenue_y6">Overview!$M$83</definedName>
    <definedName name="grant_revenue_y7">Overview!$N$83</definedName>
    <definedName name="grant_revenue_y8">Overview!$O$83</definedName>
    <definedName name="grant_revenue_y9">Overview!$P$83</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Overview!$F$134</definedName>
    <definedName name="hgrower_count_y2">Overview!$G$134</definedName>
    <definedName name="hgrower_msalary">Overview!$B$124</definedName>
    <definedName name="hospitality_avg_revenue_y1">Overview!$F$82</definedName>
    <definedName name="hospitality_avg_revenue_y2">Overview!$G$82</definedName>
    <definedName name="hospitality_multiplier">Overview!$C$82</definedName>
    <definedName name="insulation_level">Overview!$B$42</definedName>
    <definedName name="insultation_level">Overview!$B$42</definedName>
    <definedName name="insurance_full">Overview!$G$101</definedName>
    <definedName name="insurance_pilot">Overview!$F$101</definedName>
    <definedName name="ipm">Overview!$B$52</definedName>
    <definedName name="labour_improvement">Overview!$B$49</definedName>
    <definedName name="light_qty">Overview!$C$38</definedName>
    <definedName name="light_system">Overview!$B$38</definedName>
    <definedName name="lighting_control">Overview!$B$35</definedName>
    <definedName name="loan_amount">Overview!$B$57</definedName>
    <definedName name="loan_interest">Overview!$B$59</definedName>
    <definedName name="loan_tenure">Overview!$B$60</definedName>
    <definedName name="loan_type">Overview!$B$61</definedName>
    <definedName name="m1_wa_sales">Overview!$F$75</definedName>
    <definedName name="m1_wa_yield_crop1">Overview!$F$71</definedName>
    <definedName name="m1_wa_yield_crop2">Overview!$F$72</definedName>
    <definedName name="m1_wa_yield_crop3">Overview!$F$73</definedName>
    <definedName name="m1_wa_yield_crop4">Overview!$F$74</definedName>
    <definedName name="m2_wa_sales">Overview!$G$75</definedName>
    <definedName name="m2_wa_yield_crop1">Overview!$G$71</definedName>
    <definedName name="m2_wa_yield_crop2">Overview!$G$72</definedName>
    <definedName name="m2_wa_yield_crop3">Overview!$G$73</definedName>
    <definedName name="m2_wa_yield_crop4">Overview!$G$74</definedName>
    <definedName name="manager_count_y1">Overview!$F$138</definedName>
    <definedName name="manager_count_y2">Overview!$G$138</definedName>
    <definedName name="manager_msalary">Overview!$B$128</definedName>
    <definedName name="marketer_count_y1">Overview!$F$135</definedName>
    <definedName name="marketer_count_y2">Overview!$G$135</definedName>
    <definedName name="marketer_msalary">Overview!$B$125</definedName>
    <definedName name="metric_CO2_emitted">Overview!$G$55</definedName>
    <definedName name="metric_CO2_mitigated">Overview!$G$56</definedName>
    <definedName name="metric_CO2_net">Overview!$G$57</definedName>
    <definedName name="metric_energy">Overview!$G$50</definedName>
    <definedName name="metric_labour">Overview!$G$51</definedName>
    <definedName name="metric_nutrients">Overview!$G$53</definedName>
    <definedName name="metric_plants">Overview!$G$58</definedName>
    <definedName name="metric_space">Overview!$I$49</definedName>
    <definedName name="metric_volume">Overview!$G$54</definedName>
    <definedName name="metric_water">Overview!$G$52</definedName>
    <definedName name="metric_yield">Overview!$G$49</definedName>
    <definedName name="monthly_distribution_y1">Overview!$F$102</definedName>
    <definedName name="monthly_distribution_y2">Overview!$G$102</definedName>
    <definedName name="monthly_rent_y1">Overview!$F$98</definedName>
    <definedName name="monthly_rent_y2">Overview!$G$98</definedName>
    <definedName name="no_lights_full">Overview!$C$23</definedName>
    <definedName name="no_lights_pilot">Overview!$B$23</definedName>
    <definedName name="normal">Overview!$L$49</definedName>
    <definedName name="normal_CO2">Overview!$K$55</definedName>
    <definedName name="normal_CO2_emit">Overview!$K$56</definedName>
    <definedName name="normal_CO2_net">Overview!$K$57</definedName>
    <definedName name="normal_energy">Overview!$K$50</definedName>
    <definedName name="normal_labour">Overview!$K$51</definedName>
    <definedName name="normal_nutrient">Overview!$K$53</definedName>
    <definedName name="normal_space">Overview!$K$49</definedName>
    <definedName name="normal_volume">Overview!$K$54</definedName>
    <definedName name="normal_water">Overview!$K$52</definedName>
    <definedName name="nutrient_control">Overview!$B$36</definedName>
    <definedName name="other_costs_full">Overview!$C$26</definedName>
    <definedName name="other_costs_pilot">Overview!$B$26</definedName>
    <definedName name="packaging_cost_full">Overview!$C$24</definedName>
    <definedName name="packaging_cost_pilot">Overview!$B$24</definedName>
    <definedName name="part">Overview!$B$119</definedName>
    <definedName name="parttime_count_y1">Overview!$F$142</definedName>
    <definedName name="parttime_count_y2">Overview!$G$142</definedName>
    <definedName name="parttime_wage">Overview!$B$119</definedName>
    <definedName name="parttime_wages">Overview!$B$119</definedName>
    <definedName name="percent_production_area_full">Overview!$C$17</definedName>
    <definedName name="percent_production_area_pilot">Overview!$B$17</definedName>
    <definedName name="percentage_renewable_energy">Overview!$B$50</definedName>
    <definedName name="pest_detection">Overview!$B$53</definedName>
    <definedName name="plant_sites">Overview!$B$39</definedName>
    <definedName name="production_area_full">Overview!$C$17</definedName>
    <definedName name="production_area_pilot">Overview!$B$17</definedName>
    <definedName name="productivity_CO2">Overview!$I$55</definedName>
    <definedName name="productivity_CO2_omit">Overview!$I$56</definedName>
    <definedName name="productivity_energy">Overview!$I$50</definedName>
    <definedName name="productivity_labour">Overview!$I$51</definedName>
    <definedName name="productivity_nutrient">Overview!$I$53</definedName>
    <definedName name="productivity_plants">Overview!$I$58</definedName>
    <definedName name="productivity_volume">Overview!$I$54</definedName>
    <definedName name="productivity_water">Overview!$I$52</definedName>
    <definedName name="produticity_net_CO2">Overview!$I$57</definedName>
    <definedName name="reserve_fund">Overview!$B$68</definedName>
    <definedName name="roof_type">Overview!$B$43</definedName>
    <definedName name="salesperson_count_y1">Overview!$F$137</definedName>
    <definedName name="salesperson_count_y2">Overview!$G$137</definedName>
    <definedName name="salesperson_msalary">Overview!$B$127</definedName>
    <definedName name="scientist_count_y1">Overview!$F$136</definedName>
    <definedName name="scientist_count_y2">Overview!$G$136</definedName>
    <definedName name="scientist_msalary">Overview!$B$126</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Overview!$J$55</definedName>
    <definedName name="target_productivity_CO2_net">Overview!$J$57</definedName>
    <definedName name="target_productivity_CO2_omitted">Overview!$J$56</definedName>
    <definedName name="target_productivity_energy">Overview!$J$50</definedName>
    <definedName name="target_productivity_labour">Overview!$J$51</definedName>
    <definedName name="target_productivity_nutrients">Overview!$J$53</definedName>
    <definedName name="target_productivity_plants">Overview!$J$58</definedName>
    <definedName name="target_productivity_space">Overview!$J$49</definedName>
    <definedName name="target_productivity_volume">Overview!$J$54</definedName>
    <definedName name="target_productivity_water">Overview!$J$52</definedName>
    <definedName name="tax_rate">Overview!$B$58</definedName>
    <definedName name="total_brevenue_full">Overview!$L$29</definedName>
    <definedName name="total_brevenue_pilot">Overview!$L$28</definedName>
    <definedName name="total_byield_full">Overview!$L$27</definedName>
    <definedName name="total_byield_pilot">Overview!$L$26</definedName>
    <definedName name="total_capex">Overview!$B$67</definedName>
    <definedName name="total_headcount_y1">Overview!$F$143</definedName>
    <definedName name="total_headcount_y2">Overview!$G$143</definedName>
    <definedName name="total_plants_full">Overview!$L$31</definedName>
    <definedName name="total_plants_pilot">Overview!$L$30</definedName>
    <definedName name="tourism_avg_revenue_y1">Overview!$F$81</definedName>
    <definedName name="tourism_avg_revenue_y2">Overview!$G$81</definedName>
    <definedName name="tourism_multiplier">Overview!$C$81</definedName>
    <definedName name="vadded_avg_revenue_y1">Overview!$F$79</definedName>
    <definedName name="vadded_avg_revenue_y2">Overview!$G$79</definedName>
    <definedName name="vadded_products_multiplier">Overview!$C$79</definedName>
    <definedName name="water_price">Overview!$B$46</definedName>
    <definedName name="weight_unit">Overview!$B$21</definedName>
    <definedName name="y1_wa_sales">Overview!$H$75</definedName>
    <definedName name="y1_wa_yield_crop1">Overview!$H$71</definedName>
    <definedName name="y1_wa_yield_crop2">Overview!$H$72</definedName>
    <definedName name="y1_wa_yield_crop3">Overview!$H$73</definedName>
    <definedName name="y1_wa_yield_crop4">Overview!$H$74</definedName>
    <definedName name="y2_wa_sales">Overview!$I$75</definedName>
    <definedName name="y2_wa_yield_crop1">Overview!$I$71</definedName>
    <definedName name="y2_wa_yield_crop2">Overview!$I$72</definedName>
    <definedName name="y2_wa_yield_crop3">Overview!$I$73</definedName>
    <definedName name="y2_wa_yield_crop4">Overview!$I$74</definedName>
    <definedName name="y3_wa_sales">Overview!$J$75</definedName>
    <definedName name="y3_wa_yield_crop1">Overview!$J$71</definedName>
    <definedName name="y3_wa_yield_crop2">Overview!$J$72</definedName>
    <definedName name="y3_wa_yield_crop3">Overview!$J$73</definedName>
    <definedName name="y3_wa_yield_crop4">Overview!$J$74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3" i="2" l="1"/>
  <c r="J33" i="2"/>
  <c r="K33" i="2"/>
  <c r="I32" i="2"/>
  <c r="J32" i="2"/>
  <c r="K32" i="2"/>
  <c r="H32" i="2"/>
  <c r="I27" i="2"/>
  <c r="J27" i="2"/>
  <c r="K27" i="2"/>
  <c r="I26" i="2"/>
  <c r="J26" i="2"/>
  <c r="K26" i="2"/>
  <c r="K20" i="2"/>
  <c r="J20" i="2"/>
  <c r="I20" i="2"/>
  <c r="H20" i="2"/>
  <c r="C17" i="2"/>
  <c r="G142" i="2"/>
  <c r="G119" i="2" s="1"/>
  <c r="B132" i="14" l="1"/>
  <c r="C4" i="1"/>
  <c r="I35" i="6" l="1"/>
  <c r="I34" i="11"/>
  <c r="I33" i="11"/>
  <c r="I32" i="11"/>
  <c r="I31" i="11"/>
  <c r="H34" i="11"/>
  <c r="F34" i="11"/>
  <c r="I101" i="2"/>
  <c r="H101" i="2"/>
  <c r="B148" i="14"/>
  <c r="I100" i="2"/>
  <c r="B147" i="14"/>
  <c r="B47" i="2"/>
  <c r="I201" i="6" l="1"/>
  <c r="F142" i="2"/>
  <c r="B146" i="14"/>
  <c r="B145" i="14"/>
  <c r="B144" i="14"/>
  <c r="B143" i="14"/>
  <c r="B142" i="14"/>
  <c r="B141" i="14"/>
  <c r="B140" i="14"/>
  <c r="B139" i="14"/>
  <c r="B138" i="14"/>
  <c r="B137" i="14"/>
  <c r="B136" i="14"/>
  <c r="B135" i="14"/>
  <c r="D34" i="11"/>
  <c r="D18" i="11"/>
  <c r="F33" i="11"/>
  <c r="G143" i="2" l="1"/>
  <c r="F143" i="2"/>
  <c r="F117" i="2"/>
  <c r="B18" i="2"/>
  <c r="F97" i="6"/>
  <c r="B20" i="2" s="1"/>
  <c r="H26" i="2" s="1"/>
  <c r="C25" i="11"/>
  <c r="K66" i="6"/>
  <c r="K68" i="6"/>
  <c r="K71" i="6"/>
  <c r="K40" i="6"/>
  <c r="K39" i="6"/>
  <c r="K37" i="6"/>
  <c r="K36" i="6"/>
  <c r="K9" i="6"/>
  <c r="K10" i="6"/>
  <c r="K11" i="6"/>
  <c r="K13" i="6"/>
  <c r="K14" i="6"/>
  <c r="K15" i="6"/>
  <c r="F119" i="2" l="1"/>
  <c r="C20" i="2"/>
  <c r="H27" i="2" s="1"/>
  <c r="B134" i="14"/>
  <c r="B171" i="6"/>
  <c r="B170" i="6"/>
  <c r="S168" i="6"/>
  <c r="J168" i="6"/>
  <c r="K168" i="6"/>
  <c r="L168" i="6"/>
  <c r="M168" i="6"/>
  <c r="N168" i="6"/>
  <c r="O168" i="6"/>
  <c r="E168" i="6"/>
  <c r="G168" i="6"/>
  <c r="H168" i="6"/>
  <c r="D168" i="6"/>
  <c r="C23" i="2" l="1"/>
  <c r="F25" i="11"/>
  <c r="B12" i="11"/>
  <c r="B65" i="11"/>
  <c r="B64" i="11"/>
  <c r="B63" i="11"/>
  <c r="B62" i="11"/>
  <c r="B61" i="11"/>
  <c r="B60" i="11" s="1"/>
  <c r="B133" i="14" l="1"/>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8" i="11"/>
  <c r="H49" i="11"/>
  <c r="H50" i="11"/>
  <c r="H51" i="11"/>
  <c r="H52" i="11"/>
  <c r="H53" i="11"/>
  <c r="H54" i="11"/>
  <c r="H55" i="11"/>
  <c r="H56" i="11"/>
  <c r="H57" i="11"/>
  <c r="H47" i="11"/>
  <c r="K49" i="11" a="1"/>
  <c r="K49" i="11" s="1"/>
  <c r="G52" i="11" s="1"/>
  <c r="K48" i="11" a="1"/>
  <c r="K48" i="11" s="1"/>
  <c r="F53" i="11" s="1"/>
  <c r="K47" i="11" a="1"/>
  <c r="K47" i="11" s="1"/>
  <c r="D49" i="11" s="1"/>
  <c r="K46" i="11" a="1"/>
  <c r="K46" i="11" s="1"/>
  <c r="E48" i="11" s="1"/>
  <c r="B80" i="11"/>
  <c r="B13" i="11"/>
  <c r="F27" i="11"/>
  <c r="F28" i="11"/>
  <c r="F29" i="11"/>
  <c r="F30" i="11"/>
  <c r="F31" i="11"/>
  <c r="F32" i="11"/>
  <c r="F26" i="11"/>
  <c r="F24" i="11"/>
  <c r="E47" i="11" l="1"/>
  <c r="C13" i="11"/>
  <c r="B68" i="10"/>
  <c r="B69" i="10" s="1"/>
  <c r="D68" i="10"/>
  <c r="D69" i="10" s="1"/>
  <c r="H71" i="10"/>
  <c r="H72" i="10" s="1"/>
  <c r="H73" i="10" s="1"/>
  <c r="C68" i="10"/>
  <c r="C69" i="10" s="1"/>
  <c r="G68" i="10"/>
  <c r="G69" i="10" s="1"/>
  <c r="I68" i="10"/>
  <c r="I69" i="10" s="1"/>
  <c r="D54" i="11"/>
  <c r="D48" i="11"/>
  <c r="E53" i="11"/>
  <c r="F47" i="11"/>
  <c r="F52" i="11"/>
  <c r="C39" i="11" s="1"/>
  <c r="G57" i="11"/>
  <c r="G51" i="11"/>
  <c r="G49" i="11"/>
  <c r="D53" i="11"/>
  <c r="E52" i="11"/>
  <c r="F57" i="11"/>
  <c r="F51" i="11"/>
  <c r="G56" i="11"/>
  <c r="G50" i="11"/>
  <c r="D47" i="11"/>
  <c r="D52" i="11"/>
  <c r="E57" i="11"/>
  <c r="E51" i="11"/>
  <c r="F56" i="11"/>
  <c r="F50" i="11"/>
  <c r="G55" i="11"/>
  <c r="D57" i="11"/>
  <c r="D51" i="11"/>
  <c r="E56" i="11"/>
  <c r="E50" i="11"/>
  <c r="F55" i="11"/>
  <c r="F49" i="11"/>
  <c r="G54" i="11"/>
  <c r="G48" i="11"/>
  <c r="D56" i="11"/>
  <c r="D50" i="11"/>
  <c r="E55" i="11"/>
  <c r="E49" i="11"/>
  <c r="F54" i="11"/>
  <c r="F48" i="11"/>
  <c r="G53" i="11"/>
  <c r="D55" i="11"/>
  <c r="E54" i="11"/>
  <c r="G47" i="11"/>
  <c r="D39" i="11" l="1"/>
  <c r="D24" i="11" s="1"/>
  <c r="D35" i="11" s="1"/>
  <c r="B24" i="14" a="1"/>
  <c r="B24" i="14" s="1"/>
  <c r="E39" i="11" l="1"/>
  <c r="B130" i="14"/>
  <c r="B129" i="14"/>
  <c r="B119" i="14" l="1"/>
  <c r="B125" i="14"/>
  <c r="B128" i="14"/>
  <c r="B127" i="14"/>
  <c r="B126" i="14"/>
  <c r="B124" i="14"/>
  <c r="B123" i="14"/>
  <c r="B122" i="14"/>
  <c r="B121" i="14"/>
  <c r="B120" i="14"/>
  <c r="G52" i="2"/>
  <c r="F92" i="2" l="1"/>
  <c r="I119" i="2"/>
  <c r="J119" i="2" s="1"/>
  <c r="H119" i="2"/>
  <c r="K119" i="2" l="1"/>
  <c r="L119" i="2" s="1"/>
  <c r="M119" i="2" s="1"/>
  <c r="N119" i="2" s="1"/>
  <c r="O119" i="2" s="1"/>
  <c r="P119" i="2" s="1"/>
  <c r="Q119" i="2" s="1"/>
  <c r="R119" i="2" s="1"/>
  <c r="S119" i="2" s="1"/>
  <c r="T119" i="2" s="1"/>
  <c r="U119" i="2" s="1"/>
  <c r="V119" i="2" s="1"/>
  <c r="J120" i="2"/>
  <c r="J87" i="2" s="1"/>
  <c r="B10" i="14"/>
  <c r="B96" i="14"/>
  <c r="H107" i="2" l="1"/>
  <c r="B113" i="14"/>
  <c r="B112" i="14"/>
  <c r="I107" i="2" l="1"/>
  <c r="J107" i="2" s="1"/>
  <c r="F107"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Q156" i="2" l="1"/>
  <c r="A39" i="2" l="1"/>
  <c r="H142" i="2"/>
  <c r="I142" i="2" s="1"/>
  <c r="J142" i="2" l="1"/>
  <c r="K142" i="2" l="1"/>
  <c r="L142" i="2" l="1"/>
  <c r="M142" i="2" l="1"/>
  <c r="N142" i="2" l="1"/>
  <c r="O142" i="2" l="1"/>
  <c r="P142" i="2" l="1"/>
  <c r="Q142" i="2" l="1"/>
  <c r="R142" i="2" l="1"/>
  <c r="S142" i="2" l="1"/>
  <c r="T142" i="2" l="1"/>
  <c r="C29" i="1" l="1"/>
  <c r="E97" i="6"/>
  <c r="B39" i="2" s="1"/>
  <c r="A119" i="3"/>
  <c r="A120" i="3"/>
  <c r="A121" i="3"/>
  <c r="A122"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36" i="3"/>
  <c r="G51" i="2" l="1"/>
  <c r="I38" i="6" l="1"/>
  <c r="I39" i="6"/>
  <c r="I13" i="6"/>
  <c r="I11" i="6"/>
  <c r="I10" i="6"/>
  <c r="C67" i="11" l="1"/>
  <c r="C66" i="11"/>
  <c r="C65" i="11"/>
  <c r="C64" i="11"/>
  <c r="C63" i="11"/>
  <c r="C62" i="11"/>
  <c r="C61" i="11"/>
  <c r="I40" i="6"/>
  <c r="C60" i="11" l="1"/>
  <c r="K25" i="6"/>
  <c r="I38" i="2" l="1"/>
  <c r="J38" i="2"/>
  <c r="K38" i="2"/>
  <c r="H38" i="2"/>
  <c r="I37" i="2"/>
  <c r="J37" i="2"/>
  <c r="K37" i="2"/>
  <c r="H37" i="2"/>
  <c r="H36" i="2"/>
  <c r="I36" i="2"/>
  <c r="J36" i="2"/>
  <c r="K36" i="2"/>
  <c r="I35" i="2"/>
  <c r="J35" i="2"/>
  <c r="K35" i="2"/>
  <c r="H35" i="2"/>
  <c r="H138" i="2"/>
  <c r="I138" i="2" s="1"/>
  <c r="J138" i="2" s="1"/>
  <c r="K138" i="2" s="1"/>
  <c r="L138" i="2" s="1"/>
  <c r="M138" i="2" s="1"/>
  <c r="N138" i="2" s="1"/>
  <c r="O138" i="2" s="1"/>
  <c r="P138" i="2" s="1"/>
  <c r="Q138" i="2" s="1"/>
  <c r="R138" i="2" s="1"/>
  <c r="S138" i="2" s="1"/>
  <c r="T138" i="2" s="1"/>
  <c r="C128" i="2"/>
  <c r="I128" i="2" s="1"/>
  <c r="J128" i="2" s="1"/>
  <c r="K128" i="2" s="1"/>
  <c r="L128" i="2" s="1"/>
  <c r="M128" i="2" s="1"/>
  <c r="N128" i="2" s="1"/>
  <c r="O128" i="2" s="1"/>
  <c r="P128" i="2" s="1"/>
  <c r="Q128" i="2" s="1"/>
  <c r="R128" i="2" s="1"/>
  <c r="S128" i="2" s="1"/>
  <c r="T128" i="2" s="1"/>
  <c r="U128" i="2" s="1"/>
  <c r="V128" i="2" s="1"/>
  <c r="C38" i="2"/>
  <c r="H128" i="2" l="1"/>
  <c r="I39" i="2"/>
  <c r="J39" i="2"/>
  <c r="K39" i="2"/>
  <c r="H39" i="2"/>
  <c r="K19" i="2"/>
  <c r="J19" i="2"/>
  <c r="I19" i="2"/>
  <c r="H19" i="2"/>
  <c r="L17" i="2"/>
  <c r="L19" i="2" l="1"/>
  <c r="F91" i="2" l="1"/>
  <c r="H91" i="2" s="1"/>
  <c r="G50" i="2"/>
  <c r="I91" i="2" s="1"/>
  <c r="G25" i="11"/>
  <c r="H25" i="11" s="1"/>
  <c r="J101" i="2"/>
  <c r="K101" i="2" s="1"/>
  <c r="L101" i="2" s="1"/>
  <c r="M101" i="2" s="1"/>
  <c r="N101" i="2" s="1"/>
  <c r="O101" i="2" s="1"/>
  <c r="P101" i="2" s="1"/>
  <c r="Q101" i="2" s="1"/>
  <c r="R101" i="2" s="1"/>
  <c r="S101" i="2" s="1"/>
  <c r="T101" i="2" s="1"/>
  <c r="U101" i="2" s="1"/>
  <c r="V101" i="2" s="1"/>
  <c r="H82" i="2"/>
  <c r="G118" i="2"/>
  <c r="G117" i="2"/>
  <c r="F118" i="2"/>
  <c r="C123" i="2"/>
  <c r="H98" i="2"/>
  <c r="G79" i="2"/>
  <c r="I79" i="2" s="1"/>
  <c r="G82" i="2"/>
  <c r="I82" i="2" s="1"/>
  <c r="G81" i="2"/>
  <c r="I81" i="2" s="1"/>
  <c r="J81" i="2" s="1"/>
  <c r="K81" i="2" s="1"/>
  <c r="L81" i="2" s="1"/>
  <c r="M81" i="2" s="1"/>
  <c r="N81" i="2" s="1"/>
  <c r="O81" i="2" s="1"/>
  <c r="P81" i="2" s="1"/>
  <c r="Q81" i="2" s="1"/>
  <c r="R81" i="2" s="1"/>
  <c r="S81" i="2" s="1"/>
  <c r="T81" i="2" s="1"/>
  <c r="U81" i="2" s="1"/>
  <c r="V81" i="2" s="1"/>
  <c r="G80" i="2"/>
  <c r="I80" i="2" s="1"/>
  <c r="H80" i="2"/>
  <c r="K67" i="6"/>
  <c r="G91" i="2" l="1"/>
  <c r="J91" i="2"/>
  <c r="J80" i="2"/>
  <c r="I98" i="2"/>
  <c r="G98" i="2" s="1"/>
  <c r="B80" i="14" s="1"/>
  <c r="D97" i="6"/>
  <c r="K80" i="2" l="1"/>
  <c r="G55"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L55" i="6"/>
  <c r="M55" i="6"/>
  <c r="J55" i="6"/>
  <c r="M56" i="6"/>
  <c r="L56" i="6"/>
  <c r="J56" i="6"/>
  <c r="M57" i="6"/>
  <c r="L57" i="6"/>
  <c r="J57" i="6"/>
  <c r="L58" i="6"/>
  <c r="M58" i="6"/>
  <c r="J58" i="6"/>
  <c r="N59" i="6"/>
  <c r="M59" i="6"/>
  <c r="L59" i="6"/>
  <c r="J59" i="6"/>
  <c r="I59" i="6" s="1"/>
  <c r="N60" i="6"/>
  <c r="M60" i="6"/>
  <c r="L60" i="6"/>
  <c r="M61" i="6"/>
  <c r="N61" i="6"/>
  <c r="L61" i="6"/>
  <c r="N62" i="6"/>
  <c r="M62" i="6"/>
  <c r="L62" i="6"/>
  <c r="J62" i="6"/>
  <c r="J61" i="6"/>
  <c r="J60" i="6"/>
  <c r="J63" i="6"/>
  <c r="L63" i="6"/>
  <c r="M63" i="6"/>
  <c r="N63" i="6"/>
  <c r="N64" i="6"/>
  <c r="M64" i="6"/>
  <c r="L64" i="6"/>
  <c r="J64" i="6"/>
  <c r="N65" i="6"/>
  <c r="L65" i="6"/>
  <c r="M65" i="6"/>
  <c r="J65" i="6"/>
  <c r="N66" i="6"/>
  <c r="M66" i="6"/>
  <c r="L66" i="6"/>
  <c r="J66" i="6"/>
  <c r="N71" i="6"/>
  <c r="M71" i="6"/>
  <c r="L71" i="6"/>
  <c r="J71" i="6"/>
  <c r="O72" i="6"/>
  <c r="I72" i="6" s="1"/>
  <c r="N73" i="6"/>
  <c r="M73" i="6"/>
  <c r="L73" i="6"/>
  <c r="J73" i="6"/>
  <c r="O74" i="6"/>
  <c r="I74" i="6" s="1"/>
  <c r="O75" i="6"/>
  <c r="I75" i="6" s="1"/>
  <c r="N76" i="6"/>
  <c r="M76" i="6"/>
  <c r="L76" i="6"/>
  <c r="J76" i="6"/>
  <c r="N78" i="6"/>
  <c r="M78" i="6"/>
  <c r="L78" i="6"/>
  <c r="J78" i="6"/>
  <c r="L79" i="6"/>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I71" i="6" l="1"/>
  <c r="I54" i="6"/>
  <c r="L80" i="2"/>
  <c r="I64" i="6"/>
  <c r="I79" i="6"/>
  <c r="I60" i="6"/>
  <c r="I58" i="6"/>
  <c r="I55" i="6"/>
  <c r="I22" i="6"/>
  <c r="I66" i="6"/>
  <c r="G56" i="2"/>
  <c r="G57" i="2" s="1"/>
  <c r="I80" i="6"/>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L18" i="6"/>
  <c r="N18" i="6"/>
  <c r="M18" i="6"/>
  <c r="J18" i="6"/>
  <c r="L17" i="6"/>
  <c r="N17" i="6"/>
  <c r="M17" i="6"/>
  <c r="M16" i="6"/>
  <c r="N16" i="6"/>
  <c r="L16" i="6"/>
  <c r="L15" i="6"/>
  <c r="N15" i="6"/>
  <c r="M15" i="6"/>
  <c r="J15" i="6"/>
  <c r="N12" i="6"/>
  <c r="M12" i="6"/>
  <c r="J12" i="6"/>
  <c r="L12" i="6"/>
  <c r="L14" i="6"/>
  <c r="N14" i="6"/>
  <c r="M14" i="6"/>
  <c r="J14" i="6"/>
  <c r="M80" i="2" l="1"/>
  <c r="I19" i="6"/>
  <c r="I18" i="6"/>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N80" i="2" l="1"/>
  <c r="I36" i="6"/>
  <c r="I8" i="6"/>
  <c r="I41" i="6"/>
  <c r="I9" i="6"/>
  <c r="O80" i="2" l="1"/>
  <c r="C20" i="11"/>
  <c r="C33" i="11"/>
  <c r="C35" i="11" s="1"/>
  <c r="C18" i="11"/>
  <c r="P80" i="2" l="1"/>
  <c r="D33" i="11"/>
  <c r="D32" i="11"/>
  <c r="B117" i="14" s="1"/>
  <c r="C18" i="2"/>
  <c r="G54" i="2"/>
  <c r="Q80" i="2" l="1"/>
  <c r="D60" i="11"/>
  <c r="D62" i="11" s="1"/>
  <c r="I25" i="11"/>
  <c r="I20" i="11"/>
  <c r="R80" i="2" l="1"/>
  <c r="I19" i="11"/>
  <c r="D21" i="11"/>
  <c r="D38" i="11" s="1"/>
  <c r="B116" i="14"/>
  <c r="D65" i="11"/>
  <c r="D67" i="11"/>
  <c r="D66" i="11"/>
  <c r="D63" i="11"/>
  <c r="D64" i="11"/>
  <c r="D61" i="11"/>
  <c r="H28" i="11"/>
  <c r="I28" i="11" s="1"/>
  <c r="H26" i="11"/>
  <c r="I26" i="11" s="1"/>
  <c r="H24" i="11"/>
  <c r="H18" i="11"/>
  <c r="I18" i="11" s="1"/>
  <c r="H41" i="2"/>
  <c r="E34" i="11" l="1"/>
  <c r="E35" i="11"/>
  <c r="S80" i="2"/>
  <c r="H31" i="2"/>
  <c r="G71" i="2"/>
  <c r="H45" i="2" s="1"/>
  <c r="I71" i="2"/>
  <c r="I29" i="2"/>
  <c r="K29" i="2"/>
  <c r="H29" i="2"/>
  <c r="H17" i="11"/>
  <c r="I17" i="11" s="1"/>
  <c r="H16" i="11"/>
  <c r="H27" i="11"/>
  <c r="I27" i="11" s="1"/>
  <c r="H29" i="11"/>
  <c r="H30" i="11"/>
  <c r="I30" i="11" s="1"/>
  <c r="H31" i="11"/>
  <c r="H32" i="11"/>
  <c r="H33" i="11"/>
  <c r="T80" i="2" l="1"/>
  <c r="I29" i="11"/>
  <c r="J29" i="2"/>
  <c r="J41" i="2"/>
  <c r="H28" i="2"/>
  <c r="I41" i="2"/>
  <c r="K41" i="2"/>
  <c r="L27" i="2"/>
  <c r="F108" i="2"/>
  <c r="H108" i="2" s="1"/>
  <c r="H134" i="2"/>
  <c r="I134" i="2" s="1"/>
  <c r="J134" i="2" s="1"/>
  <c r="K134" i="2" s="1"/>
  <c r="L134" i="2" s="1"/>
  <c r="M134" i="2" s="1"/>
  <c r="N134" i="2" s="1"/>
  <c r="O134" i="2" s="1"/>
  <c r="P134" i="2" s="1"/>
  <c r="Q134" i="2" s="1"/>
  <c r="R134" i="2" s="1"/>
  <c r="S134" i="2" s="1"/>
  <c r="T134" i="2" s="1"/>
  <c r="H135" i="2"/>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9" i="2"/>
  <c r="I139" i="2" s="1"/>
  <c r="J139" i="2" s="1"/>
  <c r="K139" i="2" s="1"/>
  <c r="L139" i="2" s="1"/>
  <c r="M139" i="2" s="1"/>
  <c r="N139" i="2" s="1"/>
  <c r="O139" i="2" s="1"/>
  <c r="P139" i="2" s="1"/>
  <c r="Q139" i="2" s="1"/>
  <c r="R139" i="2" s="1"/>
  <c r="S139" i="2" s="1"/>
  <c r="T139" i="2" s="1"/>
  <c r="H140" i="2"/>
  <c r="I140" i="2" s="1"/>
  <c r="J140" i="2" s="1"/>
  <c r="K140" i="2" s="1"/>
  <c r="L140" i="2" s="1"/>
  <c r="M140" i="2" s="1"/>
  <c r="N140" i="2" s="1"/>
  <c r="O140" i="2" s="1"/>
  <c r="P140" i="2" s="1"/>
  <c r="Q140" i="2" s="1"/>
  <c r="R140" i="2" s="1"/>
  <c r="S140" i="2" s="1"/>
  <c r="T140" i="2" s="1"/>
  <c r="H141" i="2"/>
  <c r="I141" i="2" s="1"/>
  <c r="J141" i="2" s="1"/>
  <c r="K141" i="2" s="1"/>
  <c r="L141" i="2" s="1"/>
  <c r="M141" i="2" s="1"/>
  <c r="N141" i="2" s="1"/>
  <c r="O141" i="2" s="1"/>
  <c r="P141" i="2" s="1"/>
  <c r="Q141" i="2" s="1"/>
  <c r="R141" i="2" s="1"/>
  <c r="S141" i="2" s="1"/>
  <c r="T141" i="2" s="1"/>
  <c r="H133" i="2"/>
  <c r="C126"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U80" i="2" l="1"/>
  <c r="H143" i="2"/>
  <c r="T13" i="10"/>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5" i="2"/>
  <c r="K31" i="2"/>
  <c r="M74" i="2"/>
  <c r="Q74" i="2"/>
  <c r="U74" i="2"/>
  <c r="N74" i="2"/>
  <c r="R74" i="2"/>
  <c r="V74" i="2"/>
  <c r="J74" i="2"/>
  <c r="K74" i="2"/>
  <c r="O74" i="2"/>
  <c r="S74" i="2"/>
  <c r="G74" i="2"/>
  <c r="K45" i="2" s="1"/>
  <c r="I74" i="2"/>
  <c r="L74" i="2"/>
  <c r="P74" i="2"/>
  <c r="T74" i="2"/>
  <c r="L71" i="2"/>
  <c r="P71" i="2"/>
  <c r="T71" i="2"/>
  <c r="M71" i="2"/>
  <c r="Q71" i="2"/>
  <c r="U71" i="2"/>
  <c r="R71" i="2"/>
  <c r="V71" i="2"/>
  <c r="N71" i="2"/>
  <c r="K71" i="2"/>
  <c r="O71" i="2"/>
  <c r="S71" i="2"/>
  <c r="J71" i="2"/>
  <c r="L41" i="2"/>
  <c r="I31" i="2"/>
  <c r="L72" i="2"/>
  <c r="P72" i="2"/>
  <c r="T72" i="2"/>
  <c r="M72" i="2"/>
  <c r="Q72" i="2"/>
  <c r="U72" i="2"/>
  <c r="G72" i="2"/>
  <c r="I45" i="2" s="1"/>
  <c r="I72" i="2"/>
  <c r="N72" i="2"/>
  <c r="R72" i="2"/>
  <c r="V72" i="2"/>
  <c r="K72" i="2"/>
  <c r="O72" i="2"/>
  <c r="S72" i="2"/>
  <c r="J72" i="2"/>
  <c r="J31" i="2"/>
  <c r="L73" i="2"/>
  <c r="P73" i="2"/>
  <c r="T73" i="2"/>
  <c r="M73" i="2"/>
  <c r="Q73" i="2"/>
  <c r="U73" i="2"/>
  <c r="J73" i="2"/>
  <c r="N73" i="2"/>
  <c r="R73" i="2"/>
  <c r="V73" i="2"/>
  <c r="K73" i="2"/>
  <c r="O73" i="2"/>
  <c r="S73" i="2"/>
  <c r="G73" i="2"/>
  <c r="J45" i="2" s="1"/>
  <c r="I73" i="2"/>
  <c r="I133" i="2"/>
  <c r="H33" i="2"/>
  <c r="J28" i="2"/>
  <c r="I28" i="2"/>
  <c r="K28" i="2"/>
  <c r="K40" i="2"/>
  <c r="I40" i="2"/>
  <c r="J40" i="2"/>
  <c r="H40" i="2"/>
  <c r="L26" i="2"/>
  <c r="L29" i="2"/>
  <c r="D16" i="1"/>
  <c r="G108" i="2"/>
  <c r="C129" i="2"/>
  <c r="H129" i="2" s="1"/>
  <c r="C127" i="2"/>
  <c r="H126" i="2"/>
  <c r="C125" i="2"/>
  <c r="H125" i="2" s="1"/>
  <c r="C124" i="2"/>
  <c r="I124" i="2" s="1"/>
  <c r="J124" i="2" s="1"/>
  <c r="K124" i="2" s="1"/>
  <c r="L124" i="2" s="1"/>
  <c r="M124" i="2" s="1"/>
  <c r="N124" i="2" s="1"/>
  <c r="O124" i="2" s="1"/>
  <c r="P124" i="2" s="1"/>
  <c r="Q124" i="2" s="1"/>
  <c r="R124" i="2" s="1"/>
  <c r="S124" i="2" s="1"/>
  <c r="T124" i="2" s="1"/>
  <c r="U124" i="2" s="1"/>
  <c r="V124" i="2" s="1"/>
  <c r="H123" i="2"/>
  <c r="C118" i="2"/>
  <c r="C117" i="2"/>
  <c r="H117" i="2" s="1"/>
  <c r="H92" i="2"/>
  <c r="I92" i="2" s="1"/>
  <c r="J82" i="2"/>
  <c r="H81" i="2"/>
  <c r="H79" i="2"/>
  <c r="J79" i="2" s="1"/>
  <c r="K79" i="2" s="1"/>
  <c r="L79" i="2" s="1"/>
  <c r="M79" i="2" s="1"/>
  <c r="N79" i="2" s="1"/>
  <c r="O79" i="2" s="1"/>
  <c r="P79" i="2" s="1"/>
  <c r="Q79" i="2" s="1"/>
  <c r="R79" i="2" s="1"/>
  <c r="S79" i="2" s="1"/>
  <c r="T79" i="2" s="1"/>
  <c r="U79" i="2" s="1"/>
  <c r="V79" i="2" s="1"/>
  <c r="G102" i="2" l="1"/>
  <c r="I89" i="2"/>
  <c r="G89" i="2" s="1"/>
  <c r="L33" i="2"/>
  <c r="G88" i="2"/>
  <c r="G49" i="2"/>
  <c r="B81" i="14"/>
  <c r="V80" i="2"/>
  <c r="F71" i="2"/>
  <c r="H44" i="2" s="1"/>
  <c r="H30" i="2"/>
  <c r="J133" i="2"/>
  <c r="I143" i="2"/>
  <c r="C30" i="1"/>
  <c r="O89" i="2"/>
  <c r="G75" i="2"/>
  <c r="C28" i="2" s="1"/>
  <c r="R89" i="2"/>
  <c r="L89" i="2"/>
  <c r="K89" i="2"/>
  <c r="U89" i="2"/>
  <c r="N89" i="2"/>
  <c r="Q89" i="2"/>
  <c r="M89" i="2"/>
  <c r="J89" i="2"/>
  <c r="T89" i="2"/>
  <c r="S89" i="2"/>
  <c r="V89" i="2"/>
  <c r="P89" i="2"/>
  <c r="J92" i="2"/>
  <c r="K92" i="2" s="1"/>
  <c r="L92" i="2" s="1"/>
  <c r="M92" i="2" s="1"/>
  <c r="N92" i="2" s="1"/>
  <c r="O92" i="2" s="1"/>
  <c r="P92" i="2" s="1"/>
  <c r="Q92" i="2" s="1"/>
  <c r="R92" i="2" s="1"/>
  <c r="S92" i="2" s="1"/>
  <c r="T92" i="2" s="1"/>
  <c r="U92" i="2" s="1"/>
  <c r="V92" i="2" s="1"/>
  <c r="S5" i="10"/>
  <c r="AC5" i="10"/>
  <c r="I5" i="10"/>
  <c r="J14" i="10"/>
  <c r="I49" i="2"/>
  <c r="K49" i="2" s="1"/>
  <c r="J135" i="2"/>
  <c r="R75" i="2"/>
  <c r="T75" i="2"/>
  <c r="U75" i="2"/>
  <c r="S75" i="2"/>
  <c r="P75" i="2"/>
  <c r="L75" i="2"/>
  <c r="O75" i="2"/>
  <c r="N75" i="2"/>
  <c r="M75" i="2"/>
  <c r="I75" i="2"/>
  <c r="Q75" i="2"/>
  <c r="J75" i="2"/>
  <c r="K75" i="2"/>
  <c r="I50" i="2"/>
  <c r="K50" i="2" s="1"/>
  <c r="C27" i="2"/>
  <c r="K30" i="2"/>
  <c r="K42" i="2" s="1"/>
  <c r="K43" i="2" s="1"/>
  <c r="F74" i="2"/>
  <c r="V75" i="2"/>
  <c r="J30" i="2"/>
  <c r="J42" i="2" s="1"/>
  <c r="J43" i="2" s="1"/>
  <c r="F73" i="2"/>
  <c r="I30" i="2"/>
  <c r="I42" i="2" s="1"/>
  <c r="I43" i="2" s="1"/>
  <c r="F72" i="2"/>
  <c r="K133" i="2"/>
  <c r="L31" i="2"/>
  <c r="G58" i="2"/>
  <c r="I58" i="2" s="1"/>
  <c r="K58" i="2" s="1"/>
  <c r="H127" i="2"/>
  <c r="I127" i="2"/>
  <c r="J127" i="2" s="1"/>
  <c r="K127" i="2" s="1"/>
  <c r="L127" i="2" s="1"/>
  <c r="M127" i="2" s="1"/>
  <c r="N127" i="2" s="1"/>
  <c r="O127" i="2" s="1"/>
  <c r="P127" i="2" s="1"/>
  <c r="Q127" i="2" s="1"/>
  <c r="R127" i="2" s="1"/>
  <c r="S127" i="2" s="1"/>
  <c r="T127" i="2" s="1"/>
  <c r="U127" i="2" s="1"/>
  <c r="V127" i="2" s="1"/>
  <c r="L28" i="2"/>
  <c r="K107" i="2"/>
  <c r="L107" i="2" s="1"/>
  <c r="M107" i="2" s="1"/>
  <c r="N107" i="2" s="1"/>
  <c r="G107" i="2"/>
  <c r="E16" i="1"/>
  <c r="I24" i="11"/>
  <c r="I35" i="11" s="1"/>
  <c r="I108" i="2"/>
  <c r="J108" i="2" s="1"/>
  <c r="D17" i="1"/>
  <c r="J98" i="2"/>
  <c r="K82" i="2"/>
  <c r="L82" i="2" s="1"/>
  <c r="M82" i="2" s="1"/>
  <c r="N82" i="2" s="1"/>
  <c r="O82" i="2" s="1"/>
  <c r="P82" i="2" s="1"/>
  <c r="Q82" i="2" s="1"/>
  <c r="R82" i="2" s="1"/>
  <c r="S82" i="2" s="1"/>
  <c r="T82" i="2" s="1"/>
  <c r="U82" i="2" s="1"/>
  <c r="V82" i="2" s="1"/>
  <c r="I118" i="2"/>
  <c r="H118" i="2"/>
  <c r="H120" i="2" s="1"/>
  <c r="H87" i="2" s="1"/>
  <c r="I117" i="2"/>
  <c r="J117" i="2" s="1"/>
  <c r="I125" i="2"/>
  <c r="J125" i="2" s="1"/>
  <c r="K125" i="2" s="1"/>
  <c r="L125" i="2" s="1"/>
  <c r="M125" i="2" s="1"/>
  <c r="N125" i="2" s="1"/>
  <c r="O125" i="2" s="1"/>
  <c r="P125" i="2" s="1"/>
  <c r="Q125" i="2" s="1"/>
  <c r="R125" i="2" s="1"/>
  <c r="S125" i="2" s="1"/>
  <c r="T125" i="2" s="1"/>
  <c r="U125" i="2" s="1"/>
  <c r="V125" i="2" s="1"/>
  <c r="I126" i="2"/>
  <c r="J126" i="2" s="1"/>
  <c r="K126" i="2" s="1"/>
  <c r="L126" i="2" s="1"/>
  <c r="M126" i="2" s="1"/>
  <c r="N126" i="2" s="1"/>
  <c r="O126" i="2" s="1"/>
  <c r="P126" i="2" s="1"/>
  <c r="Q126" i="2" s="1"/>
  <c r="R126" i="2" s="1"/>
  <c r="S126" i="2" s="1"/>
  <c r="T126" i="2" s="1"/>
  <c r="U126" i="2" s="1"/>
  <c r="V126" i="2" s="1"/>
  <c r="I129" i="2"/>
  <c r="J129" i="2" s="1"/>
  <c r="K129" i="2" s="1"/>
  <c r="L129" i="2" s="1"/>
  <c r="M129" i="2" s="1"/>
  <c r="N129" i="2" s="1"/>
  <c r="O129" i="2" s="1"/>
  <c r="P129" i="2" s="1"/>
  <c r="Q129" i="2" s="1"/>
  <c r="R129" i="2" s="1"/>
  <c r="S129" i="2" s="1"/>
  <c r="T129" i="2" s="1"/>
  <c r="U129" i="2" s="1"/>
  <c r="V129" i="2" s="1"/>
  <c r="I123" i="2"/>
  <c r="J123" i="2" s="1"/>
  <c r="H124" i="2"/>
  <c r="F88" i="2" l="1"/>
  <c r="I102" i="2"/>
  <c r="J102" i="2" s="1"/>
  <c r="K102" i="2" s="1"/>
  <c r="L102" i="2" s="1"/>
  <c r="M102" i="2" s="1"/>
  <c r="N102" i="2" s="1"/>
  <c r="O102" i="2" s="1"/>
  <c r="P102" i="2" s="1"/>
  <c r="Q102" i="2" s="1"/>
  <c r="R102" i="2" s="1"/>
  <c r="S102" i="2" s="1"/>
  <c r="T102" i="2" s="1"/>
  <c r="U102" i="2" s="1"/>
  <c r="V102" i="2" s="1"/>
  <c r="H74" i="2"/>
  <c r="K44" i="2"/>
  <c r="H72" i="2"/>
  <c r="I44" i="2"/>
  <c r="H73" i="2"/>
  <c r="J44" i="2"/>
  <c r="H71" i="2"/>
  <c r="J118" i="2"/>
  <c r="I120" i="2"/>
  <c r="I87" i="2" s="1"/>
  <c r="J143" i="2"/>
  <c r="B27" i="2"/>
  <c r="F75" i="2"/>
  <c r="F89" i="2"/>
  <c r="H89" i="2" s="1"/>
  <c r="G92" i="2"/>
  <c r="H42" i="2"/>
  <c r="H43" i="2" s="1"/>
  <c r="I55" i="2"/>
  <c r="K55" i="2" s="1"/>
  <c r="I57" i="2"/>
  <c r="K57" i="2" s="1"/>
  <c r="B66" i="2"/>
  <c r="I52" i="2"/>
  <c r="K52" i="2" s="1"/>
  <c r="I56" i="2"/>
  <c r="K56" i="2" s="1"/>
  <c r="I54" i="2"/>
  <c r="K54" i="2" s="1"/>
  <c r="I51" i="2"/>
  <c r="K51" i="2" s="1"/>
  <c r="K135" i="2"/>
  <c r="K143" i="2" s="1"/>
  <c r="I53" i="2"/>
  <c r="K53" i="2" s="1"/>
  <c r="G78" i="2"/>
  <c r="G84" i="2" s="1"/>
  <c r="L133" i="2"/>
  <c r="H130" i="2"/>
  <c r="F130" i="2" s="1"/>
  <c r="F100" i="2" s="1"/>
  <c r="L30" i="2"/>
  <c r="I16" i="1"/>
  <c r="G16" i="1"/>
  <c r="H16" i="1"/>
  <c r="F16" i="1"/>
  <c r="F3" i="1"/>
  <c r="F120" i="2"/>
  <c r="F87" i="2" s="1"/>
  <c r="I78" i="2"/>
  <c r="I84" i="2" s="1"/>
  <c r="O107" i="2"/>
  <c r="J16" i="1"/>
  <c r="E17" i="1"/>
  <c r="K123" i="2"/>
  <c r="J130" i="2"/>
  <c r="K117" i="2"/>
  <c r="K98" i="2"/>
  <c r="I130" i="2"/>
  <c r="I99" i="2" s="1"/>
  <c r="F102" i="2" l="1"/>
  <c r="H102" i="2" s="1"/>
  <c r="H75" i="2"/>
  <c r="H78" i="2" s="1"/>
  <c r="H84" i="2" s="1"/>
  <c r="D8" i="1" s="1"/>
  <c r="F90" i="2"/>
  <c r="H90" i="2" s="1"/>
  <c r="I38" i="11"/>
  <c r="I110" i="2" s="1"/>
  <c r="K118" i="2"/>
  <c r="B28" i="2"/>
  <c r="F78" i="2"/>
  <c r="L32" i="2"/>
  <c r="G99" i="2"/>
  <c r="J100" i="2"/>
  <c r="H100" i="2"/>
  <c r="F99" i="2"/>
  <c r="L135" i="2"/>
  <c r="L143" i="2" s="1"/>
  <c r="E8" i="1"/>
  <c r="H99" i="2"/>
  <c r="M133" i="2"/>
  <c r="G130" i="2"/>
  <c r="G120" i="2"/>
  <c r="J78" i="2"/>
  <c r="P107" i="2"/>
  <c r="K16" i="1"/>
  <c r="K108" i="2"/>
  <c r="F17" i="1"/>
  <c r="L98" i="2"/>
  <c r="L123" i="2"/>
  <c r="K130" i="2"/>
  <c r="L117" i="2"/>
  <c r="N133" i="2"/>
  <c r="J84" i="2" l="1"/>
  <c r="F8" i="1" s="1"/>
  <c r="B79" i="14"/>
  <c r="H103" i="2"/>
  <c r="D12" i="1" s="1"/>
  <c r="L118" i="2"/>
  <c r="K120" i="2"/>
  <c r="K87" i="2" s="1"/>
  <c r="G87" i="2"/>
  <c r="H34" i="2" s="1"/>
  <c r="M135" i="2"/>
  <c r="M143" i="2" s="1"/>
  <c r="F103" i="2"/>
  <c r="C12" i="1" s="1"/>
  <c r="K100" i="2"/>
  <c r="L100" i="2" s="1"/>
  <c r="M100" i="2" s="1"/>
  <c r="N100" i="2" s="1"/>
  <c r="O100" i="2" s="1"/>
  <c r="P100" i="2" s="1"/>
  <c r="Q100" i="2" s="1"/>
  <c r="R100" i="2" s="1"/>
  <c r="S100" i="2" s="1"/>
  <c r="T100" i="2" s="1"/>
  <c r="U100" i="2" s="1"/>
  <c r="V100" i="2" s="1"/>
  <c r="G100" i="2"/>
  <c r="G103" i="2" s="1"/>
  <c r="K78" i="2"/>
  <c r="F84" i="2"/>
  <c r="C8" i="1" s="1"/>
  <c r="F93" i="2"/>
  <c r="Q107" i="2"/>
  <c r="L16" i="1"/>
  <c r="L108" i="2"/>
  <c r="G17" i="1"/>
  <c r="J99" i="2"/>
  <c r="J103" i="2" s="1"/>
  <c r="I103" i="2"/>
  <c r="M117" i="2"/>
  <c r="M98" i="2"/>
  <c r="L130" i="2"/>
  <c r="M123" i="2"/>
  <c r="O133" i="2"/>
  <c r="K84" i="2" l="1"/>
  <c r="G8" i="1" s="1"/>
  <c r="M118" i="2"/>
  <c r="L120" i="2"/>
  <c r="L87" i="2" s="1"/>
  <c r="I34" i="2"/>
  <c r="J34" i="2"/>
  <c r="N135" i="2"/>
  <c r="N143" i="2" s="1"/>
  <c r="K34" i="2"/>
  <c r="F95" i="2"/>
  <c r="L78" i="2"/>
  <c r="H88" i="2"/>
  <c r="I88" i="2" s="1"/>
  <c r="R107" i="2"/>
  <c r="M16" i="1"/>
  <c r="M108" i="2"/>
  <c r="H17" i="1"/>
  <c r="N98" i="2"/>
  <c r="K99" i="2"/>
  <c r="F12" i="1"/>
  <c r="M130" i="2"/>
  <c r="N123" i="2"/>
  <c r="N117" i="2"/>
  <c r="P133" i="2"/>
  <c r="E12" i="1"/>
  <c r="G90" i="2" l="1"/>
  <c r="I90" i="2" s="1"/>
  <c r="J90" i="2" s="1"/>
  <c r="K90" i="2" s="1"/>
  <c r="L90" i="2" s="1"/>
  <c r="M90" i="2" s="1"/>
  <c r="N90" i="2" s="1"/>
  <c r="O90" i="2" s="1"/>
  <c r="P90" i="2" s="1"/>
  <c r="Q90" i="2" s="1"/>
  <c r="R90" i="2" s="1"/>
  <c r="S90" i="2" s="1"/>
  <c r="T90" i="2" s="1"/>
  <c r="U90" i="2" s="1"/>
  <c r="V90" i="2" s="1"/>
  <c r="L84" i="2"/>
  <c r="H8" i="1" s="1"/>
  <c r="N118" i="2"/>
  <c r="M120" i="2"/>
  <c r="M87" i="2" s="1"/>
  <c r="O135" i="2"/>
  <c r="O143" i="2" s="1"/>
  <c r="M78" i="2"/>
  <c r="C9" i="1"/>
  <c r="F105" i="2"/>
  <c r="F112" i="2" s="1"/>
  <c r="H93" i="2"/>
  <c r="H95" i="2" s="1"/>
  <c r="S107" i="2"/>
  <c r="N16" i="1"/>
  <c r="N108" i="2"/>
  <c r="I17" i="1"/>
  <c r="O123" i="2"/>
  <c r="N130" i="2"/>
  <c r="O98" i="2"/>
  <c r="O117" i="2"/>
  <c r="L99" i="2"/>
  <c r="K103" i="2"/>
  <c r="G12" i="1" s="1"/>
  <c r="Q133" i="2"/>
  <c r="I93" i="2" l="1"/>
  <c r="M84" i="2"/>
  <c r="I8" i="1" s="1"/>
  <c r="O118" i="2"/>
  <c r="N120" i="2"/>
  <c r="N87" i="2" s="1"/>
  <c r="P135" i="2"/>
  <c r="P143" i="2" s="1"/>
  <c r="N78" i="2"/>
  <c r="D9" i="1"/>
  <c r="H105" i="2"/>
  <c r="D14" i="1" s="1"/>
  <c r="J88" i="2"/>
  <c r="C10" i="1"/>
  <c r="T107" i="2"/>
  <c r="O16" i="1"/>
  <c r="O108" i="2"/>
  <c r="J17" i="1"/>
  <c r="P117" i="2"/>
  <c r="P123" i="2"/>
  <c r="O130" i="2"/>
  <c r="M99" i="2"/>
  <c r="L103" i="2"/>
  <c r="H12" i="1" s="1"/>
  <c r="P98" i="2"/>
  <c r="R133" i="2"/>
  <c r="N84" i="2" l="1"/>
  <c r="J8" i="1" s="1"/>
  <c r="P118" i="2"/>
  <c r="O120" i="2"/>
  <c r="O87" i="2" s="1"/>
  <c r="Q135" i="2"/>
  <c r="Q143" i="2" s="1"/>
  <c r="C28" i="1"/>
  <c r="O78" i="2"/>
  <c r="K88" i="2"/>
  <c r="D10" i="1"/>
  <c r="C14" i="1"/>
  <c r="U107" i="2"/>
  <c r="P16" i="1"/>
  <c r="P108" i="2"/>
  <c r="K17" i="1"/>
  <c r="Q98" i="2"/>
  <c r="N99" i="2"/>
  <c r="M103" i="2"/>
  <c r="I12" i="1" s="1"/>
  <c r="P130" i="2"/>
  <c r="Q123" i="2"/>
  <c r="Q117" i="2"/>
  <c r="S133" i="2"/>
  <c r="O84" i="2" l="1"/>
  <c r="K8" i="1" s="1"/>
  <c r="Q118" i="2"/>
  <c r="P120" i="2"/>
  <c r="P87" i="2" s="1"/>
  <c r="R135" i="2"/>
  <c r="R143" i="2" s="1"/>
  <c r="P78" i="2"/>
  <c r="P84" i="2" s="1"/>
  <c r="H109" i="2"/>
  <c r="L88" i="2"/>
  <c r="V107" i="2"/>
  <c r="R16" i="1" s="1"/>
  <c r="Q16" i="1"/>
  <c r="Q108" i="2"/>
  <c r="L17" i="1"/>
  <c r="Q130" i="2"/>
  <c r="R123" i="2"/>
  <c r="R98" i="2"/>
  <c r="R117" i="2"/>
  <c r="O99" i="2"/>
  <c r="N103" i="2"/>
  <c r="J12" i="1" s="1"/>
  <c r="T133" i="2"/>
  <c r="R118" i="2" l="1"/>
  <c r="Q120" i="2"/>
  <c r="Q87" i="2" s="1"/>
  <c r="S135" i="2"/>
  <c r="S143" i="2" s="1"/>
  <c r="L8" i="1"/>
  <c r="Q78" i="2"/>
  <c r="M88" i="2"/>
  <c r="R108" i="2"/>
  <c r="M17" i="1"/>
  <c r="P99" i="2"/>
  <c r="O103" i="2"/>
  <c r="K12" i="1" s="1"/>
  <c r="S98" i="2"/>
  <c r="R130" i="2"/>
  <c r="S123" i="2"/>
  <c r="S117" i="2"/>
  <c r="Q84" i="2" l="1"/>
  <c r="M8" i="1" s="1"/>
  <c r="S118" i="2"/>
  <c r="R120" i="2"/>
  <c r="R87" i="2" s="1"/>
  <c r="T135" i="2"/>
  <c r="T143" i="2" s="1"/>
  <c r="R78" i="2"/>
  <c r="N88" i="2"/>
  <c r="S108" i="2"/>
  <c r="N17" i="1"/>
  <c r="T117" i="2"/>
  <c r="T98" i="2"/>
  <c r="T123" i="2"/>
  <c r="S130" i="2"/>
  <c r="Q99" i="2"/>
  <c r="P103" i="2"/>
  <c r="L12" i="1" s="1"/>
  <c r="R84" i="2" l="1"/>
  <c r="N8" i="1" s="1"/>
  <c r="T118" i="2"/>
  <c r="S120" i="2"/>
  <c r="S87" i="2" s="1"/>
  <c r="S78" i="2"/>
  <c r="S84" i="2" s="1"/>
  <c r="O88" i="2"/>
  <c r="T108" i="2"/>
  <c r="O17" i="1"/>
  <c r="T130" i="2"/>
  <c r="U123" i="2"/>
  <c r="U117" i="2"/>
  <c r="R99" i="2"/>
  <c r="Q103" i="2"/>
  <c r="M12" i="1" s="1"/>
  <c r="U98" i="2"/>
  <c r="U118" i="2" l="1"/>
  <c r="T120" i="2"/>
  <c r="T87" i="2" s="1"/>
  <c r="O8" i="1"/>
  <c r="T78" i="2"/>
  <c r="P88" i="2"/>
  <c r="U108" i="2"/>
  <c r="P17" i="1"/>
  <c r="V98" i="2"/>
  <c r="V117" i="2"/>
  <c r="V123" i="2"/>
  <c r="V130" i="2" s="1"/>
  <c r="U130" i="2"/>
  <c r="S99" i="2"/>
  <c r="R103" i="2"/>
  <c r="N12" i="1" s="1"/>
  <c r="T84" i="2" l="1"/>
  <c r="P8" i="1" s="1"/>
  <c r="V118" i="2"/>
  <c r="V120" i="2" s="1"/>
  <c r="V87" i="2" s="1"/>
  <c r="U120" i="2"/>
  <c r="U87" i="2" s="1"/>
  <c r="U78" i="2"/>
  <c r="V78" i="2"/>
  <c r="Q88" i="2"/>
  <c r="V108" i="2"/>
  <c r="R17" i="1" s="1"/>
  <c r="Q17" i="1"/>
  <c r="T99" i="2"/>
  <c r="S103" i="2"/>
  <c r="O12" i="1" s="1"/>
  <c r="V84" i="2" l="1"/>
  <c r="R8" i="1" s="1"/>
  <c r="U84" i="2"/>
  <c r="Q8" i="1" s="1"/>
  <c r="R88" i="2"/>
  <c r="U99" i="2"/>
  <c r="T103" i="2"/>
  <c r="P12" i="1" s="1"/>
  <c r="S88" i="2" l="1"/>
  <c r="V99" i="2"/>
  <c r="V103" i="2" s="1"/>
  <c r="R12" i="1" s="1"/>
  <c r="U103" i="2"/>
  <c r="Q12" i="1" s="1"/>
  <c r="T88" i="2" l="1"/>
  <c r="U88" i="2" l="1"/>
  <c r="V88" i="2" l="1"/>
  <c r="I95" i="2" l="1"/>
  <c r="I105" i="2" s="1"/>
  <c r="G93" i="2"/>
  <c r="G95" i="2" s="1"/>
  <c r="K91" i="2"/>
  <c r="G105" i="2" l="1"/>
  <c r="G112" i="2" s="1"/>
  <c r="L91" i="2"/>
  <c r="K93" i="2"/>
  <c r="E10" i="1"/>
  <c r="E9" i="1"/>
  <c r="J93" i="2"/>
  <c r="I109" i="2" l="1"/>
  <c r="E14" i="1"/>
  <c r="J95" i="2"/>
  <c r="F9" i="1"/>
  <c r="K95" i="2"/>
  <c r="G9" i="1"/>
  <c r="L93" i="2"/>
  <c r="M91" i="2"/>
  <c r="H9" i="1" l="1"/>
  <c r="L95" i="2"/>
  <c r="F10" i="1"/>
  <c r="J105" i="2"/>
  <c r="G10" i="1"/>
  <c r="K105" i="2"/>
  <c r="M93" i="2"/>
  <c r="N91" i="2"/>
  <c r="J109" i="2" l="1"/>
  <c r="F14" i="1"/>
  <c r="O91" i="2"/>
  <c r="N93" i="2"/>
  <c r="G14" i="1"/>
  <c r="K109" i="2"/>
  <c r="L105" i="2"/>
  <c r="H10" i="1"/>
  <c r="M95" i="2"/>
  <c r="I9" i="1"/>
  <c r="J9" i="1" l="1"/>
  <c r="N95" i="2"/>
  <c r="H14" i="1"/>
  <c r="L109" i="2"/>
  <c r="P91" i="2"/>
  <c r="O93" i="2"/>
  <c r="M105" i="2"/>
  <c r="I10" i="1"/>
  <c r="K9" i="1" l="1"/>
  <c r="O95" i="2"/>
  <c r="P93" i="2"/>
  <c r="Q91" i="2"/>
  <c r="J10" i="1"/>
  <c r="N105" i="2"/>
  <c r="I14" i="1"/>
  <c r="M109" i="2"/>
  <c r="R91" i="2" l="1"/>
  <c r="Q93" i="2"/>
  <c r="N109" i="2"/>
  <c r="J14" i="1"/>
  <c r="P95" i="2"/>
  <c r="L9" i="1"/>
  <c r="K10" i="1"/>
  <c r="O105" i="2"/>
  <c r="L10" i="1" l="1"/>
  <c r="P105" i="2"/>
  <c r="M9" i="1"/>
  <c r="Q95" i="2"/>
  <c r="K14" i="1"/>
  <c r="O109" i="2"/>
  <c r="S91" i="2"/>
  <c r="R93" i="2"/>
  <c r="P109" i="2" l="1"/>
  <c r="L14" i="1"/>
  <c r="R95" i="2"/>
  <c r="N9" i="1"/>
  <c r="T91" i="2"/>
  <c r="S93" i="2"/>
  <c r="M10" i="1"/>
  <c r="Q105" i="2"/>
  <c r="U91" i="2" l="1"/>
  <c r="T93" i="2"/>
  <c r="Q109" i="2"/>
  <c r="M14" i="1"/>
  <c r="N10" i="1"/>
  <c r="R105" i="2"/>
  <c r="S95" i="2"/>
  <c r="O9" i="1"/>
  <c r="S105" i="2" l="1"/>
  <c r="O10" i="1"/>
  <c r="R109" i="2"/>
  <c r="N14" i="1"/>
  <c r="P9" i="1"/>
  <c r="T95" i="2"/>
  <c r="U93" i="2"/>
  <c r="V91" i="2"/>
  <c r="V93" i="2" s="1"/>
  <c r="T105" i="2" l="1"/>
  <c r="P10" i="1"/>
  <c r="Q9" i="1"/>
  <c r="U95" i="2"/>
  <c r="V95" i="2"/>
  <c r="R9" i="1"/>
  <c r="O14" i="1"/>
  <c r="S109" i="2"/>
  <c r="R10" i="1" l="1"/>
  <c r="V105" i="2"/>
  <c r="U105" i="2"/>
  <c r="Q10" i="1"/>
  <c r="P14" i="1"/>
  <c r="T109" i="2"/>
  <c r="Q14" i="1" l="1"/>
  <c r="U109" i="2"/>
  <c r="V109" i="2"/>
  <c r="R14" i="1"/>
  <c r="E25" i="11" l="1"/>
  <c r="E27" i="11"/>
  <c r="E26" i="11"/>
  <c r="E30" i="11"/>
  <c r="E33" i="11"/>
  <c r="E31" i="11"/>
  <c r="E20" i="11"/>
  <c r="E18" i="11"/>
  <c r="E19" i="11"/>
  <c r="E29" i="11"/>
  <c r="E24" i="11"/>
  <c r="E28" i="11"/>
  <c r="E17" i="11"/>
  <c r="E32" i="11"/>
  <c r="B21" i="11" l="1"/>
  <c r="C21" i="11"/>
  <c r="C38" i="11" s="1"/>
  <c r="B118" i="14"/>
  <c r="E38" i="11" l="1"/>
  <c r="B115" i="14" s="1"/>
  <c r="B114" i="14"/>
  <c r="I16" i="11"/>
  <c r="I21" i="11" s="1"/>
  <c r="E21" i="11"/>
  <c r="E16" i="11"/>
  <c r="E18" i="1" l="1"/>
  <c r="E20" i="1" s="1"/>
  <c r="Q18" i="1"/>
  <c r="Q20" i="1" s="1"/>
  <c r="K18" i="1"/>
  <c r="K20" i="1" s="1"/>
  <c r="L18" i="1"/>
  <c r="L20" i="1" s="1"/>
  <c r="O18" i="1"/>
  <c r="O20" i="1" s="1"/>
  <c r="N18" i="1"/>
  <c r="N20" i="1" s="1"/>
  <c r="T110" i="2"/>
  <c r="T112" i="2" s="1"/>
  <c r="P110" i="2"/>
  <c r="P112" i="2" s="1"/>
  <c r="L110" i="2"/>
  <c r="L112" i="2" s="1"/>
  <c r="J110" i="2"/>
  <c r="J112" i="2" s="1"/>
  <c r="M18" i="1"/>
  <c r="M20" i="1" s="1"/>
  <c r="V110" i="2"/>
  <c r="V112" i="2" s="1"/>
  <c r="M110" i="2"/>
  <c r="M112" i="2" s="1"/>
  <c r="O110" i="2"/>
  <c r="O112" i="2" s="1"/>
  <c r="F18" i="1"/>
  <c r="F20" i="1" s="1"/>
  <c r="H18" i="1"/>
  <c r="H20" i="1" s="1"/>
  <c r="S110" i="2"/>
  <c r="S112" i="2" s="1"/>
  <c r="R18" i="1"/>
  <c r="R20" i="1" s="1"/>
  <c r="H110" i="2"/>
  <c r="F110" i="2" s="1"/>
  <c r="C18" i="1" s="1"/>
  <c r="C20" i="1" s="1"/>
  <c r="P18" i="1"/>
  <c r="P20" i="1" s="1"/>
  <c r="I112" i="2"/>
  <c r="U110" i="2"/>
  <c r="U112" i="2" s="1"/>
  <c r="G18" i="1"/>
  <c r="G20" i="1" s="1"/>
  <c r="N110" i="2"/>
  <c r="N112" i="2" s="1"/>
  <c r="I18" i="1"/>
  <c r="I20" i="1" s="1"/>
  <c r="R110" i="2"/>
  <c r="R112" i="2" s="1"/>
  <c r="Q110" i="2"/>
  <c r="Q112" i="2" s="1"/>
  <c r="J18" i="1"/>
  <c r="J20" i="1" s="1"/>
  <c r="K110" i="2"/>
  <c r="K112" i="2" s="1"/>
  <c r="B67" i="2"/>
  <c r="B68" i="2" s="1"/>
  <c r="D3" i="1"/>
  <c r="H3" i="1" s="1"/>
  <c r="D21" i="1" s="1"/>
  <c r="B65" i="2"/>
  <c r="G110" i="2" l="1"/>
  <c r="H112" i="2"/>
  <c r="D18" i="1"/>
  <c r="I23" i="1"/>
  <c r="O23" i="1"/>
  <c r="P23" i="1"/>
  <c r="L23" i="1"/>
  <c r="Q23" i="1"/>
  <c r="M23" i="1"/>
  <c r="E23" i="1"/>
  <c r="R23" i="1"/>
  <c r="G23" i="1"/>
  <c r="E21" i="1"/>
  <c r="F21" i="1" s="1"/>
  <c r="G21" i="1" s="1"/>
  <c r="H21" i="1" s="1"/>
  <c r="I21" i="1" s="1"/>
  <c r="J21" i="1" s="1"/>
  <c r="K21" i="1" s="1"/>
  <c r="L21" i="1" s="1"/>
  <c r="M21" i="1" s="1"/>
  <c r="N21" i="1" s="1"/>
  <c r="O21" i="1" s="1"/>
  <c r="P21" i="1" s="1"/>
  <c r="Q21" i="1" s="1"/>
  <c r="R21" i="1" s="1"/>
  <c r="N23" i="1"/>
  <c r="K23" i="1"/>
  <c r="H23" i="1"/>
  <c r="F23" i="1"/>
  <c r="J23" i="1"/>
  <c r="C25" i="1" l="1"/>
  <c r="D20" i="1"/>
  <c r="D7" i="1" l="1"/>
  <c r="E7" i="1" s="1"/>
  <c r="F7" i="1" s="1"/>
  <c r="G7" i="1" s="1"/>
  <c r="H7" i="1" s="1"/>
  <c r="I7" i="1" s="1"/>
  <c r="J7" i="1" s="1"/>
  <c r="K7" i="1" s="1"/>
  <c r="D23" i="1"/>
  <c r="L7" i="1" l="1"/>
  <c r="M7" i="1" s="1"/>
  <c r="N7" i="1" s="1"/>
  <c r="O7" i="1" s="1"/>
  <c r="P7" i="1" s="1"/>
  <c r="Q7" i="1" s="1"/>
  <c r="R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8"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9"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7"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9" authorId="0" shapeId="0" xr:uid="{4210DC5F-FAEF-114B-BD24-15BFAF390F24}">
      <text>
        <r>
          <rPr>
            <sz val="10"/>
            <color rgb="FF000000"/>
            <rFont val="Tahoma"/>
            <family val="2"/>
          </rPr>
          <t xml:space="preserve">Default 5% reduction from year 3 onwards
</t>
        </r>
      </text>
    </comment>
    <comment ref="A51"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4" authorId="0" shapeId="0" xr:uid="{35832E00-EB16-6E43-8906-BB73E8DF8825}">
      <text>
        <r>
          <rPr>
            <sz val="10"/>
            <color rgb="FF000000"/>
            <rFont val="Tahoma"/>
            <family val="2"/>
          </rPr>
          <t xml:space="preserve">Please check CapEx Breakdown Tab to change CapEx values
</t>
        </r>
      </text>
    </comment>
    <comment ref="A71"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71" authorId="0" shapeId="0" xr:uid="{048CD979-8F28-9E49-B718-50ACFC469DF1}">
      <text/>
    </comment>
    <comment ref="A75"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7"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9" authorId="0" shapeId="0" xr:uid="{4CF6E050-5108-F74B-8DD8-DBB546B7B270}">
      <text>
        <r>
          <rPr>
            <sz val="10"/>
            <color rgb="FF000000"/>
            <rFont val="Tahoma"/>
            <family val="2"/>
          </rPr>
          <t xml:space="preserve">Packaging and delivery typically account for 6-8% of production cost when near city. 12% when outside city.
</t>
        </r>
      </text>
    </comment>
    <comment ref="A91"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 ref="Q160"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65"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<sst xmlns="http://schemas.openxmlformats.org/spreadsheetml/2006/main" count="2096" uniqueCount="1093">
  <si>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</si>
  <si>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</si>
  <si>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</si>
  <si>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</si>
  <si>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</si>
  <si>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</si>
  <si>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</si>
  <si>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</si>
  <si>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</si>
  <si>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</si>
  <si>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</si>
  <si>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</si>
  <si>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</si>
  <si>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</si>
  <si>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</si>
  <si>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</si>
  <si>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</si>
  <si>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</si>
  <si>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</si>
  <si>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</si>
  <si>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</si>
  <si>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</si>
  <si>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</si>
  <si>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</si>
  <si>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</si>
  <si>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</si>
  <si>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</si>
  <si>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</si>
  <si>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</si>
  <si>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</si>
  <si>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</si>
  <si>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</si>
  <si>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</si>
  <si>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</si>
  <si>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</si>
  <si>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</si>
  <si>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</si>
  <si>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</si>
  <si>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</si>
  <si>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</si>
  <si>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</si>
  <si>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</si>
  <si>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</si>
  <si>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</si>
  <si>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</si>
  <si>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</si>
  <si>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</si>
  <si>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</si>
  <si>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</si>
  <si>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</si>
  <si>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</si>
  <si>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</si>
  <si>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</si>
  <si>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</si>
  <si>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</si>
  <si>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</si>
  <si>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</si>
  <si>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</si>
  <si>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</si>
  <si>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</si>
  <si>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</si>
  <si>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</si>
  <si>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</si>
  <si>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</si>
  <si>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</si>
  <si>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</si>
  <si>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</si>
  <si>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</si>
  <si>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</si>
  <si>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</si>
  <si>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</si>
  <si>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</si>
  <si>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</si>
  <si>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</si>
  <si>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</si>
  <si>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</si>
  <si>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</si>
  <si>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</si>
  <si>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</si>
  <si>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</si>
  <si>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</si>
  <si>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</si>
  <si>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</si>
  <si>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</si>
  <si>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</si>
  <si>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</si>
  <si>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</si>
  <si>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</si>
  <si>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</si>
  <si>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</si>
  <si>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</si>
  <si>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</si>
  <si>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</si>
  <si>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</si>
  <si>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</si>
  <si>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</si>
  <si>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</si>
  <si>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</si>
  <si>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</si>
  <si>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</si>
  <si>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</si>
  <si>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</si>
  <si>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</si>
  <si>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</si>
  <si>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</si>
  <si>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</si>
  <si>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</si>
  <si>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</si>
  <si>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</si>
  <si>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</si>
  <si>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</si>
  <si>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</si>
  <si>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</si>
  <si>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</si>
  <si>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</si>
  <si>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</si>
  <si>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</si>
  <si>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</si>
  <si>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</si>
  <si>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</si>
  <si>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</si>
  <si>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</si>
  <si>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</si>
  <si>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</si>
  <si>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</si>
  <si>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</si>
  <si>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</si>
  <si>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</si>
  <si>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</si>
  <si>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</si>
  <si>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</si>
  <si>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</si>
  <si>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</si>
  <si>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</si>
  <si>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</si>
  <si>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</si>
  <si>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</si>
  <si>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</si>
  <si>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</si>
  <si>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</si>
  <si>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</si>
  <si>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</si>
  <si>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</si>
  <si>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</si>
  <si>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</si>
  <si>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</si>
  <si>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</si>
  <si>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</si>
  <si>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</si>
  <si>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</si>
  <si>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</si>
  <si>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</si>
  <si>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</si>
  <si>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</si>
  <si>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</si>
  <si>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</si>
  <si>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</si>
  <si>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</si>
  <si>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</si>
  <si>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</si>
  <si>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</si>
  <si>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</si>
  <si>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</si>
  <si>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</si>
  <si>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</si>
  <si>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</si>
  <si>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</si>
  <si>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</si>
  <si>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</si>
  <si>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</si>
  <si>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</si>
  <si>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</si>
  <si>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</si>
  <si>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</si>
  <si>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</si>
  <si>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</si>
  <si>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</si>
  <si>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</si>
  <si>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</si>
  <si>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</si>
  <si>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</si>
  <si>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</si>
  <si>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</si>
  <si>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</si>
  <si>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</si>
  <si>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</si>
  <si>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</si>
  <si>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</si>
  <si>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</si>
  <si>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</si>
  <si>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</si>
  <si>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</si>
  <si>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</si>
  <si>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</si>
  <si>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</si>
  <si>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</si>
  <si>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</si>
  <si>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</si>
  <si>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</si>
  <si>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</si>
  <si>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</si>
  <si>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</si>
  <si>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</si>
  <si>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</si>
  <si>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</si>
  <si>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</si>
  <si>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</si>
  <si>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</si>
  <si>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</si>
  <si>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</si>
  <si>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</si>
  <si>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</si>
  <si>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</si>
  <si>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</si>
  <si>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</si>
  <si>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</si>
  <si>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</si>
  <si>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</si>
  <si>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</si>
  <si>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</si>
  <si>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</si>
  <si>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</si>
  <si>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</si>
  <si>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</si>
  <si>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</si>
  <si>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</si>
  <si>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</si>
  <si>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</si>
  <si>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</si>
  <si>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</si>
  <si>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</si>
  <si>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</si>
  <si>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</si>
  <si>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</si>
  <si>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</si>
  <si>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</si>
  <si>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</si>
  <si>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</si>
  <si>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</si>
  <si>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</si>
  <si>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</si>
  <si>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</si>
  <si>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</si>
  <si>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</si>
  <si>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</si>
  <si>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</si>
  <si>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</si>
  <si>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</si>
  <si>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</si>
  <si>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</si>
  <si>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</si>
  <si>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</si>
  <si>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</si>
  <si>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</si>
  <si>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</si>
  <si>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</si>
  <si>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</si>
  <si>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</si>
  <si>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</si>
  <si>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</si>
  <si>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</si>
  <si>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</si>
  <si>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</si>
  <si>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</si>
  <si>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</si>
  <si>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</si>
  <si>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</si>
  <si>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</si>
  <si>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</si>
  <si>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</si>
  <si>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</si>
  <si>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</si>
  <si>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</si>
  <si>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</si>
  <si>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</si>
  <si>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</si>
  <si>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</si>
  <si>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</si>
  <si>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</si>
  <si>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</si>
  <si>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</si>
  <si>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</si>
  <si>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</si>
  <si>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</si>
  <si>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</si>
  <si>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</si>
  <si>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</si>
  <si>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</si>
  <si>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</si>
  <si>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</si>
  <si>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</si>
  <si>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</si>
  <si>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</si>
  <si>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</si>
  <si>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</si>
  <si>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</si>
  <si>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</si>
  <si>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</si>
  <si>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</si>
  <si>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</si>
  <si>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</si>
  <si>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</si>
  <si>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</si>
  <si>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</si>
  <si>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</si>
  <si>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</si>
  <si>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</si>
  <si>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</si>
  <si>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</si>
  <si>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</si>
  <si>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</si>
  <si>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</si>
  <si>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</si>
  <si>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</si>
  <si>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</si>
  <si>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</si>
  <si>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</si>
  <si>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</si>
  <si>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</si>
  <si>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</si>
  <si>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</si>
  <si>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</si>
  <si>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</si>
  <si>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</si>
  <si>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</si>
  <si>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</si>
  <si>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</si>
  <si>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</si>
  <si>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</si>
  <si>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</si>
  <si>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</si>
  <si>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</si>
  <si>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</si>
  <si>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</si>
  <si>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</si>
  <si>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</si>
  <si>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</si>
  <si>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</si>
  <si>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</si>
  <si>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</si>
  <si>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</si>
  <si>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</si>
  <si>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</si>
  <si>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</si>
  <si>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</si>
  <si>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</si>
  <si>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</si>
  <si>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</si>
  <si>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</si>
  <si>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</si>
  <si>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</si>
  <si>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</si>
  <si>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</si>
  <si>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</si>
  <si>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</si>
  <si>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</si>
  <si>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</si>
  <si>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</si>
  <si>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</si>
  <si>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</si>
  <si>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</si>
  <si>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</si>
  <si>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</si>
  <si>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</si>
  <si>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</si>
  <si>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</si>
  <si>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</si>
  <si>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</si>
  <si>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</si>
  <si>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</si>
  <si>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</si>
  <si>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</si>
  <si>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</si>
  <si>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</si>
  <si>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</si>
  <si>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</si>
  <si>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</si>
  <si>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</si>
  <si>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</si>
  <si>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</si>
  <si>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</si>
  <si>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</si>
  <si>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</si>
  <si>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</si>
  <si>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</si>
  <si>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</si>
  <si>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</si>
  <si>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</si>
  <si>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</si>
  <si>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</si>
  <si>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</si>
  <si>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</si>
  <si>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</si>
  <si>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</si>
  <si>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</si>
  <si>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</si>
  <si>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</si>
  <si>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</si>
  <si>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</si>
  <si>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</si>
  <si>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</si>
  <si>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</si>
  <si>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</si>
  <si>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</si>
  <si>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</si>
  <si>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</si>
  <si>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</si>
  <si>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</si>
  <si>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</si>
  <si>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</si>
  <si>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</si>
  <si>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</si>
  <si>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</si>
  <si>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</si>
  <si>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</si>
  <si>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</si>
  <si>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</si>
  <si>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</si>
  <si>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</si>
  <si>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</si>
  <si>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</si>
  <si>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</si>
  <si>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</si>
  <si>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</si>
  <si>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</si>
  <si>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</si>
  <si>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</si>
  <si>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</si>
  <si>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</si>
  <si>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</si>
  <si>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</si>
  <si>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</si>
  <si>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</si>
  <si>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</si>
  <si>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</si>
  <si>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</si>
  <si>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</si>
  <si>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</si>
  <si>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</si>
  <si>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</si>
  <si>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</si>
  <si>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</si>
  <si>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</si>
  <si>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</si>
  <si>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</si>
  <si>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</si>
  <si>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</si>
  <si>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</si>
  <si>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</si>
  <si>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Estimated Jobs Created</t>
  </si>
  <si>
    <t>Max Annual Yield (kg)</t>
  </si>
  <si>
    <t>Full-Scale Farm</t>
  </si>
  <si>
    <t>Scale-up cost</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</si>
  <si>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</si>
  <si>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</si>
  <si>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</si>
  <si>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</si>
  <si>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</si>
  <si>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</si>
  <si>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</si>
  <si>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</si>
  <si>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</si>
  <si>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</si>
  <si>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</si>
  <si>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</si>
  <si>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</si>
  <si>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</si>
  <si>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</si>
  <si>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</si>
  <si>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</si>
  <si>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</si>
  <si>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</si>
  <si>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</si>
  <si>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</si>
  <si>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</si>
  <si>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</si>
  <si>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</si>
  <si>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</si>
  <si>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</si>
  <si>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</si>
  <si>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</si>
  <si>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</si>
  <si>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</si>
  <si>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</si>
  <si>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</si>
  <si>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</si>
  <si>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</si>
  <si>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</si>
  <si>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</si>
  <si>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</si>
  <si>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</si>
  <si>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</si>
  <si>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</si>
  <si>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</si>
  <si>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</si>
  <si>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</si>
  <si>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</si>
  <si>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</si>
  <si>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</si>
  <si>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</si>
  <si>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</si>
  <si>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</si>
  <si>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</si>
  <si>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</si>
  <si>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</si>
  <si>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</si>
  <si>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</si>
  <si>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</si>
  <si>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</si>
  <si>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</si>
  <si>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</si>
  <si>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</si>
  <si>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</si>
  <si>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</si>
  <si>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</si>
  <si>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</si>
  <si>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</si>
  <si>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</si>
  <si>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</si>
  <si>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</si>
  <si>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</si>
  <si>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</si>
  <si>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</si>
  <si>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</si>
  <si>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</si>
  <si>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</si>
  <si>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</si>
  <si>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</si>
  <si>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</si>
  <si>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</si>
  <si>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</si>
  <si>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</si>
  <si>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</si>
  <si>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</si>
  <si>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</si>
  <si>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</si>
  <si>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</si>
  <si>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</si>
  <si>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</si>
  <si>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</si>
  <si>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</si>
  <si>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</si>
  <si>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</si>
  <si>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</si>
  <si>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</si>
  <si>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</si>
  <si>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</si>
  <si>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</si>
  <si>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</si>
  <si>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</si>
  <si>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</si>
  <si>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</si>
  <si>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</si>
  <si>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</si>
  <si>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</si>
  <si>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</si>
  <si>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</si>
  <si>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</si>
  <si>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</si>
  <si>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</si>
  <si>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</si>
  <si>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</si>
  <si>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</si>
  <si>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</si>
  <si>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</si>
  <si>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</si>
  <si>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</si>
  <si>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</si>
  <si>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</si>
  <si>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</si>
  <si>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</si>
  <si>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</si>
  <si>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</si>
  <si>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</si>
  <si>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</si>
  <si>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</si>
  <si>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</si>
  <si>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</si>
  <si>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</si>
  <si>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</si>
  <si>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</si>
  <si>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</si>
  <si>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</si>
  <si>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</si>
  <si>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</si>
  <si>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</si>
  <si>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</si>
  <si>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</si>
  <si>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</si>
  <si>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</si>
  <si>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</si>
  <si>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</si>
  <si>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</si>
  <si>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</si>
  <si>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</si>
  <si>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</si>
  <si>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</si>
  <si>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</si>
  <si>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</si>
  <si>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</si>
  <si>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</si>
  <si>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</si>
  <si>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</si>
  <si>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</si>
  <si>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</si>
  <si>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</si>
  <si>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</si>
  <si>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</si>
  <si>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</si>
  <si>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</si>
  <si>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</si>
  <si>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</si>
  <si>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</si>
  <si>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</si>
  <si>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</si>
  <si>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</si>
  <si>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</si>
  <si>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</si>
  <si>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</si>
  <si>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</si>
  <si>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</si>
  <si>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</si>
  <si>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</si>
  <si>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</si>
  <si>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</si>
  <si>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</si>
  <si>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</si>
  <si>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</si>
  <si>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</si>
  <si>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</si>
  <si>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</si>
  <si>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</si>
  <si>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</si>
  <si>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</si>
  <si>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</si>
  <si>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</si>
  <si>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</si>
  <si>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</si>
  <si>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</si>
  <si>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</si>
  <si>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</si>
  <si>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</si>
  <si>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</si>
  <si>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</si>
  <si>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</si>
  <si>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</si>
  <si>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</si>
  <si>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</si>
  <si>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</si>
  <si>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</si>
  <si>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</si>
  <si>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</si>
  <si>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</si>
  <si>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</si>
  <si>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</si>
  <si>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</si>
  <si>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</si>
  <si>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</si>
  <si>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</si>
  <si>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</si>
  <si>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</si>
  <si>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</si>
  <si>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</si>
  <si>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</si>
  <si>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</si>
  <si>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</si>
  <si>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</si>
  <si>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</si>
  <si>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</si>
  <si>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</si>
  <si>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</si>
  <si>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</si>
  <si>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</si>
  <si>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</si>
  <si>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</si>
  <si>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</si>
  <si>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</si>
  <si>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</si>
  <si>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</si>
  <si>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</si>
  <si>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</si>
  <si>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</si>
  <si>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</si>
  <si>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</si>
  <si>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</si>
  <si>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</si>
  <si>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</si>
  <si>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</si>
  <si>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</si>
  <si>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</si>
  <si>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</si>
  <si>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</si>
  <si>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</si>
  <si>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</si>
  <si>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</si>
  <si>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</si>
  <si>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</si>
  <si>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</si>
  <si>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</si>
  <si>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</si>
  <si>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</si>
  <si>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</si>
  <si>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</si>
  <si>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</si>
  <si>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</si>
  <si>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</si>
  <si>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</si>
  <si>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</si>
  <si>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</si>
  <si>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</si>
  <si>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</si>
  <si>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</si>
  <si>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</si>
  <si>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</si>
  <si>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</si>
  <si>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</si>
  <si>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</si>
  <si>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</si>
  <si>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</si>
  <si>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</si>
  <si>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</si>
  <si>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</si>
  <si>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</si>
  <si>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</si>
  <si>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</si>
  <si>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</si>
  <si>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</si>
  <si>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</si>
  <si>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</si>
  <si>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</si>
  <si>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</si>
  <si>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</si>
  <si>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</si>
  <si>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</si>
  <si>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</si>
  <si>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</si>
  <si>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</si>
  <si>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</si>
  <si>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</si>
  <si>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</si>
  <si>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</si>
  <si>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</si>
  <si>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</si>
  <si>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</si>
  <si>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</si>
  <si>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</si>
  <si>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</si>
  <si>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</si>
  <si>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</si>
  <si>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</si>
  <si>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</si>
  <si>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</si>
  <si>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</si>
  <si>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</si>
  <si>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</si>
  <si>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</si>
  <si>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</si>
  <si>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</si>
  <si>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</si>
  <si>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</si>
  <si>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</si>
  <si>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</si>
  <si>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</si>
  <si>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</si>
  <si>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</si>
  <si>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</si>
  <si>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</si>
  <si>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</si>
  <si>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</si>
  <si>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</si>
  <si>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</si>
  <si>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</si>
  <si>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</si>
  <si>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</si>
  <si>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</si>
  <si>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</si>
  <si>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</si>
  <si>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</si>
  <si>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</si>
  <si>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</si>
  <si>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</si>
  <si>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</si>
  <si>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</si>
  <si>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</si>
  <si>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</si>
  <si>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</si>
  <si>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</si>
  <si>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</si>
  <si>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</si>
  <si>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</si>
  <si>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</si>
  <si>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</si>
  <si>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</si>
  <si>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</si>
  <si>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</si>
  <si>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</si>
  <si>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</si>
  <si>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</si>
  <si>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</si>
  <si>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</si>
  <si>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</si>
  <si>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</si>
  <si>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</si>
  <si>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</si>
  <si>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</si>
  <si>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</si>
  <si>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</si>
  <si>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</si>
  <si>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</si>
  <si>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</si>
  <si>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</si>
  <si>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</si>
  <si>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</si>
  <si>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</si>
  <si>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</si>
  <si>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</si>
  <si>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</si>
  <si>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</si>
  <si>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</si>
  <si>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</si>
  <si>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</si>
  <si>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</si>
  <si>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</si>
  <si>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</si>
  <si>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</si>
  <si>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</si>
  <si>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</si>
  <si>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</si>
  <si>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</si>
  <si>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</si>
  <si>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</si>
  <si>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</si>
  <si>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</si>
  <si>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</si>
  <si>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</si>
  <si>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</si>
  <si>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</si>
  <si>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</si>
  <si>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</si>
  <si>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</si>
  <si>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</si>
  <si>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</si>
  <si>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</si>
  <si>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</si>
  <si>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</si>
  <si>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</si>
  <si>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</si>
  <si>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</si>
  <si>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</si>
  <si>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</si>
  <si>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</si>
  <si>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</si>
  <si>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</si>
  <si>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</si>
  <si>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</si>
  <si>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</si>
  <si>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</si>
  <si>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</si>
  <si>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</si>
  <si>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</si>
  <si>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</si>
  <si>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</si>
  <si>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</si>
  <si>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</si>
  <si>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</si>
  <si>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</si>
  <si>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</si>
  <si>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</si>
  <si>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</si>
  <si>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</si>
  <si>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</si>
  <si>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</si>
  <si>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</si>
  <si>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</si>
  <si>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</si>
  <si>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</si>
  <si>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</si>
  <si>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</si>
  <si>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</si>
  <si>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</si>
  <si>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</si>
  <si>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</si>
  <si>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</si>
  <si>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</si>
  <si>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</si>
  <si>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</si>
  <si>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</si>
  <si>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</si>
  <si>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</si>
  <si>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</si>
  <si>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</si>
  <si>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</si>
  <si>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</si>
  <si>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</si>
  <si>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</si>
  <si>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</si>
  <si>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</si>
  <si>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</si>
  <si>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</si>
  <si>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</si>
  <si>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</si>
  <si>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</si>
  <si>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</si>
  <si>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</si>
  <si>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</si>
  <si>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</si>
  <si>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</si>
  <si>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</si>
  <si>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</si>
  <si>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</si>
  <si>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</si>
  <si>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</si>
  <si>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</si>
  <si>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</si>
  <si>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</si>
  <si>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</si>
  <si>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</si>
  <si>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Potential People Fed (Daily)</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</si>
  <si>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</si>
  <si>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</si>
  <si>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</si>
  <si>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</si>
  <si>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</si>
  <si>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</si>
  <si>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</si>
  <si>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</si>
  <si>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</si>
  <si>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</si>
  <si>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</si>
  <si>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</si>
  <si>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</si>
  <si>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</si>
  <si>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</si>
  <si>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</si>
  <si>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</si>
  <si>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</si>
  <si>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</si>
  <si>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</si>
  <si>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</si>
  <si>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</si>
  <si>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</si>
  <si>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</si>
  <si>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</si>
  <si>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</si>
  <si>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</si>
  <si>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</si>
  <si>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</si>
  <si>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</si>
  <si>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</si>
  <si>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</si>
  <si>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</si>
  <si>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</si>
  <si>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</si>
  <si>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</si>
  <si>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</si>
  <si>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</si>
  <si>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</si>
  <si>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</si>
  <si>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</si>
  <si>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</si>
  <si>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</si>
  <si>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</si>
  <si>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</si>
  <si>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</si>
  <si>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</si>
  <si>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</si>
  <si>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</si>
  <si>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</si>
  <si>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</si>
  <si>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</si>
  <si>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</si>
  <si>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</si>
  <si>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</si>
  <si>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</si>
  <si>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</si>
  <si>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</si>
  <si>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</si>
  <si>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</si>
  <si>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</si>
  <si>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</si>
  <si>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</si>
  <si>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</si>
  <si>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</si>
  <si>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</si>
  <si>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</si>
  <si>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Basement</t>
  </si>
  <si>
    <t>Rockwool</t>
  </si>
  <si>
    <t>Days in propogation system</t>
  </si>
  <si>
    <t>Units (per month)</t>
  </si>
  <si>
    <t>Delivery cost per unit</t>
  </si>
  <si>
    <t>Working Capital</t>
  </si>
  <si>
    <t>Part-time Farm hand (wages/hour)</t>
  </si>
  <si>
    <t>Software and sensors</t>
  </si>
  <si>
    <t>Initial grant amount</t>
  </si>
  <si>
    <t>grants_rev_y1</t>
  </si>
  <si>
    <t>grants_rev_y2</t>
  </si>
  <si>
    <t>grants_rev_y3</t>
  </si>
  <si>
    <t>grants_rev_y4</t>
  </si>
  <si>
    <t>grants_rev_y5</t>
  </si>
  <si>
    <t>grants_rev_y6</t>
  </si>
  <si>
    <t>grants_rev_y0</t>
  </si>
  <si>
    <t>grants_rev_y7</t>
  </si>
  <si>
    <t>grants_rev_y8</t>
  </si>
  <si>
    <t>grants_rev_y9</t>
  </si>
  <si>
    <t>grants_rev_y10</t>
  </si>
  <si>
    <t>grants_rev_y11</t>
  </si>
  <si>
    <t>Part-time hours (monthly)</t>
  </si>
  <si>
    <t>Equipment</t>
  </si>
  <si>
    <t>Location</t>
  </si>
  <si>
    <t>Item</t>
  </si>
  <si>
    <t>Model Number</t>
  </si>
  <si>
    <t>URL</t>
  </si>
  <si>
    <t>Number</t>
  </si>
  <si>
    <t>Watts</t>
  </si>
  <si>
    <t>Total Watts</t>
  </si>
  <si>
    <t>Total Daily Use (hours)</t>
  </si>
  <si>
    <t>Daily Power</t>
  </si>
  <si>
    <t>Times</t>
  </si>
  <si>
    <t>Peak</t>
  </si>
  <si>
    <t>Off-Peak</t>
  </si>
  <si>
    <t>Farm</t>
  </si>
  <si>
    <t>Atom Integrated Controller</t>
  </si>
  <si>
    <t>Atom</t>
  </si>
  <si>
    <t>Farm - Atom Controller</t>
  </si>
  <si>
    <t>Voltage Controller</t>
  </si>
  <si>
    <t>Bronson++</t>
  </si>
  <si>
    <t>Bronson</t>
  </si>
  <si>
    <t>Used to drive Atom</t>
  </si>
  <si>
    <t>ZipFarm</t>
  </si>
  <si>
    <t>LED lights1</t>
  </si>
  <si>
    <t>SB-785-1251B-L09</t>
  </si>
  <si>
    <t>1pm -7am</t>
  </si>
  <si>
    <t>LED lights2</t>
  </si>
  <si>
    <t>ZPGLW-075</t>
  </si>
  <si>
    <t>Intertek</t>
  </si>
  <si>
    <t>LED driver</t>
  </si>
  <si>
    <t>EUD-600S12ADT</t>
  </si>
  <si>
    <t>https://www.inventronics-co.com/product/eud-600sxxxdt/</t>
  </si>
  <si>
    <t>Used to drive lights so wattage included there</t>
  </si>
  <si>
    <t>Main sump</t>
  </si>
  <si>
    <t>Pentair Aquatic Eco-Systems Smart UV Sterilizer</t>
  </si>
  <si>
    <t>EU25-U</t>
  </si>
  <si>
    <t>https://pentairaes.com/smart-uv-sterilizers-31295.html</t>
  </si>
  <si>
    <t>780W/29000L pump</t>
  </si>
  <si>
    <t>JSWm 1AX</t>
  </si>
  <si>
    <t>https://pumpexpress.co.uk/shop/jsw1-self-priming-jet-pumps/</t>
  </si>
  <si>
    <t>Secondary sump</t>
  </si>
  <si>
    <t>Jecod DC Pump1</t>
  </si>
  <si>
    <t>DCP-2500</t>
  </si>
  <si>
    <t>Jecod</t>
  </si>
  <si>
    <t>Jecod DC Pump2</t>
  </si>
  <si>
    <t>Overflow so rarely used</t>
  </si>
  <si>
    <t>Seed Starting Rack 1</t>
  </si>
  <si>
    <t>Water pump</t>
  </si>
  <si>
    <t>Seed Starting Rack 2</t>
  </si>
  <si>
    <t>Air pump</t>
  </si>
  <si>
    <t>S-1000</t>
  </si>
  <si>
    <t>Boyu</t>
  </si>
  <si>
    <t>Valoya L28 LED Lights</t>
  </si>
  <si>
    <t>AP673L</t>
  </si>
  <si>
    <t>Sunblaster LED lights</t>
  </si>
  <si>
    <t>EDFT5-154AH</t>
  </si>
  <si>
    <t>Farm walls</t>
  </si>
  <si>
    <t>FLC Circulation Fan</t>
  </si>
  <si>
    <t>T18 No4</t>
  </si>
  <si>
    <t>http://www.bflc.com.cn</t>
  </si>
  <si>
    <t>Outside farm</t>
  </si>
  <si>
    <t>Ariston unvented water heater</t>
  </si>
  <si>
    <t>https://www.ariston.com/uk/Electric_Water_Heaters/andrislux</t>
  </si>
  <si>
    <t>Just inside farm</t>
  </si>
  <si>
    <t>Water unheated</t>
  </si>
  <si>
    <t>Far inside farm</t>
  </si>
  <si>
    <t>Far end of farm</t>
  </si>
  <si>
    <t>Sololift2 C-3 sink pump1</t>
  </si>
  <si>
    <t>Grundfos</t>
  </si>
  <si>
    <t>Near end of farm</t>
  </si>
  <si>
    <t>Sololift2 C-3 sink pump2</t>
  </si>
  <si>
    <t>Wall next to seed rack</t>
  </si>
  <si>
    <t>Fly zapper</t>
  </si>
  <si>
    <t>Y724</t>
  </si>
  <si>
    <t>Easyzap</t>
  </si>
  <si>
    <t>Inside farm RH wall</t>
  </si>
  <si>
    <t>Total W</t>
  </si>
  <si>
    <t>Total (Wh)</t>
  </si>
  <si>
    <t>Total Kw</t>
  </si>
  <si>
    <t>Total (kWh)</t>
  </si>
  <si>
    <t>Total kWh - lights</t>
  </si>
  <si>
    <t>Initial Working Capital</t>
  </si>
  <si>
    <t>Daily energy consumption (exc. lights)</t>
  </si>
  <si>
    <t>daily_energy_consumption</t>
  </si>
  <si>
    <t>other_costs_full</t>
  </si>
  <si>
    <t>Certain</t>
  </si>
  <si>
    <t>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</si>
</sst>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s>
  <fonts count="69"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
      <sz val="10"/>
      <color rgb="FF222222"/>
      <name val="Arial"/>
      <family val="2"/>
    </font>
  </fonts>
  <fills count="43">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rgb="FF9BC2E6"/>
        <bgColor indexed="64"/>
      </patternFill>
    </fill>
    <fill>
      <patternFill patternType="solid">
        <fgColor rgb="FFFFC000"/>
        <bgColor indexed="64"/>
      </patternFill>
    </fill>
    <fill>
      <patternFill patternType="solid">
        <fgColor theme="7"/>
        <bgColor indexed="64"/>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28" fillId="0" borderId="0" applyFont="0" applyFill="0" applyBorder="0" applyAlignment="0" applyProtection="0"/>
    <xf numFmtId="9" fontId="28" fillId="0" borderId="0" applyFont="0" applyFill="0" applyBorder="0" applyAlignment="0" applyProtection="0"/>
    <xf numFmtId="0" fontId="15" fillId="0" borderId="0"/>
    <xf numFmtId="0" fontId="52" fillId="0" borderId="0" applyNumberFormat="0" applyFill="0" applyBorder="0" applyAlignment="0" applyProtection="0"/>
  </cellStyleXfs>
  <cellXfs count="492">
    <xf numFmtId="0" fontId="0" fillId="0" borderId="0" xfId="0" applyFont="1" applyAlignment="1"/>
    <xf numFmtId="0" fontId="16" fillId="0" borderId="0" xfId="0" applyFont="1"/>
    <xf numFmtId="0" fontId="19" fillId="0" borderId="0" xfId="0" applyFont="1" applyAlignment="1"/>
    <xf numFmtId="0" fontId="21" fillId="0" borderId="0" xfId="0" applyFont="1" applyAlignment="1"/>
    <xf numFmtId="0" fontId="18" fillId="0" borderId="0" xfId="0" applyFont="1" applyAlignment="1"/>
    <xf numFmtId="0" fontId="20" fillId="0" borderId="0" xfId="0" applyFont="1" applyAlignment="1">
      <alignment horizontal="right"/>
    </xf>
    <xf numFmtId="0" fontId="21" fillId="0" borderId="0" xfId="0" applyFont="1" applyAlignment="1"/>
    <xf numFmtId="171" fontId="16" fillId="0" borderId="0" xfId="0" applyNumberFormat="1" applyFont="1"/>
    <xf numFmtId="0" fontId="21" fillId="0" borderId="0" xfId="0" applyFont="1" applyAlignment="1">
      <alignment horizontal="right"/>
    </xf>
    <xf numFmtId="0" fontId="21" fillId="0" borderId="0" xfId="0" applyFont="1" applyAlignment="1">
      <alignment horizontal="right"/>
    </xf>
    <xf numFmtId="0" fontId="16" fillId="0" borderId="0" xfId="0" applyFont="1" applyAlignment="1"/>
    <xf numFmtId="0" fontId="16" fillId="0" borderId="0" xfId="0" applyFont="1" applyAlignment="1"/>
    <xf numFmtId="0" fontId="16" fillId="0" borderId="1" xfId="0" applyFont="1" applyBorder="1" applyAlignment="1"/>
    <xf numFmtId="0" fontId="22" fillId="0" borderId="0" xfId="0" applyFont="1"/>
    <xf numFmtId="0" fontId="23" fillId="0" borderId="0" xfId="0" applyFont="1" applyAlignment="1"/>
    <xf numFmtId="169" fontId="23" fillId="0" borderId="0" xfId="0" applyNumberFormat="1" applyFont="1"/>
    <xf numFmtId="0" fontId="22" fillId="0" borderId="0" xfId="0" applyFont="1" applyAlignment="1"/>
    <xf numFmtId="169" fontId="21" fillId="0" borderId="0" xfId="0" applyNumberFormat="1" applyFont="1"/>
    <xf numFmtId="0" fontId="24" fillId="0" borderId="0" xfId="0" applyFont="1" applyAlignment="1">
      <alignment vertical="top"/>
    </xf>
    <xf numFmtId="0" fontId="25" fillId="0" borderId="0" xfId="0" applyFont="1" applyAlignment="1">
      <alignment horizontal="center" vertical="center"/>
    </xf>
    <xf numFmtId="0" fontId="20" fillId="0" borderId="1" xfId="0" applyFont="1" applyBorder="1" applyAlignment="1"/>
    <xf numFmtId="0" fontId="20" fillId="0" borderId="1" xfId="0" applyFont="1" applyBorder="1"/>
    <xf numFmtId="168" fontId="20" fillId="0" borderId="0" xfId="0" applyNumberFormat="1" applyFont="1" applyAlignment="1"/>
    <xf numFmtId="0" fontId="26" fillId="6" borderId="0" xfId="0" applyFont="1" applyFill="1" applyAlignment="1"/>
    <xf numFmtId="0" fontId="27" fillId="6" borderId="0" xfId="0" applyFont="1" applyFill="1"/>
    <xf numFmtId="0" fontId="18" fillId="5" borderId="1" xfId="0" applyFont="1" applyFill="1" applyBorder="1"/>
    <xf numFmtId="0" fontId="0" fillId="0" borderId="0" xfId="0" applyFont="1" applyAlignment="1"/>
    <xf numFmtId="0" fontId="18" fillId="5" borderId="0" xfId="0" applyFont="1" applyFill="1" applyAlignment="1"/>
    <xf numFmtId="0" fontId="0" fillId="0" borderId="0" xfId="0" applyFont="1" applyAlignment="1"/>
    <xf numFmtId="0" fontId="20" fillId="0" borderId="0" xfId="0" applyFont="1" applyAlignment="1"/>
    <xf numFmtId="0" fontId="15" fillId="0" borderId="0" xfId="3"/>
    <xf numFmtId="0" fontId="29" fillId="0" borderId="0" xfId="3" applyFont="1"/>
    <xf numFmtId="0" fontId="31" fillId="0" borderId="0" xfId="3" applyFont="1"/>
    <xf numFmtId="0" fontId="31" fillId="0" borderId="0" xfId="3" applyFont="1" applyAlignment="1">
      <alignment wrapText="1"/>
    </xf>
    <xf numFmtId="0" fontId="15" fillId="0" borderId="0" xfId="3" applyAlignment="1">
      <alignment wrapText="1"/>
    </xf>
    <xf numFmtId="172" fontId="18" fillId="0" borderId="0" xfId="0" applyNumberFormat="1" applyFont="1"/>
    <xf numFmtId="172" fontId="20" fillId="0" borderId="0" xfId="0" applyNumberFormat="1" applyFont="1" applyAlignment="1"/>
    <xf numFmtId="172" fontId="18" fillId="0" borderId="1" xfId="0" applyNumberFormat="1" applyFont="1" applyBorder="1"/>
    <xf numFmtId="0" fontId="28" fillId="0" borderId="0" xfId="0" applyFont="1" applyAlignment="1"/>
    <xf numFmtId="44" fontId="16" fillId="0" borderId="0" xfId="1" applyFont="1" applyAlignment="1"/>
    <xf numFmtId="44" fontId="16" fillId="0" borderId="0" xfId="1" applyFont="1"/>
    <xf numFmtId="44" fontId="16" fillId="0" borderId="1" xfId="1" applyFont="1" applyBorder="1" applyAlignment="1"/>
    <xf numFmtId="44" fontId="22" fillId="0" borderId="0" xfId="1" applyFont="1"/>
    <xf numFmtId="0" fontId="20" fillId="0" borderId="0" xfId="0" applyFont="1"/>
    <xf numFmtId="0" fontId="33" fillId="0" borderId="0" xfId="0" applyFont="1" applyAlignment="1"/>
    <xf numFmtId="170" fontId="18" fillId="0" borderId="0" xfId="0" applyNumberFormat="1" applyFont="1" applyFill="1" applyAlignment="1"/>
    <xf numFmtId="0" fontId="0" fillId="0" borderId="0" xfId="0" applyFont="1" applyFill="1" applyAlignment="1"/>
    <xf numFmtId="0" fontId="34" fillId="0" borderId="0" xfId="0" applyFont="1" applyFill="1" applyAlignment="1"/>
    <xf numFmtId="0" fontId="36" fillId="0" borderId="0" xfId="0" applyFont="1" applyAlignment="1"/>
    <xf numFmtId="0" fontId="16" fillId="10" borderId="0" xfId="0" applyFont="1" applyFill="1" applyAlignment="1"/>
    <xf numFmtId="0" fontId="37" fillId="0" borderId="0" xfId="0" applyFont="1" applyAlignment="1"/>
    <xf numFmtId="0" fontId="20" fillId="0" borderId="0" xfId="0" applyFont="1" applyFill="1" applyAlignment="1"/>
    <xf numFmtId="0" fontId="0" fillId="12" borderId="0" xfId="0" applyFont="1" applyFill="1" applyAlignment="1"/>
    <xf numFmtId="0" fontId="16" fillId="8" borderId="0" xfId="0" applyFont="1" applyFill="1" applyAlignment="1"/>
    <xf numFmtId="0" fontId="0" fillId="8" borderId="0" xfId="0" applyFont="1" applyFill="1" applyAlignment="1"/>
    <xf numFmtId="0" fontId="16" fillId="13" borderId="0" xfId="0" applyFont="1" applyFill="1" applyAlignment="1"/>
    <xf numFmtId="0" fontId="0" fillId="13" borderId="0" xfId="0" applyFont="1" applyFill="1" applyAlignment="1"/>
    <xf numFmtId="0" fontId="38" fillId="0" borderId="0" xfId="0" applyFont="1" applyAlignment="1"/>
    <xf numFmtId="0" fontId="39" fillId="0" borderId="0" xfId="0" applyFont="1" applyAlignment="1"/>
    <xf numFmtId="0" fontId="40" fillId="0" borderId="0" xfId="3" applyFont="1"/>
    <xf numFmtId="0" fontId="41" fillId="0" borderId="0" xfId="0" applyFont="1" applyAlignment="1"/>
    <xf numFmtId="0" fontId="16" fillId="14" borderId="0" xfId="0" applyFont="1" applyFill="1" applyAlignment="1"/>
    <xf numFmtId="0" fontId="0" fillId="14" borderId="0" xfId="0" applyFont="1" applyFill="1" applyAlignment="1"/>
    <xf numFmtId="0" fontId="28" fillId="14" borderId="0" xfId="0" applyFont="1" applyFill="1" applyAlignment="1"/>
    <xf numFmtId="0" fontId="30" fillId="0" borderId="0" xfId="0" applyFont="1" applyAlignment="1"/>
    <xf numFmtId="9" fontId="22" fillId="0" borderId="0" xfId="2" applyFont="1" applyAlignment="1"/>
    <xf numFmtId="0" fontId="16" fillId="0" borderId="0" xfId="0" applyFont="1" applyBorder="1" applyAlignment="1"/>
    <xf numFmtId="44" fontId="16" fillId="0" borderId="0" xfId="1" applyFont="1" applyBorder="1" applyAlignment="1"/>
    <xf numFmtId="0" fontId="42" fillId="14" borderId="0" xfId="0" applyFont="1" applyFill="1"/>
    <xf numFmtId="0" fontId="43" fillId="0" borderId="0" xfId="0" applyFont="1" applyBorder="1" applyAlignment="1"/>
    <xf numFmtId="44" fontId="43" fillId="0" borderId="0" xfId="1" applyFont="1" applyBorder="1" applyAlignment="1"/>
    <xf numFmtId="0" fontId="18" fillId="0" borderId="1" xfId="0" applyFont="1" applyFill="1" applyBorder="1"/>
    <xf numFmtId="0" fontId="44" fillId="0" borderId="0" xfId="0" applyFont="1" applyFill="1" applyAlignment="1"/>
    <xf numFmtId="0" fontId="44" fillId="0" borderId="0" xfId="0" applyFont="1"/>
    <xf numFmtId="0" fontId="30" fillId="0" borderId="0" xfId="0" applyFont="1" applyBorder="1" applyAlignment="1"/>
    <xf numFmtId="44" fontId="30" fillId="0" borderId="0" xfId="1" applyFont="1" applyBorder="1" applyAlignment="1"/>
    <xf numFmtId="44" fontId="18" fillId="0" borderId="0" xfId="1" applyFont="1" applyFill="1" applyAlignment="1"/>
    <xf numFmtId="0" fontId="16" fillId="15" borderId="0" xfId="0" applyFont="1" applyFill="1" applyAlignment="1"/>
    <xf numFmtId="0" fontId="0" fillId="16" borderId="0" xfId="0" applyFont="1" applyFill="1" applyAlignment="1"/>
    <xf numFmtId="0" fontId="16" fillId="17" borderId="0" xfId="0" applyFont="1" applyFill="1" applyAlignment="1"/>
    <xf numFmtId="0" fontId="0" fillId="18" borderId="0" xfId="0" applyFont="1" applyFill="1" applyAlignment="1"/>
    <xf numFmtId="0" fontId="0" fillId="0" borderId="0" xfId="0" applyFont="1" applyAlignment="1"/>
    <xf numFmtId="0" fontId="18" fillId="0" borderId="0" xfId="0" applyFont="1" applyAlignment="1"/>
    <xf numFmtId="0" fontId="20"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18" fillId="0" borderId="0" xfId="1" applyNumberFormat="1" applyFont="1" applyAlignment="1"/>
    <xf numFmtId="168" fontId="16" fillId="19" borderId="0" xfId="0" applyNumberFormat="1" applyFont="1" applyFill="1" applyAlignment="1">
      <alignment horizontal="right"/>
    </xf>
    <xf numFmtId="172" fontId="16" fillId="19" borderId="0" xfId="0" applyNumberFormat="1" applyFont="1" applyFill="1" applyAlignment="1">
      <alignment horizontal="right"/>
    </xf>
    <xf numFmtId="0" fontId="0" fillId="0" borderId="0" xfId="0" applyFont="1" applyAlignment="1"/>
    <xf numFmtId="0" fontId="48" fillId="0" borderId="0" xfId="0" applyFont="1" applyAlignment="1"/>
    <xf numFmtId="172" fontId="49" fillId="0" borderId="0" xfId="0" applyNumberFormat="1" applyFont="1" applyAlignment="1"/>
    <xf numFmtId="44" fontId="16" fillId="0" borderId="0" xfId="1" applyFont="1" applyFill="1" applyAlignment="1"/>
    <xf numFmtId="0" fontId="0" fillId="0" borderId="0" xfId="0" applyFont="1" applyAlignment="1"/>
    <xf numFmtId="0" fontId="16" fillId="0" borderId="0" xfId="0" applyFont="1" applyAlignment="1"/>
    <xf numFmtId="0" fontId="0" fillId="0" borderId="0" xfId="0" applyFont="1" applyAlignment="1"/>
    <xf numFmtId="0" fontId="20" fillId="0" borderId="0" xfId="0" applyFont="1" applyAlignment="1"/>
    <xf numFmtId="8" fontId="0" fillId="0" borderId="0" xfId="0" applyNumberFormat="1" applyFont="1" applyAlignment="1"/>
    <xf numFmtId="1" fontId="16" fillId="0" borderId="0" xfId="0" applyNumberFormat="1" applyFont="1" applyAlignment="1"/>
    <xf numFmtId="0" fontId="15" fillId="27" borderId="0" xfId="3" applyFill="1"/>
    <xf numFmtId="0" fontId="18" fillId="26" borderId="0" xfId="0" applyFont="1" applyFill="1" applyAlignment="1"/>
    <xf numFmtId="6" fontId="0" fillId="0" borderId="0" xfId="0" applyNumberFormat="1" applyFont="1" applyAlignment="1"/>
    <xf numFmtId="0" fontId="30" fillId="0" borderId="0" xfId="0" applyFont="1" applyAlignment="1">
      <alignment horizontal="center" vertical="center"/>
    </xf>
    <xf numFmtId="0" fontId="16" fillId="0" borderId="0" xfId="0" applyFont="1" applyAlignment="1">
      <alignment horizontal="center"/>
    </xf>
    <xf numFmtId="0" fontId="16" fillId="0" borderId="0" xfId="0" applyFont="1" applyFill="1" applyAlignment="1"/>
    <xf numFmtId="0" fontId="28" fillId="0" borderId="0" xfId="0" applyFont="1" applyFill="1" applyAlignment="1"/>
    <xf numFmtId="0" fontId="15" fillId="0" borderId="0" xfId="3" applyFill="1"/>
    <xf numFmtId="0" fontId="0" fillId="0" borderId="0" xfId="0" applyFont="1" applyAlignment="1"/>
    <xf numFmtId="0" fontId="40" fillId="0" borderId="0" xfId="3" applyFont="1" applyAlignment="1">
      <alignment horizontal="center" wrapText="1"/>
    </xf>
    <xf numFmtId="0" fontId="20" fillId="0" borderId="0" xfId="0" applyFont="1" applyAlignment="1"/>
    <xf numFmtId="0" fontId="0" fillId="0" borderId="0" xfId="0" applyFont="1" applyAlignment="1"/>
    <xf numFmtId="0" fontId="16" fillId="0" borderId="0" xfId="0" applyFont="1" applyAlignment="1"/>
    <xf numFmtId="0" fontId="48" fillId="27" borderId="0" xfId="0" applyFont="1" applyFill="1" applyAlignment="1"/>
    <xf numFmtId="170" fontId="16" fillId="0" borderId="0" xfId="0" applyNumberFormat="1" applyFont="1" applyFill="1" applyAlignment="1"/>
    <xf numFmtId="0" fontId="16" fillId="0" borderId="3" xfId="0" applyFont="1" applyBorder="1" applyAlignment="1"/>
    <xf numFmtId="9" fontId="16"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28" fillId="0" borderId="3" xfId="0" applyFont="1" applyBorder="1" applyAlignment="1"/>
    <xf numFmtId="0" fontId="0" fillId="0" borderId="0" xfId="0" applyFont="1" applyAlignment="1"/>
    <xf numFmtId="0" fontId="16" fillId="32" borderId="0" xfId="0" applyFont="1" applyFill="1" applyAlignment="1"/>
    <xf numFmtId="0" fontId="18" fillId="20" borderId="0" xfId="0" applyFont="1" applyFill="1" applyAlignment="1"/>
    <xf numFmtId="0" fontId="18" fillId="9" borderId="0" xfId="0" applyFont="1" applyFill="1" applyAlignment="1"/>
    <xf numFmtId="172" fontId="16" fillId="0" borderId="0" xfId="0" applyNumberFormat="1" applyFont="1"/>
    <xf numFmtId="0" fontId="18" fillId="0" borderId="1" xfId="0" applyFont="1" applyBorder="1" applyAlignment="1"/>
    <xf numFmtId="0" fontId="18" fillId="0" borderId="1" xfId="0" applyFont="1" applyBorder="1"/>
    <xf numFmtId="0" fontId="18" fillId="0" borderId="0" xfId="0" applyFont="1" applyAlignment="1"/>
    <xf numFmtId="0" fontId="0" fillId="0" borderId="0" xfId="0" applyFont="1" applyAlignment="1"/>
    <xf numFmtId="0" fontId="16" fillId="0" borderId="0" xfId="0" applyFont="1" applyAlignment="1"/>
    <xf numFmtId="0" fontId="0" fillId="30" borderId="3" xfId="0" applyFont="1" applyFill="1" applyBorder="1" applyAlignment="1"/>
    <xf numFmtId="0" fontId="19" fillId="0" borderId="0" xfId="0" applyFont="1" applyFill="1" applyBorder="1" applyAlignment="1"/>
    <xf numFmtId="0" fontId="0" fillId="0" borderId="0" xfId="0" applyFont="1" applyFill="1" applyBorder="1" applyAlignment="1"/>
    <xf numFmtId="0" fontId="0" fillId="0" borderId="0" xfId="0" applyFont="1" applyAlignment="1"/>
    <xf numFmtId="0" fontId="28" fillId="0" borderId="3" xfId="0" applyFont="1" applyFill="1" applyBorder="1" applyAlignment="1"/>
    <xf numFmtId="0" fontId="28"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8" fillId="0" borderId="0" xfId="0" applyFont="1" applyBorder="1" applyAlignment="1"/>
    <xf numFmtId="0" fontId="0" fillId="0" borderId="0" xfId="0" applyFont="1" applyBorder="1" applyAlignment="1"/>
    <xf numFmtId="0" fontId="28" fillId="11" borderId="6" xfId="0" applyFont="1" applyFill="1" applyBorder="1" applyAlignment="1"/>
    <xf numFmtId="0" fontId="20" fillId="0" borderId="3" xfId="0" applyFont="1" applyBorder="1" applyAlignment="1"/>
    <xf numFmtId="0" fontId="16" fillId="21" borderId="3" xfId="0" applyFont="1" applyFill="1" applyBorder="1" applyAlignment="1"/>
    <xf numFmtId="0" fontId="16" fillId="23" borderId="3" xfId="0" applyFont="1" applyFill="1" applyBorder="1" applyAlignment="1"/>
    <xf numFmtId="9" fontId="16" fillId="21" borderId="3" xfId="2" applyFont="1" applyFill="1" applyBorder="1" applyAlignment="1"/>
    <xf numFmtId="3" fontId="18" fillId="15" borderId="3" xfId="0" applyNumberFormat="1" applyFont="1" applyFill="1" applyBorder="1" applyAlignment="1">
      <alignment horizontal="right"/>
    </xf>
    <xf numFmtId="3" fontId="18" fillId="24" borderId="3" xfId="0" applyNumberFormat="1" applyFont="1" applyFill="1" applyBorder="1" applyAlignment="1">
      <alignment horizontal="right"/>
    </xf>
    <xf numFmtId="0" fontId="14" fillId="21" borderId="3" xfId="3" applyFont="1" applyFill="1" applyBorder="1" applyAlignment="1">
      <alignment horizontal="right"/>
    </xf>
    <xf numFmtId="0" fontId="14" fillId="23" borderId="3" xfId="3" applyFont="1" applyFill="1" applyBorder="1" applyAlignment="1">
      <alignment horizontal="right"/>
    </xf>
    <xf numFmtId="2" fontId="16" fillId="22" borderId="3" xfId="0" applyNumberFormat="1" applyFont="1" applyFill="1" applyBorder="1" applyAlignment="1">
      <alignment horizontal="right"/>
    </xf>
    <xf numFmtId="2" fontId="16" fillId="24" borderId="3" xfId="0" applyNumberFormat="1" applyFont="1" applyFill="1" applyBorder="1" applyAlignment="1">
      <alignment horizontal="right"/>
    </xf>
    <xf numFmtId="0" fontId="16" fillId="22" borderId="3" xfId="0" applyFont="1" applyFill="1" applyBorder="1" applyAlignment="1">
      <alignment horizontal="right"/>
    </xf>
    <xf numFmtId="0" fontId="16" fillId="28" borderId="3" xfId="0" applyFont="1" applyFill="1" applyBorder="1" applyAlignment="1">
      <alignment horizontal="right"/>
    </xf>
    <xf numFmtId="0" fontId="16" fillId="24" borderId="3" xfId="0" applyFont="1" applyFill="1" applyBorder="1" applyAlignment="1">
      <alignment horizontal="right"/>
    </xf>
    <xf numFmtId="0" fontId="16" fillId="15" borderId="3" xfId="0" applyFont="1" applyFill="1" applyBorder="1" applyAlignment="1">
      <alignment horizontal="right"/>
    </xf>
    <xf numFmtId="170" fontId="18" fillId="22" borderId="3" xfId="0" applyNumberFormat="1" applyFont="1" applyFill="1" applyBorder="1" applyAlignment="1"/>
    <xf numFmtId="170" fontId="18" fillId="24" borderId="3" xfId="0" applyNumberFormat="1" applyFont="1" applyFill="1" applyBorder="1" applyAlignment="1"/>
    <xf numFmtId="0" fontId="18" fillId="16" borderId="6" xfId="0" applyNumberFormat="1" applyFont="1" applyFill="1" applyBorder="1" applyAlignment="1"/>
    <xf numFmtId="9" fontId="30" fillId="16" borderId="3" xfId="2" applyFont="1" applyFill="1" applyBorder="1" applyAlignment="1">
      <alignment horizontal="right"/>
    </xf>
    <xf numFmtId="0" fontId="39" fillId="0" borderId="3" xfId="0" applyFont="1" applyBorder="1" applyAlignment="1"/>
    <xf numFmtId="0" fontId="36" fillId="0" borderId="3" xfId="0" applyFont="1" applyBorder="1" applyAlignment="1"/>
    <xf numFmtId="9" fontId="16" fillId="7" borderId="3" xfId="2" applyFont="1" applyFill="1" applyBorder="1" applyAlignment="1"/>
    <xf numFmtId="0" fontId="20" fillId="7" borderId="3" xfId="0" applyFont="1" applyFill="1" applyBorder="1" applyAlignment="1"/>
    <xf numFmtId="0" fontId="15" fillId="0" borderId="3" xfId="3" applyBorder="1"/>
    <xf numFmtId="0" fontId="13" fillId="0" borderId="3" xfId="3" applyFont="1" applyBorder="1"/>
    <xf numFmtId="0" fontId="14" fillId="0" borderId="3" xfId="3" applyFont="1" applyBorder="1"/>
    <xf numFmtId="0" fontId="18" fillId="0" borderId="3" xfId="0" applyFont="1" applyBorder="1" applyAlignment="1"/>
    <xf numFmtId="170" fontId="16" fillId="0" borderId="6" xfId="0" applyNumberFormat="1" applyFont="1" applyFill="1" applyBorder="1" applyAlignment="1">
      <alignment horizontal="center"/>
    </xf>
    <xf numFmtId="0" fontId="16" fillId="0" borderId="2" xfId="0" applyFont="1" applyBorder="1" applyAlignment="1"/>
    <xf numFmtId="172" fontId="16" fillId="0" borderId="0" xfId="0" applyNumberFormat="1" applyFont="1" applyFill="1" applyAlignment="1">
      <alignment horizontal="right"/>
    </xf>
    <xf numFmtId="172" fontId="28" fillId="0" borderId="0" xfId="0" applyNumberFormat="1" applyFont="1" applyFill="1" applyAlignment="1"/>
    <xf numFmtId="0" fontId="9" fillId="0" borderId="7" xfId="3" applyFont="1" applyFill="1" applyBorder="1"/>
    <xf numFmtId="0" fontId="18" fillId="11" borderId="6" xfId="2" applyNumberFormat="1" applyFont="1" applyFill="1" applyBorder="1" applyAlignment="1"/>
    <xf numFmtId="0" fontId="18" fillId="20" borderId="2" xfId="0" applyFont="1" applyFill="1" applyBorder="1" applyAlignment="1"/>
    <xf numFmtId="0" fontId="0" fillId="0" borderId="3" xfId="0" applyFont="1" applyBorder="1" applyAlignment="1"/>
    <xf numFmtId="172" fontId="0" fillId="0" borderId="3" xfId="0" applyNumberFormat="1" applyFont="1" applyBorder="1" applyAlignment="1"/>
    <xf numFmtId="0" fontId="28" fillId="16" borderId="3" xfId="0" applyFont="1" applyFill="1" applyBorder="1" applyAlignment="1"/>
    <xf numFmtId="0" fontId="33" fillId="0" borderId="3" xfId="0" applyFont="1" applyBorder="1" applyAlignment="1"/>
    <xf numFmtId="0" fontId="28" fillId="0" borderId="3" xfId="0" applyFont="1" applyBorder="1" applyAlignment="1">
      <alignment horizontal="center"/>
    </xf>
    <xf numFmtId="0" fontId="48" fillId="29" borderId="3" xfId="0" applyNumberFormat="1" applyFont="1" applyFill="1" applyBorder="1" applyAlignment="1"/>
    <xf numFmtId="0" fontId="0" fillId="9" borderId="3" xfId="0" applyFont="1" applyFill="1" applyBorder="1" applyAlignment="1"/>
    <xf numFmtId="0" fontId="0" fillId="0" borderId="0" xfId="0" applyFont="1" applyAlignment="1"/>
    <xf numFmtId="170" fontId="16" fillId="25" borderId="3" xfId="2" applyNumberFormat="1" applyFont="1" applyFill="1" applyBorder="1" applyAlignment="1">
      <alignment horizontal="right"/>
    </xf>
    <xf numFmtId="9" fontId="0" fillId="0" borderId="0" xfId="0" applyNumberFormat="1" applyFont="1" applyAlignment="1"/>
    <xf numFmtId="10" fontId="0" fillId="0" borderId="0" xfId="0" applyNumberFormat="1" applyFont="1" applyAlignment="1"/>
    <xf numFmtId="39" fontId="33" fillId="16" borderId="3" xfId="1" applyNumberFormat="1" applyFont="1" applyFill="1" applyBorder="1" applyAlignment="1"/>
    <xf numFmtId="9" fontId="0" fillId="26" borderId="3" xfId="0" applyNumberFormat="1" applyFont="1" applyFill="1" applyBorder="1" applyAlignment="1"/>
    <xf numFmtId="0" fontId="16" fillId="0" borderId="3" xfId="0" applyFont="1" applyFill="1" applyBorder="1" applyAlignment="1"/>
    <xf numFmtId="0" fontId="33" fillId="0" borderId="0" xfId="0" applyFont="1" applyFill="1" applyAlignment="1"/>
    <xf numFmtId="0" fontId="28" fillId="0" borderId="6" xfId="0" applyFont="1" applyFill="1" applyBorder="1" applyAlignment="1"/>
    <xf numFmtId="0" fontId="33" fillId="23" borderId="3" xfId="0" applyFont="1" applyFill="1" applyBorder="1" applyAlignment="1"/>
    <xf numFmtId="0" fontId="8" fillId="0" borderId="3" xfId="3" applyFont="1" applyFill="1" applyBorder="1"/>
    <xf numFmtId="0" fontId="9" fillId="0" borderId="3" xfId="3" applyFont="1" applyFill="1" applyBorder="1"/>
    <xf numFmtId="0" fontId="35" fillId="7" borderId="3" xfId="3" applyFont="1" applyFill="1" applyBorder="1" applyAlignment="1">
      <alignment horizontal="right"/>
    </xf>
    <xf numFmtId="0" fontId="46" fillId="7" borderId="3" xfId="3" applyFont="1" applyFill="1" applyBorder="1" applyAlignment="1">
      <alignment horizontal="right"/>
    </xf>
    <xf numFmtId="0" fontId="9" fillId="7" borderId="3" xfId="3" applyFont="1" applyFill="1" applyBorder="1" applyAlignment="1">
      <alignment horizontal="right"/>
    </xf>
    <xf numFmtId="0" fontId="10" fillId="7" borderId="3" xfId="3" applyFont="1" applyFill="1" applyBorder="1" applyAlignment="1">
      <alignment horizontal="right"/>
    </xf>
    <xf numFmtId="0" fontId="0" fillId="7" borderId="3" xfId="0" applyFont="1" applyFill="1" applyBorder="1" applyAlignment="1"/>
    <xf numFmtId="170" fontId="30" fillId="7" borderId="3" xfId="0" applyNumberFormat="1" applyFont="1" applyFill="1" applyBorder="1" applyAlignment="1">
      <alignment horizontal="right"/>
    </xf>
    <xf numFmtId="1" fontId="30" fillId="7" borderId="3" xfId="2" applyNumberFormat="1" applyFont="1" applyFill="1" applyBorder="1" applyAlignment="1">
      <alignment horizontal="right"/>
    </xf>
    <xf numFmtId="9" fontId="30" fillId="7" borderId="3" xfId="2" applyFont="1" applyFill="1" applyBorder="1" applyAlignment="1">
      <alignment horizontal="right"/>
    </xf>
    <xf numFmtId="0" fontId="30" fillId="7" borderId="3" xfId="0" applyFont="1" applyFill="1" applyBorder="1" applyAlignment="1">
      <alignment horizontal="right"/>
    </xf>
    <xf numFmtId="0" fontId="48" fillId="16" borderId="3" xfId="0" applyFont="1" applyFill="1" applyBorder="1" applyAlignment="1"/>
    <xf numFmtId="0" fontId="16" fillId="16" borderId="3" xfId="0" applyFont="1" applyFill="1" applyBorder="1" applyAlignment="1"/>
    <xf numFmtId="0" fontId="28" fillId="0" borderId="6" xfId="0" applyFont="1" applyBorder="1" applyAlignment="1"/>
    <xf numFmtId="0" fontId="28" fillId="0" borderId="9" xfId="0" applyFont="1" applyBorder="1" applyAlignment="1"/>
    <xf numFmtId="0" fontId="28" fillId="0" borderId="10" xfId="0" applyFont="1" applyFill="1" applyBorder="1" applyAlignment="1"/>
    <xf numFmtId="0" fontId="28" fillId="0" borderId="6" xfId="0" applyFont="1" applyBorder="1" applyAlignment="1">
      <alignment wrapText="1"/>
    </xf>
    <xf numFmtId="0" fontId="41" fillId="0" borderId="3" xfId="0" applyFont="1" applyBorder="1" applyAlignment="1"/>
    <xf numFmtId="0" fontId="30" fillId="0" borderId="3" xfId="0" applyFont="1" applyFill="1" applyBorder="1" applyAlignment="1">
      <alignment horizontal="left"/>
    </xf>
    <xf numFmtId="0" fontId="5" fillId="0" borderId="3" xfId="3" applyFont="1" applyFill="1" applyBorder="1" applyAlignment="1">
      <alignment horizontal="left"/>
    </xf>
    <xf numFmtId="2" fontId="30" fillId="0" borderId="3" xfId="0" applyNumberFormat="1" applyFont="1" applyFill="1" applyBorder="1" applyAlignment="1">
      <alignment horizontal="left"/>
    </xf>
    <xf numFmtId="172" fontId="30" fillId="0" borderId="3" xfId="1" applyNumberFormat="1" applyFont="1" applyFill="1" applyBorder="1" applyAlignment="1">
      <alignment horizontal="left"/>
    </xf>
    <xf numFmtId="170" fontId="30" fillId="0" borderId="3" xfId="0" applyNumberFormat="1" applyFont="1" applyFill="1" applyBorder="1" applyAlignment="1">
      <alignment horizontal="left"/>
    </xf>
    <xf numFmtId="0" fontId="30" fillId="0" borderId="3" xfId="2" applyNumberFormat="1" applyFont="1" applyFill="1" applyBorder="1" applyAlignment="1">
      <alignment horizontal="left"/>
    </xf>
    <xf numFmtId="0" fontId="61" fillId="0" borderId="3" xfId="0" applyFont="1" applyFill="1" applyBorder="1" applyAlignment="1">
      <alignment horizontal="left"/>
    </xf>
    <xf numFmtId="1" fontId="30" fillId="0" borderId="3" xfId="2" applyNumberFormat="1" applyFont="1" applyFill="1" applyBorder="1" applyAlignment="1">
      <alignment horizontal="left"/>
    </xf>
    <xf numFmtId="173" fontId="30" fillId="0" borderId="3" xfId="1" applyNumberFormat="1" applyFont="1" applyFill="1" applyBorder="1" applyAlignment="1">
      <alignment horizontal="left"/>
    </xf>
    <xf numFmtId="44" fontId="30" fillId="0" borderId="3" xfId="1" applyFont="1" applyFill="1" applyBorder="1" applyAlignment="1">
      <alignment horizontal="left"/>
    </xf>
    <xf numFmtId="9" fontId="30" fillId="0" borderId="3" xfId="2" applyFont="1" applyFill="1" applyBorder="1" applyAlignment="1">
      <alignment horizontal="left"/>
    </xf>
    <xf numFmtId="44" fontId="61" fillId="0" borderId="3" xfId="1" applyFont="1" applyFill="1" applyBorder="1" applyAlignment="1">
      <alignment horizontal="left"/>
    </xf>
    <xf numFmtId="0" fontId="49" fillId="0" borderId="3" xfId="0" applyFont="1" applyFill="1" applyBorder="1" applyAlignment="1">
      <alignment horizontal="left"/>
    </xf>
    <xf numFmtId="9" fontId="61" fillId="0" borderId="3" xfId="0" applyNumberFormat="1" applyFont="1" applyFill="1" applyBorder="1" applyAlignment="1">
      <alignment horizontal="left"/>
    </xf>
    <xf numFmtId="8" fontId="61" fillId="0" borderId="3" xfId="0" applyNumberFormat="1" applyFont="1" applyFill="1" applyBorder="1" applyAlignment="1">
      <alignment horizontal="left"/>
    </xf>
    <xf numFmtId="170" fontId="30" fillId="0" borderId="3" xfId="2" applyNumberFormat="1" applyFont="1" applyFill="1" applyBorder="1" applyAlignment="1">
      <alignment horizontal="left"/>
    </xf>
    <xf numFmtId="172" fontId="30" fillId="0" borderId="3" xfId="0" applyNumberFormat="1" applyFont="1" applyFill="1" applyBorder="1" applyAlignment="1">
      <alignment horizontal="left"/>
    </xf>
    <xf numFmtId="172" fontId="61" fillId="0" borderId="3" xfId="0" applyNumberFormat="1" applyFont="1" applyFill="1" applyBorder="1" applyAlignment="1">
      <alignment horizontal="left"/>
    </xf>
    <xf numFmtId="6" fontId="61" fillId="0" borderId="3" xfId="0" applyNumberFormat="1" applyFont="1" applyFill="1" applyBorder="1" applyAlignment="1">
      <alignment horizontal="left"/>
    </xf>
    <xf numFmtId="0" fontId="0" fillId="0" borderId="0" xfId="0" applyFont="1" applyAlignment="1"/>
    <xf numFmtId="0" fontId="30" fillId="0" borderId="0" xfId="0" applyFont="1" applyFill="1" applyAlignment="1"/>
    <xf numFmtId="14" fontId="30" fillId="9" borderId="11" xfId="0" applyNumberFormat="1" applyFont="1" applyFill="1" applyBorder="1" applyAlignment="1"/>
    <xf numFmtId="14" fontId="0" fillId="0" borderId="3" xfId="0" applyNumberFormat="1" applyFont="1" applyBorder="1" applyAlignment="1"/>
    <xf numFmtId="0" fontId="4" fillId="7" borderId="3" xfId="3" applyFont="1" applyFill="1" applyBorder="1" applyAlignment="1">
      <alignment horizontal="right"/>
    </xf>
    <xf numFmtId="0" fontId="0" fillId="0" borderId="0" xfId="0" applyFont="1" applyAlignment="1"/>
    <xf numFmtId="0" fontId="33" fillId="23" borderId="7" xfId="0" applyFont="1" applyFill="1" applyBorder="1" applyAlignment="1"/>
    <xf numFmtId="0" fontId="3" fillId="7" borderId="3" xfId="3" applyFont="1" applyFill="1" applyBorder="1" applyAlignment="1">
      <alignment horizontal="right"/>
    </xf>
    <xf numFmtId="44" fontId="0" fillId="0" borderId="0" xfId="0" applyNumberFormat="1"/>
    <xf numFmtId="0" fontId="0" fillId="0" borderId="0" xfId="0" applyFont="1" applyAlignment="1"/>
    <xf numFmtId="0" fontId="58" fillId="0" borderId="3" xfId="3" applyFont="1" applyBorder="1"/>
    <xf numFmtId="0" fontId="40" fillId="0" borderId="12" xfId="3" applyFont="1" applyBorder="1"/>
    <xf numFmtId="0" fontId="40" fillId="13" borderId="3" xfId="3" applyFont="1" applyFill="1" applyBorder="1"/>
    <xf numFmtId="0" fontId="40" fillId="13" borderId="5" xfId="3" applyFont="1" applyFill="1" applyBorder="1"/>
    <xf numFmtId="0" fontId="40" fillId="0" borderId="3" xfId="3" applyFont="1" applyBorder="1"/>
    <xf numFmtId="0" fontId="0" fillId="0" borderId="7" xfId="0" applyFont="1" applyBorder="1" applyAlignment="1"/>
    <xf numFmtId="0" fontId="33" fillId="0" borderId="3" xfId="0" applyFont="1" applyFill="1" applyBorder="1" applyAlignment="1"/>
    <xf numFmtId="9" fontId="0" fillId="16" borderId="3" xfId="2" applyFont="1" applyFill="1" applyBorder="1"/>
    <xf numFmtId="0" fontId="19" fillId="0" borderId="3" xfId="0" applyFont="1" applyBorder="1" applyAlignment="1"/>
    <xf numFmtId="0" fontId="36" fillId="0" borderId="3" xfId="0" applyFont="1" applyBorder="1" applyAlignment="1">
      <alignment wrapText="1"/>
    </xf>
    <xf numFmtId="0" fontId="39" fillId="0" borderId="3" xfId="0" applyFont="1" applyBorder="1" applyAlignment="1">
      <alignment wrapText="1"/>
    </xf>
    <xf numFmtId="44" fontId="36" fillId="0" borderId="3" xfId="1" applyFont="1" applyBorder="1" applyAlignment="1"/>
    <xf numFmtId="9" fontId="36" fillId="0" borderId="3" xfId="2" applyFont="1" applyBorder="1" applyAlignment="1"/>
    <xf numFmtId="44" fontId="36" fillId="20" borderId="3" xfId="1" applyFont="1" applyFill="1" applyBorder="1" applyAlignment="1"/>
    <xf numFmtId="9" fontId="39" fillId="0" borderId="3" xfId="2" applyFont="1" applyBorder="1" applyAlignment="1"/>
    <xf numFmtId="0" fontId="39" fillId="20" borderId="3" xfId="0" applyFont="1" applyFill="1" applyBorder="1" applyAlignment="1"/>
    <xf numFmtId="9" fontId="39" fillId="20" borderId="3" xfId="2" applyFont="1" applyFill="1" applyBorder="1" applyAlignment="1"/>
    <xf numFmtId="0" fontId="40" fillId="0" borderId="3" xfId="3" applyFont="1" applyBorder="1" applyAlignment="1">
      <alignment wrapText="1"/>
    </xf>
    <xf numFmtId="0" fontId="12" fillId="0" borderId="3" xfId="3" applyFont="1" applyBorder="1"/>
    <xf numFmtId="0" fontId="54" fillId="14" borderId="3" xfId="3" applyNumberFormat="1" applyFont="1" applyFill="1" applyBorder="1"/>
    <xf numFmtId="0" fontId="40" fillId="27" borderId="3" xfId="3" applyNumberFormat="1" applyFont="1" applyFill="1" applyBorder="1"/>
    <xf numFmtId="0" fontId="46" fillId="14" borderId="3" xfId="3" applyFont="1" applyFill="1" applyBorder="1"/>
    <xf numFmtId="0" fontId="55" fillId="14" borderId="3" xfId="3" applyFont="1" applyFill="1" applyBorder="1"/>
    <xf numFmtId="0" fontId="15" fillId="14" borderId="3" xfId="3" applyFill="1" applyBorder="1"/>
    <xf numFmtId="0" fontId="40" fillId="14" borderId="3" xfId="3" applyNumberFormat="1" applyFont="1" applyFill="1" applyBorder="1"/>
    <xf numFmtId="0" fontId="8" fillId="14" borderId="3" xfId="3" applyFont="1" applyFill="1" applyBorder="1"/>
    <xf numFmtId="0" fontId="11" fillId="14" borderId="3" xfId="3" applyFont="1" applyFill="1" applyBorder="1"/>
    <xf numFmtId="0" fontId="10" fillId="14" borderId="3" xfId="3" applyFont="1" applyFill="1" applyBorder="1"/>
    <xf numFmtId="0" fontId="40" fillId="14" borderId="3" xfId="3" applyFont="1" applyFill="1" applyBorder="1"/>
    <xf numFmtId="0" fontId="11" fillId="0" borderId="3" xfId="3" applyFont="1" applyBorder="1"/>
    <xf numFmtId="0" fontId="11" fillId="0" borderId="3" xfId="3" applyFont="1" applyFill="1" applyBorder="1"/>
    <xf numFmtId="0" fontId="11" fillId="14" borderId="3" xfId="3" quotePrefix="1" applyFont="1" applyFill="1" applyBorder="1"/>
    <xf numFmtId="0" fontId="10" fillId="14" borderId="3" xfId="3" quotePrefix="1" applyFont="1" applyFill="1" applyBorder="1"/>
    <xf numFmtId="0" fontId="10" fillId="0" borderId="3" xfId="3" applyFont="1" applyFill="1" applyBorder="1"/>
    <xf numFmtId="0" fontId="6" fillId="14" borderId="3" xfId="3" applyFont="1" applyFill="1" applyBorder="1"/>
    <xf numFmtId="0" fontId="10" fillId="0" borderId="3" xfId="3" applyFont="1" applyBorder="1"/>
    <xf numFmtId="0" fontId="15" fillId="14" borderId="3" xfId="3" applyNumberFormat="1" applyFill="1" applyBorder="1"/>
    <xf numFmtId="0" fontId="8" fillId="0" borderId="3" xfId="3" applyFont="1" applyBorder="1"/>
    <xf numFmtId="0" fontId="40" fillId="0" borderId="3" xfId="3" applyNumberFormat="1" applyFont="1" applyBorder="1"/>
    <xf numFmtId="0" fontId="15" fillId="0" borderId="3" xfId="3" applyFill="1" applyBorder="1"/>
    <xf numFmtId="0" fontId="54" fillId="0" borderId="3" xfId="3" applyNumberFormat="1" applyFont="1" applyBorder="1"/>
    <xf numFmtId="0" fontId="6" fillId="0" borderId="3" xfId="3" applyFont="1" applyBorder="1"/>
    <xf numFmtId="0" fontId="54" fillId="0" borderId="3" xfId="3" applyFont="1" applyBorder="1"/>
    <xf numFmtId="0" fontId="52" fillId="0" borderId="3" xfId="4" applyBorder="1" applyAlignment="1"/>
    <xf numFmtId="0" fontId="7" fillId="0" borderId="3" xfId="3" applyFont="1" applyBorder="1"/>
    <xf numFmtId="0" fontId="55" fillId="0" borderId="3" xfId="3" applyFont="1" applyBorder="1"/>
    <xf numFmtId="0" fontId="52" fillId="0" borderId="3" xfId="4" applyBorder="1"/>
    <xf numFmtId="0" fontId="53" fillId="0" borderId="3" xfId="3" applyFont="1" applyBorder="1"/>
    <xf numFmtId="0" fontId="59" fillId="0" borderId="3" xfId="0" applyFont="1" applyBorder="1" applyAlignment="1"/>
    <xf numFmtId="17" fontId="15" fillId="0" borderId="3" xfId="3" applyNumberFormat="1" applyBorder="1"/>
    <xf numFmtId="0" fontId="57" fillId="0" borderId="3" xfId="0" applyFont="1" applyBorder="1" applyAlignment="1"/>
    <xf numFmtId="174" fontId="0" fillId="16" borderId="3" xfId="0" applyNumberFormat="1" applyFont="1" applyFill="1" applyBorder="1" applyAlignment="1"/>
    <xf numFmtId="174" fontId="18" fillId="21" borderId="3" xfId="1" applyNumberFormat="1" applyFont="1" applyFill="1" applyBorder="1"/>
    <xf numFmtId="174" fontId="18" fillId="24" borderId="3" xfId="1" applyNumberFormat="1" applyFont="1" applyFill="1" applyBorder="1" applyAlignment="1"/>
    <xf numFmtId="174" fontId="18" fillId="15" borderId="3" xfId="1" applyNumberFormat="1" applyFont="1" applyFill="1" applyBorder="1" applyAlignment="1">
      <alignment horizontal="right"/>
    </xf>
    <xf numFmtId="174" fontId="18" fillId="24" borderId="3" xfId="1" applyNumberFormat="1" applyFont="1" applyFill="1" applyBorder="1" applyAlignment="1">
      <alignment horizontal="right"/>
    </xf>
    <xf numFmtId="174" fontId="0" fillId="7" borderId="3" xfId="1" applyNumberFormat="1" applyFont="1" applyFill="1" applyBorder="1" applyAlignment="1"/>
    <xf numFmtId="174" fontId="18" fillId="0" borderId="0" xfId="0" applyNumberFormat="1" applyFont="1"/>
    <xf numFmtId="174" fontId="18" fillId="32" borderId="0" xfId="0" applyNumberFormat="1" applyFont="1" applyFill="1"/>
    <xf numFmtId="174" fontId="18" fillId="5" borderId="0" xfId="0" applyNumberFormat="1" applyFont="1" applyFill="1"/>
    <xf numFmtId="174" fontId="0" fillId="0" borderId="0" xfId="0" applyNumberFormat="1" applyFont="1" applyAlignment="1"/>
    <xf numFmtId="174" fontId="20" fillId="0" borderId="1" xfId="0" applyNumberFormat="1" applyFont="1" applyBorder="1"/>
    <xf numFmtId="174" fontId="20" fillId="5" borderId="1" xfId="0" applyNumberFormat="1" applyFont="1" applyFill="1" applyBorder="1"/>
    <xf numFmtId="174" fontId="20" fillId="0" borderId="1" xfId="0" applyNumberFormat="1" applyFont="1" applyFill="1" applyBorder="1"/>
    <xf numFmtId="174" fontId="18" fillId="4" borderId="0" xfId="0" applyNumberFormat="1" applyFont="1" applyFill="1" applyAlignment="1"/>
    <xf numFmtId="174" fontId="20" fillId="0" borderId="0" xfId="0" applyNumberFormat="1" applyFont="1" applyAlignment="1"/>
    <xf numFmtId="174" fontId="16" fillId="0" borderId="0" xfId="1" applyNumberFormat="1" applyFont="1" applyBorder="1" applyAlignment="1"/>
    <xf numFmtId="174" fontId="43" fillId="0" borderId="0" xfId="1" applyNumberFormat="1" applyFont="1" applyBorder="1" applyAlignment="1"/>
    <xf numFmtId="174" fontId="56" fillId="0" borderId="0" xfId="0" applyNumberFormat="1" applyFont="1" applyAlignment="1"/>
    <xf numFmtId="174" fontId="18" fillId="33" borderId="0" xfId="0" applyNumberFormat="1" applyFont="1" applyFill="1" applyAlignment="1"/>
    <xf numFmtId="174" fontId="0" fillId="9" borderId="0" xfId="0" applyNumberFormat="1" applyFont="1" applyFill="1" applyAlignment="1"/>
    <xf numFmtId="174" fontId="18" fillId="16" borderId="0" xfId="0" applyNumberFormat="1" applyFont="1" applyFill="1"/>
    <xf numFmtId="174" fontId="0" fillId="32" borderId="0" xfId="0" applyNumberFormat="1" applyFont="1" applyFill="1" applyAlignment="1"/>
    <xf numFmtId="174" fontId="18" fillId="9" borderId="0" xfId="0" applyNumberFormat="1" applyFont="1" applyFill="1" applyAlignment="1">
      <alignment horizontal="right"/>
    </xf>
    <xf numFmtId="174" fontId="18" fillId="0" borderId="0" xfId="1" applyNumberFormat="1" applyFont="1"/>
    <xf numFmtId="174" fontId="20" fillId="0" borderId="1" xfId="0" applyNumberFormat="1" applyFont="1" applyBorder="1" applyAlignment="1"/>
    <xf numFmtId="174" fontId="33" fillId="0" borderId="0" xfId="0" applyNumberFormat="1" applyFont="1" applyAlignment="1"/>
    <xf numFmtId="174" fontId="49" fillId="0" borderId="0" xfId="0" applyNumberFormat="1" applyFont="1" applyAlignment="1"/>
    <xf numFmtId="174" fontId="30" fillId="0" borderId="0" xfId="1" applyNumberFormat="1" applyFont="1" applyBorder="1" applyAlignment="1"/>
    <xf numFmtId="174" fontId="16" fillId="0" borderId="0" xfId="0" applyNumberFormat="1" applyFont="1" applyFill="1" applyAlignment="1"/>
    <xf numFmtId="174" fontId="16" fillId="32" borderId="0" xfId="0" applyNumberFormat="1" applyFont="1" applyFill="1" applyAlignment="1"/>
    <xf numFmtId="174" fontId="18" fillId="3" borderId="0" xfId="0" applyNumberFormat="1" applyFont="1" applyFill="1" applyAlignment="1"/>
    <xf numFmtId="174" fontId="18" fillId="0" borderId="0" xfId="0" applyNumberFormat="1" applyFont="1" applyFill="1"/>
    <xf numFmtId="174" fontId="18" fillId="31" borderId="0" xfId="0" applyNumberFormat="1" applyFont="1" applyFill="1" applyAlignment="1"/>
    <xf numFmtId="174" fontId="33" fillId="0" borderId="4" xfId="0" applyNumberFormat="1" applyFont="1" applyBorder="1" applyAlignment="1"/>
    <xf numFmtId="174" fontId="20" fillId="0" borderId="1" xfId="1" applyNumberFormat="1" applyFont="1" applyBorder="1" applyAlignment="1"/>
    <xf numFmtId="174" fontId="18" fillId="4" borderId="0" xfId="0" applyNumberFormat="1" applyFont="1" applyFill="1" applyAlignment="1">
      <alignment horizontal="right"/>
    </xf>
    <xf numFmtId="174" fontId="28" fillId="32" borderId="0" xfId="1" applyNumberFormat="1" applyFont="1" applyFill="1" applyAlignment="1"/>
    <xf numFmtId="174" fontId="16" fillId="5" borderId="0" xfId="0" applyNumberFormat="1" applyFont="1" applyFill="1"/>
    <xf numFmtId="174" fontId="16" fillId="11" borderId="0" xfId="0" applyNumberFormat="1" applyFont="1" applyFill="1"/>
    <xf numFmtId="174" fontId="16" fillId="25" borderId="0" xfId="0" applyNumberFormat="1" applyFont="1" applyFill="1"/>
    <xf numFmtId="174" fontId="28" fillId="11" borderId="0" xfId="0" applyNumberFormat="1" applyFont="1" applyFill="1" applyAlignment="1"/>
    <xf numFmtId="174" fontId="30" fillId="7" borderId="3" xfId="1" applyNumberFormat="1" applyFont="1" applyFill="1" applyBorder="1" applyAlignment="1">
      <alignment horizontal="right"/>
    </xf>
    <xf numFmtId="174" fontId="0" fillId="23" borderId="3" xfId="0" applyNumberFormat="1" applyFont="1" applyFill="1" applyBorder="1" applyAlignment="1"/>
    <xf numFmtId="174" fontId="0" fillId="26" borderId="3" xfId="0" applyNumberFormat="1" applyFont="1" applyFill="1" applyBorder="1" applyAlignment="1"/>
    <xf numFmtId="174" fontId="39" fillId="0" borderId="3" xfId="0" applyNumberFormat="1" applyFont="1" applyBorder="1" applyAlignment="1"/>
    <xf numFmtId="174" fontId="39" fillId="0" borderId="3" xfId="1" applyNumberFormat="1" applyFont="1" applyBorder="1" applyAlignment="1"/>
    <xf numFmtId="174" fontId="0" fillId="0" borderId="3" xfId="0" applyNumberFormat="1" applyFont="1" applyBorder="1" applyAlignment="1"/>
    <xf numFmtId="174" fontId="36" fillId="16" borderId="3" xfId="1" applyNumberFormat="1" applyFont="1" applyFill="1" applyBorder="1" applyAlignment="1"/>
    <xf numFmtId="174" fontId="18" fillId="16" borderId="3" xfId="1" applyNumberFormat="1" applyFont="1" applyFill="1" applyBorder="1" applyAlignment="1"/>
    <xf numFmtId="0" fontId="62" fillId="0" borderId="3" xfId="0" applyFont="1" applyBorder="1" applyAlignment="1"/>
    <xf numFmtId="10" fontId="39" fillId="0" borderId="3" xfId="2" applyNumberFormat="1" applyFont="1" applyBorder="1" applyAlignment="1"/>
    <xf numFmtId="9" fontId="39" fillId="0" borderId="3" xfId="0" applyNumberFormat="1" applyFont="1" applyBorder="1" applyAlignment="1"/>
    <xf numFmtId="0" fontId="39" fillId="0" borderId="3" xfId="0" applyFont="1" applyBorder="1" applyAlignment="1">
      <alignment horizontal="center"/>
    </xf>
    <xf numFmtId="10" fontId="39" fillId="0" borderId="3" xfId="0" applyNumberFormat="1" applyFont="1" applyBorder="1" applyAlignment="1"/>
    <xf numFmtId="0" fontId="39" fillId="0" borderId="7" xfId="0" applyFont="1" applyFill="1" applyBorder="1" applyAlignment="1"/>
    <xf numFmtId="1" fontId="36" fillId="30" borderId="3" xfId="1" applyNumberFormat="1" applyFont="1" applyFill="1" applyBorder="1" applyAlignment="1"/>
    <xf numFmtId="1" fontId="36" fillId="0" borderId="3" xfId="1" applyNumberFormat="1" applyFont="1" applyFill="1" applyBorder="1" applyAlignment="1"/>
    <xf numFmtId="0" fontId="19" fillId="0" borderId="1" xfId="0" applyFont="1" applyBorder="1" applyAlignment="1"/>
    <xf numFmtId="174" fontId="36" fillId="0" borderId="1" xfId="0" applyNumberFormat="1" applyFont="1" applyBorder="1"/>
    <xf numFmtId="0" fontId="36" fillId="0" borderId="1" xfId="0" applyFont="1" applyBorder="1"/>
    <xf numFmtId="10" fontId="39" fillId="0" borderId="0" xfId="2" applyNumberFormat="1" applyFont="1" applyBorder="1" applyAlignment="1"/>
    <xf numFmtId="0" fontId="39" fillId="0" borderId="3" xfId="0" applyFont="1" applyFill="1" applyBorder="1" applyAlignment="1"/>
    <xf numFmtId="175" fontId="39"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39" fillId="0" borderId="3" xfId="0" applyNumberFormat="1" applyFont="1" applyBorder="1" applyAlignment="1"/>
    <xf numFmtId="167" fontId="39" fillId="0" borderId="3" xfId="0" applyNumberFormat="1" applyFont="1" applyBorder="1" applyAlignment="1"/>
    <xf numFmtId="176" fontId="39" fillId="0" borderId="3" xfId="0" applyNumberFormat="1" applyFont="1" applyBorder="1" applyAlignment="1"/>
    <xf numFmtId="174" fontId="36" fillId="16" borderId="1" xfId="0" applyNumberFormat="1" applyFont="1" applyFill="1" applyBorder="1"/>
    <xf numFmtId="0" fontId="63" fillId="0" borderId="0" xfId="0" applyFont="1" applyAlignment="1"/>
    <xf numFmtId="174" fontId="63" fillId="0" borderId="0" xfId="0" applyNumberFormat="1" applyFont="1" applyAlignment="1"/>
    <xf numFmtId="174" fontId="36" fillId="16" borderId="3" xfId="0" applyNumberFormat="1" applyFont="1" applyFill="1" applyBorder="1" applyAlignment="1"/>
    <xf numFmtId="174" fontId="19" fillId="16" borderId="3" xfId="1" applyNumberFormat="1" applyFont="1" applyFill="1" applyBorder="1" applyAlignment="1"/>
    <xf numFmtId="0" fontId="36" fillId="16" borderId="3" xfId="0" applyFont="1" applyFill="1" applyBorder="1" applyAlignment="1"/>
    <xf numFmtId="14" fontId="0" fillId="0" borderId="0" xfId="0" applyNumberFormat="1" applyFont="1" applyAlignment="1"/>
    <xf numFmtId="6" fontId="28" fillId="0" borderId="0" xfId="0" applyNumberFormat="1" applyFont="1" applyAlignment="1"/>
    <xf numFmtId="14" fontId="41" fillId="0" borderId="3" xfId="0" applyNumberFormat="1" applyFont="1" applyBorder="1" applyAlignment="1"/>
    <xf numFmtId="0" fontId="39" fillId="13" borderId="3" xfId="0" applyFont="1" applyFill="1" applyBorder="1" applyAlignment="1"/>
    <xf numFmtId="0" fontId="41" fillId="13" borderId="3" xfId="0" applyFont="1" applyFill="1" applyBorder="1" applyAlignment="1"/>
    <xf numFmtId="0" fontId="39" fillId="14" borderId="3" xfId="0" applyFont="1" applyFill="1" applyBorder="1" applyAlignment="1"/>
    <xf numFmtId="0" fontId="39" fillId="34" borderId="3" xfId="0" applyFont="1" applyFill="1" applyBorder="1" applyAlignment="1"/>
    <xf numFmtId="6" fontId="39" fillId="34" borderId="3" xfId="0" applyNumberFormat="1" applyFont="1" applyFill="1" applyBorder="1" applyAlignment="1"/>
    <xf numFmtId="0" fontId="39" fillId="35" borderId="3" xfId="0" applyFont="1" applyFill="1" applyBorder="1" applyAlignment="1"/>
    <xf numFmtId="0" fontId="41" fillId="14" borderId="3" xfId="0" applyFont="1" applyFill="1" applyBorder="1" applyAlignment="1"/>
    <xf numFmtId="9" fontId="16" fillId="23" borderId="3" xfId="2" applyFont="1" applyFill="1" applyBorder="1" applyAlignment="1"/>
    <xf numFmtId="0" fontId="20" fillId="16" borderId="3" xfId="0" applyFont="1" applyFill="1" applyBorder="1" applyAlignment="1"/>
    <xf numFmtId="0" fontId="21" fillId="0" borderId="3" xfId="0" applyFont="1" applyBorder="1" applyAlignment="1"/>
    <xf numFmtId="174" fontId="16" fillId="16" borderId="3" xfId="1" applyNumberFormat="1" applyFont="1" applyFill="1" applyBorder="1" applyAlignment="1"/>
    <xf numFmtId="174" fontId="0" fillId="16" borderId="3" xfId="1" applyNumberFormat="1" applyFont="1" applyFill="1" applyBorder="1" applyAlignment="1"/>
    <xf numFmtId="0" fontId="64" fillId="37" borderId="0" xfId="0" applyFont="1" applyFill="1" applyAlignment="1"/>
    <xf numFmtId="0" fontId="16" fillId="0" borderId="10" xfId="0" applyFont="1" applyFill="1" applyBorder="1" applyAlignment="1"/>
    <xf numFmtId="9" fontId="40" fillId="0" borderId="3" xfId="2" applyFont="1" applyBorder="1" applyAlignment="1"/>
    <xf numFmtId="9" fontId="40" fillId="13" borderId="3" xfId="2" applyFont="1" applyFill="1" applyBorder="1" applyAlignment="1"/>
    <xf numFmtId="0" fontId="65" fillId="38" borderId="0" xfId="0" applyFont="1" applyFill="1"/>
    <xf numFmtId="0" fontId="66" fillId="0" borderId="0" xfId="0" applyFont="1"/>
    <xf numFmtId="0" fontId="52" fillId="0" borderId="0" xfId="4" applyAlignment="1"/>
    <xf numFmtId="0" fontId="67" fillId="0" borderId="0" xfId="0" applyFont="1"/>
    <xf numFmtId="0" fontId="66" fillId="0" borderId="3" xfId="0" applyFont="1" applyBorder="1"/>
    <xf numFmtId="0" fontId="66" fillId="14" borderId="3" xfId="0" applyFont="1" applyFill="1" applyBorder="1"/>
    <xf numFmtId="49" fontId="66" fillId="14" borderId="3" xfId="0" applyNumberFormat="1" applyFont="1" applyFill="1" applyBorder="1"/>
    <xf numFmtId="49" fontId="66" fillId="0" borderId="3" xfId="0" applyNumberFormat="1" applyFont="1" applyBorder="1"/>
    <xf numFmtId="0" fontId="0" fillId="14" borderId="3" xfId="0" applyFill="1" applyBorder="1"/>
    <xf numFmtId="0" fontId="0" fillId="0" borderId="3" xfId="0" applyBorder="1"/>
    <xf numFmtId="0" fontId="66" fillId="0" borderId="3" xfId="0" applyFont="1" applyBorder="1" applyAlignment="1">
      <alignment horizontal="center"/>
    </xf>
    <xf numFmtId="0" fontId="66" fillId="14" borderId="3" xfId="0" applyFont="1" applyFill="1" applyBorder="1" applyAlignment="1">
      <alignment horizontal="center"/>
    </xf>
    <xf numFmtId="0" fontId="0" fillId="0" borderId="0" xfId="0"/>
    <xf numFmtId="0" fontId="66" fillId="0" borderId="0" xfId="0" applyFont="1" applyAlignment="1">
      <alignment horizontal="center"/>
    </xf>
    <xf numFmtId="0" fontId="66" fillId="39" borderId="0" xfId="0" applyFont="1" applyFill="1"/>
    <xf numFmtId="0" fontId="66" fillId="14" borderId="3" xfId="0" applyFont="1" applyFill="1" applyBorder="1" applyAlignment="1">
      <alignment horizontal="center" vertical="center"/>
    </xf>
    <xf numFmtId="0" fontId="66" fillId="14" borderId="13" xfId="0" applyFont="1" applyFill="1" applyBorder="1"/>
    <xf numFmtId="0" fontId="66" fillId="0" borderId="13" xfId="0" applyFont="1" applyBorder="1"/>
    <xf numFmtId="0" fontId="66" fillId="0" borderId="14" xfId="0" applyFont="1" applyBorder="1"/>
    <xf numFmtId="0" fontId="66" fillId="0" borderId="15" xfId="0" applyFont="1" applyBorder="1"/>
    <xf numFmtId="0" fontId="2" fillId="0" borderId="3" xfId="3" applyFont="1" applyBorder="1"/>
    <xf numFmtId="0" fontId="2" fillId="0" borderId="3" xfId="3" applyFont="1" applyBorder="1" applyAlignment="1">
      <alignment wrapText="1"/>
    </xf>
    <xf numFmtId="0" fontId="16" fillId="0" borderId="3" xfId="4" applyFont="1" applyBorder="1"/>
    <xf numFmtId="0" fontId="0" fillId="0" borderId="0" xfId="0" applyFont="1" applyAlignment="1"/>
    <xf numFmtId="8" fontId="28" fillId="0" borderId="0" xfId="0" applyNumberFormat="1" applyFont="1" applyAlignment="1"/>
    <xf numFmtId="177" fontId="30" fillId="7" borderId="3" xfId="1" applyNumberFormat="1" applyFont="1" applyFill="1" applyBorder="1" applyAlignment="1">
      <alignment horizontal="right"/>
    </xf>
    <xf numFmtId="0" fontId="1" fillId="0" borderId="0" xfId="3" applyFont="1" applyAlignment="1">
      <alignment wrapText="1"/>
    </xf>
    <xf numFmtId="0" fontId="55" fillId="0" borderId="0" xfId="3" applyFont="1"/>
    <xf numFmtId="0" fontId="36" fillId="14" borderId="3" xfId="3" applyNumberFormat="1" applyFont="1" applyFill="1" applyBorder="1"/>
    <xf numFmtId="0" fontId="16" fillId="29" borderId="3" xfId="0" applyNumberFormat="1" applyFont="1" applyFill="1" applyBorder="1" applyAlignment="1"/>
    <xf numFmtId="0" fontId="0" fillId="0" borderId="0" xfId="0" applyFont="1" applyAlignment="1"/>
    <xf numFmtId="174" fontId="18" fillId="7" borderId="0" xfId="0" applyNumberFormat="1" applyFont="1" applyFill="1" applyAlignment="1"/>
    <xf numFmtId="0" fontId="16" fillId="0" borderId="7" xfId="0" applyFont="1" applyFill="1" applyBorder="1" applyAlignment="1"/>
    <xf numFmtId="172" fontId="0" fillId="40" borderId="0" xfId="0" applyNumberFormat="1" applyFont="1" applyFill="1" applyAlignment="1"/>
    <xf numFmtId="172" fontId="18" fillId="24" borderId="3" xfId="1" applyNumberFormat="1" applyFont="1" applyFill="1" applyBorder="1" applyAlignment="1"/>
    <xf numFmtId="174" fontId="18" fillId="16" borderId="0" xfId="1" applyNumberFormat="1" applyFont="1" applyFill="1"/>
    <xf numFmtId="174" fontId="0" fillId="16" borderId="0" xfId="0" applyNumberFormat="1" applyFont="1" applyFill="1" applyAlignment="1"/>
    <xf numFmtId="44" fontId="16" fillId="0" borderId="0" xfId="0" applyNumberFormat="1" applyFont="1" applyAlignment="1">
      <alignment horizontal="right"/>
    </xf>
    <xf numFmtId="172" fontId="20" fillId="7" borderId="3" xfId="0" applyNumberFormat="1" applyFont="1" applyFill="1" applyBorder="1" applyAlignment="1"/>
    <xf numFmtId="0" fontId="68" fillId="0" borderId="0" xfId="0" applyFont="1" applyAlignment="1"/>
    <xf numFmtId="44" fontId="20" fillId="0" borderId="0" xfId="1" applyFont="1" applyAlignment="1"/>
    <xf numFmtId="0" fontId="0" fillId="0" borderId="5" xfId="0" applyFont="1" applyFill="1" applyBorder="1" applyAlignment="1">
      <alignment horizontal="center"/>
    </xf>
    <xf numFmtId="2" fontId="30" fillId="7" borderId="3" xfId="1" applyNumberFormat="1" applyFont="1" applyFill="1" applyBorder="1" applyAlignment="1">
      <alignment horizontal="right"/>
    </xf>
    <xf numFmtId="2" fontId="0" fillId="16" borderId="3" xfId="0" applyNumberFormat="1" applyFont="1" applyFill="1" applyBorder="1" applyAlignment="1"/>
    <xf numFmtId="2" fontId="0" fillId="23" borderId="3" xfId="0" applyNumberFormat="1" applyFont="1" applyFill="1" applyBorder="1" applyAlignment="1"/>
    <xf numFmtId="0" fontId="0" fillId="42" borderId="0" xfId="0" applyFont="1" applyFill="1" applyAlignment="1"/>
    <xf numFmtId="0" fontId="0" fillId="27" borderId="0" xfId="0" applyFont="1" applyFill="1" applyAlignment="1"/>
    <xf numFmtId="0" fontId="30" fillId="42" borderId="3" xfId="0" applyFont="1" applyFill="1" applyBorder="1" applyAlignment="1">
      <alignment horizontal="left"/>
    </xf>
    <xf numFmtId="2" fontId="30" fillId="42" borderId="3" xfId="0" applyNumberFormat="1" applyFont="1" applyFill="1" applyBorder="1" applyAlignment="1">
      <alignment horizontal="left"/>
    </xf>
    <xf numFmtId="172" fontId="30" fillId="27" borderId="3" xfId="1" applyNumberFormat="1" applyFont="1" applyFill="1" applyBorder="1" applyAlignment="1">
      <alignment horizontal="left"/>
    </xf>
    <xf numFmtId="170" fontId="30" fillId="27" borderId="3" xfId="0" applyNumberFormat="1" applyFont="1" applyFill="1" applyBorder="1" applyAlignment="1">
      <alignment horizontal="left"/>
    </xf>
    <xf numFmtId="0" fontId="30" fillId="27" borderId="3" xfId="0" applyFont="1" applyFill="1" applyBorder="1" applyAlignment="1">
      <alignment horizontal="left"/>
    </xf>
    <xf numFmtId="0" fontId="28" fillId="42" borderId="0" xfId="0" applyFont="1" applyFill="1" applyAlignment="1"/>
    <xf numFmtId="0" fontId="30" fillId="34" borderId="7" xfId="0" applyFont="1" applyFill="1" applyBorder="1" applyAlignment="1">
      <alignment horizontal="left"/>
    </xf>
    <xf numFmtId="0" fontId="28" fillId="34" borderId="0" xfId="0" applyFont="1" applyFill="1" applyAlignment="1"/>
    <xf numFmtId="0" fontId="30" fillId="34" borderId="3" xfId="0" applyFont="1" applyFill="1" applyBorder="1" applyAlignment="1">
      <alignment horizontal="left"/>
    </xf>
    <xf numFmtId="172" fontId="30" fillId="34" borderId="3" xfId="0" applyNumberFormat="1" applyFont="1" applyFill="1" applyBorder="1" applyAlignment="1">
      <alignment horizontal="left"/>
    </xf>
    <xf numFmtId="173" fontId="30" fillId="34" borderId="3" xfId="1" applyNumberFormat="1" applyFont="1" applyFill="1" applyBorder="1" applyAlignment="1">
      <alignment horizontal="left"/>
    </xf>
    <xf numFmtId="44" fontId="30" fillId="34" borderId="3" xfId="1" applyFont="1" applyFill="1" applyBorder="1" applyAlignment="1">
      <alignment horizontal="left"/>
    </xf>
    <xf numFmtId="9" fontId="30" fillId="34" borderId="3" xfId="2" applyFont="1" applyFill="1" applyBorder="1" applyAlignment="1">
      <alignment horizontal="left"/>
    </xf>
    <xf numFmtId="9" fontId="30" fillId="42" borderId="3" xfId="2" applyFont="1" applyFill="1" applyBorder="1" applyAlignment="1">
      <alignment horizontal="left"/>
    </xf>
    <xf numFmtId="170" fontId="30" fillId="42" borderId="3" xfId="2" applyNumberFormat="1" applyFont="1" applyFill="1" applyBorder="1" applyAlignment="1">
      <alignment horizontal="left"/>
    </xf>
    <xf numFmtId="44" fontId="30" fillId="42" borderId="3" xfId="1" applyFont="1" applyFill="1" applyBorder="1" applyAlignment="1">
      <alignment horizontal="left"/>
    </xf>
    <xf numFmtId="0" fontId="30" fillId="42" borderId="3" xfId="2" applyNumberFormat="1" applyFont="1" applyFill="1" applyBorder="1" applyAlignment="1">
      <alignment horizontal="left"/>
    </xf>
    <xf numFmtId="170" fontId="30" fillId="42" borderId="3" xfId="0" applyNumberFormat="1" applyFont="1" applyFill="1" applyBorder="1" applyAlignment="1">
      <alignment horizontal="left"/>
    </xf>
    <xf numFmtId="1" fontId="30" fillId="42" borderId="3" xfId="2" applyNumberFormat="1" applyFont="1" applyFill="1" applyBorder="1" applyAlignment="1">
      <alignment horizontal="left"/>
    </xf>
    <xf numFmtId="0" fontId="28" fillId="42" borderId="3" xfId="0" applyFont="1" applyFill="1" applyBorder="1" applyAlignment="1"/>
    <xf numFmtId="0" fontId="30" fillId="41" borderId="3" xfId="0" applyFont="1" applyFill="1" applyBorder="1" applyAlignment="1">
      <alignment horizontal="left"/>
    </xf>
    <xf numFmtId="9" fontId="30" fillId="42" borderId="3" xfId="0" applyNumberFormat="1" applyFont="1" applyFill="1" applyBorder="1" applyAlignment="1">
      <alignment horizontal="left"/>
    </xf>
    <xf numFmtId="8" fontId="30" fillId="34" borderId="3" xfId="0" applyNumberFormat="1" applyFont="1" applyFill="1" applyBorder="1" applyAlignment="1">
      <alignment horizontal="left"/>
    </xf>
    <xf numFmtId="6" fontId="30" fillId="34" borderId="3" xfId="0" applyNumberFormat="1" applyFont="1" applyFill="1" applyBorder="1" applyAlignment="1">
      <alignment horizontal="left"/>
    </xf>
    <xf numFmtId="0" fontId="30" fillId="42" borderId="3" xfId="3" applyFont="1" applyFill="1" applyBorder="1" applyAlignment="1">
      <alignment horizontal="left"/>
    </xf>
    <xf numFmtId="0" fontId="30" fillId="41" borderId="3" xfId="3" applyFont="1" applyFill="1" applyBorder="1" applyAlignment="1">
      <alignment horizontal="left"/>
    </xf>
    <xf numFmtId="0" fontId="28" fillId="0" borderId="0" xfId="0" applyFont="1" applyFill="1" applyBorder="1" applyAlignment="1">
      <alignment horizontal="center"/>
    </xf>
    <xf numFmtId="0" fontId="17" fillId="2" borderId="0" xfId="0" applyFont="1" applyFill="1" applyAlignment="1">
      <alignment horizontal="left"/>
    </xf>
    <xf numFmtId="0" fontId="0" fillId="0" borderId="0" xfId="0" applyFont="1" applyAlignment="1"/>
    <xf numFmtId="0" fontId="16" fillId="3" borderId="0" xfId="0" applyFont="1" applyFill="1" applyAlignment="1"/>
    <xf numFmtId="0" fontId="16" fillId="4" borderId="0" xfId="0" applyFont="1" applyFill="1" applyAlignment="1"/>
    <xf numFmtId="0" fontId="16" fillId="5" borderId="0" xfId="0" applyFont="1" applyFill="1" applyAlignment="1"/>
    <xf numFmtId="0" fontId="0" fillId="0" borderId="5" xfId="0" applyFont="1" applyFill="1" applyBorder="1" applyAlignment="1">
      <alignment horizontal="center"/>
    </xf>
    <xf numFmtId="0" fontId="28" fillId="0" borderId="3" xfId="0" applyFont="1" applyBorder="1" applyAlignment="1">
      <alignment horizontal="center"/>
    </xf>
    <xf numFmtId="0" fontId="28" fillId="0" borderId="3" xfId="0" applyFont="1" applyBorder="1" applyAlignment="1">
      <alignment horizontal="center" vertical="center"/>
    </xf>
    <xf numFmtId="0" fontId="28" fillId="0" borderId="8" xfId="0" applyFont="1" applyFill="1" applyBorder="1" applyAlignment="1">
      <alignment horizontal="center" wrapText="1"/>
    </xf>
    <xf numFmtId="0" fontId="28" fillId="0" borderId="5" xfId="0" applyFont="1" applyFill="1" applyBorder="1" applyAlignment="1">
      <alignment horizontal="center" wrapText="1"/>
    </xf>
    <xf numFmtId="0" fontId="28" fillId="0" borderId="8" xfId="0" applyFont="1" applyBorder="1" applyAlignment="1">
      <alignment horizontal="center" vertical="center"/>
    </xf>
    <xf numFmtId="0" fontId="28" fillId="0" borderId="5" xfId="0" applyFont="1" applyBorder="1" applyAlignment="1">
      <alignment horizontal="center" vertical="center"/>
    </xf>
    <xf numFmtId="0" fontId="28" fillId="0" borderId="7" xfId="0" applyFont="1" applyBorder="1" applyAlignment="1">
      <alignment horizontal="center" wrapText="1"/>
    </xf>
    <xf numFmtId="0" fontId="28" fillId="0" borderId="5" xfId="0" applyFont="1" applyBorder="1" applyAlignment="1">
      <alignment horizontal="center" wrapText="1"/>
    </xf>
    <xf numFmtId="0" fontId="28" fillId="0" borderId="3" xfId="0" applyFont="1" applyBorder="1" applyAlignment="1">
      <alignment horizontal="center" wrapText="1"/>
    </xf>
    <xf numFmtId="0" fontId="50" fillId="0" borderId="3" xfId="0" applyFont="1" applyBorder="1" applyAlignment="1">
      <alignment horizontal="center" wrapText="1"/>
    </xf>
    <xf numFmtId="0" fontId="28" fillId="0" borderId="8" xfId="0" applyFont="1" applyBorder="1" applyAlignment="1">
      <alignment horizontal="center" wrapText="1"/>
    </xf>
    <xf numFmtId="0" fontId="0" fillId="0" borderId="3" xfId="0" applyFont="1" applyBorder="1" applyAlignment="1">
      <alignment horizontal="center" vertical="center"/>
    </xf>
    <xf numFmtId="0" fontId="19" fillId="0" borderId="0" xfId="0" applyFont="1" applyAlignment="1">
      <alignment horizontal="center"/>
    </xf>
    <xf numFmtId="0" fontId="33" fillId="0" borderId="0" xfId="0" applyFont="1" applyFill="1" applyAlignment="1">
      <alignment horizontal="center" wrapText="1"/>
    </xf>
    <xf numFmtId="0" fontId="40" fillId="0" borderId="0" xfId="3" applyFont="1" applyAlignment="1">
      <alignment horizontal="center" wrapText="1"/>
    </xf>
    <xf numFmtId="0" fontId="66" fillId="0" borderId="0" xfId="0" applyFont="1" applyAlignment="1">
      <alignment horizontal="center" vertical="center"/>
    </xf>
    <xf numFmtId="0" fontId="41" fillId="34" borderId="3" xfId="0" applyFont="1" applyFill="1" applyBorder="1" applyAlignment="1">
      <alignment horizontal="center"/>
    </xf>
    <xf numFmtId="0" fontId="41" fillId="35" borderId="3" xfId="0" applyFont="1" applyFill="1" applyBorder="1" applyAlignment="1">
      <alignment horizontal="center"/>
    </xf>
    <xf numFmtId="0" fontId="41" fillId="36" borderId="3" xfId="0" applyFont="1" applyFill="1" applyBorder="1" applyAlignment="1">
      <alignment horizontal="center" wrapText="1"/>
    </xf>
    <xf numFmtId="0" fontId="41" fillId="14" borderId="3" xfId="0" applyFont="1" applyFill="1" applyBorder="1" applyAlignment="1">
      <alignment horizontal="center"/>
    </xf>
    <xf numFmtId="0" fontId="15" fillId="0" borderId="0" xfId="3" applyAlignment="1">
      <alignment horizontal="center"/>
    </xf>
    <xf numFmtId="0" fontId="0" fillId="0" borderId="3" xfId="0" applyFont="1" applyBorder="1" applyAlignment="1">
      <alignment horizontal="center"/>
    </xf>
    <xf numFmtId="172" fontId="30" fillId="42" borderId="3" xfId="0" applyNumberFormat="1" applyFont="1" applyFill="1" applyBorder="1" applyAlignment="1">
      <alignment horizontal="left"/>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8" formatCode="[$$-409]#,##0.00"/>
    </dxf>
    <dxf>
      <numFmt numFmtId="179" formatCode="&quot;£&quot;#,##0.00"/>
    </dxf>
    <dxf>
      <numFmt numFmtId="180" formatCode="[$€-2]\ #,##0.00"/>
    </dxf>
    <dxf>
      <numFmt numFmtId="181" formatCode="[$¥-411]#,##0.00"/>
    </dxf>
    <dxf>
      <numFmt numFmtId="182" formatCode="[$$-C09]#,##0.00"/>
    </dxf>
    <dxf>
      <numFmt numFmtId="179" formatCode="&quot;£&quot;#,##0.00"/>
    </dxf>
    <dxf>
      <numFmt numFmtId="180" formatCode="[$€-2]\ #,##0.00"/>
    </dxf>
    <dxf>
      <numFmt numFmtId="182" formatCode="[$$-C09]#,##0.00"/>
    </dxf>
    <dxf>
      <numFmt numFmtId="178" formatCode="[$$-409]#,##0.00"/>
    </dxf>
    <dxf>
      <numFmt numFmtId="183" formatCode="_-[$¥-411]* #,##0.00_-;\-[$¥-411]* #,##0.00_-;_-[$¥-411]* &quot;-&quot;??_-;_-@_-"/>
    </dxf>
    <dxf>
      <numFmt numFmtId="34" formatCode="_(&quot;£&quot;* #,##0.00_);_(&quot;£&quot;* \(#,##0.00\);_(&quot;£&quot;* &quot;-&quot;??_);_(@_)"/>
    </dxf>
    <dxf>
      <numFmt numFmtId="167" formatCode="_([$€-2]\ * #,##0.00_);_([$€-2]\ * \(#,##0.00\);_([$€-2]\ * &quot;-&quot;??_);_(@_)"/>
    </dxf>
    <dxf>
      <numFmt numFmtId="184" formatCode="_-[$$-C09]* #,##0.00_-;\-[$$-C09]* #,##0.00_-;_-[$$-C09]* &quot;-&quot;??_-;_-@_-"/>
    </dxf>
    <dxf>
      <numFmt numFmtId="183" formatCode="_-[$¥-411]* #,##0.00_-;\-[$¥-411]* #,##0.00_-;_-[$¥-411]* &quot;-&quot;??_-;_-@_-"/>
    </dxf>
    <dxf>
      <numFmt numFmtId="179" formatCode="&quot;£&quot;#,##0.00"/>
    </dxf>
    <dxf>
      <numFmt numFmtId="182" formatCode="[$$-C09]#,##0.00"/>
    </dxf>
    <dxf>
      <numFmt numFmtId="178" formatCode="[$$-409]#,##0.00"/>
    </dxf>
    <dxf>
      <numFmt numFmtId="181" formatCode="[$¥-411]#,##0.00"/>
    </dxf>
    <dxf>
      <numFmt numFmtId="180"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1" formatCode="[$¥-411]#,##0.00"/>
    </dxf>
    <dxf>
      <numFmt numFmtId="180" formatCode="[$€-2]\ #,##0.00"/>
    </dxf>
    <dxf>
      <numFmt numFmtId="179" formatCode="&quot;£&quot;#,##0.00"/>
    </dxf>
    <dxf>
      <numFmt numFmtId="180" formatCode="[$€-2]\ #,##0.00"/>
    </dxf>
    <dxf>
      <numFmt numFmtId="178" formatCode="[$$-409]#,##0.00"/>
    </dxf>
    <dxf>
      <numFmt numFmtId="182" formatCode="[$$-C09]#,##0.00"/>
    </dxf>
    <dxf>
      <numFmt numFmtId="181" formatCode="[$¥-411]#,##0.00"/>
    </dxf>
    <dxf>
      <font>
        <color rgb="FF9C0006"/>
      </font>
      <fill>
        <patternFill>
          <bgColor rgb="FFFFC7CE"/>
        </patternFill>
      </fill>
    </dxf>
  </dxfs>
  <tableStyles count="0" defaultTableStyle="TableStyleMedium2" defaultPivotStyle="PivotStyleLight16"/>
  <colors>
    <mruColors>
      <color rgb="FF9BC2E6"/>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-0.2285874423680338</c:v>
                </c:pt>
                <c:pt idx="1">
                  <c:v>-0.21855253007579817</c:v>
                </c:pt>
                <c:pt idx="2">
                  <c:v>-0.19086214896844633</c:v>
                </c:pt>
                <c:pt idx="3">
                  <c:v>-0.16710820971848622</c:v>
                </c:pt>
                <c:pt idx="4">
                  <c:v>-0.14393386175957934</c:v>
                </c:pt>
                <c:pt idx="5">
                  <c:v>-0.12121552912598514</c:v>
                </c:pt>
                <c:pt idx="6">
                  <c:v>-9.8635244174095471E-2</c:v>
                </c:pt>
                <c:pt idx="7">
                  <c:v>1.0381207025457447E-2</c:v>
                </c:pt>
                <c:pt idx="8">
                  <c:v>3.154415113516084E-2</c:v>
                </c:pt>
                <c:pt idx="9">
                  <c:v>5.3452340473424946E-2</c:v>
                </c:pt>
                <c:pt idx="10">
                  <c:v>7.6236703649667698E-2</c:v>
                </c:pt>
                <c:pt idx="11">
                  <c:v>0.10023819063013099</c:v>
                </c:pt>
                <c:pt idx="12">
                  <c:v>0.12583210732058656</c:v>
                </c:pt>
                <c:pt idx="13">
                  <c:v>0.15325313614981281</c:v>
                </c:pt>
                <c:pt idx="14">
                  <c:v>0.18287188604629925</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-0.2285874423680338</c:v>
                </c:pt>
                <c:pt idx="1">
                  <c:v>-0.21855253007579817</c:v>
                </c:pt>
                <c:pt idx="2">
                  <c:v>-0.19086214896844633</c:v>
                </c:pt>
                <c:pt idx="3">
                  <c:v>-0.16710820971848622</c:v>
                </c:pt>
                <c:pt idx="4">
                  <c:v>-0.14393386175957934</c:v>
                </c:pt>
                <c:pt idx="5">
                  <c:v>-0.12121552912598514</c:v>
                </c:pt>
                <c:pt idx="6">
                  <c:v>-9.8635244174095471E-2</c:v>
                </c:pt>
                <c:pt idx="7">
                  <c:v>1.0381207025457447E-2</c:v>
                </c:pt>
                <c:pt idx="8">
                  <c:v>3.154415113516084E-2</c:v>
                </c:pt>
                <c:pt idx="9">
                  <c:v>5.3452340473424946E-2</c:v>
                </c:pt>
                <c:pt idx="10">
                  <c:v>7.6236703649667698E-2</c:v>
                </c:pt>
                <c:pt idx="11">
                  <c:v>0.10023819063013099</c:v>
                </c:pt>
                <c:pt idx="12">
                  <c:v>0.12583210732058656</c:v>
                </c:pt>
                <c:pt idx="13">
                  <c:v>0.15325313614981281</c:v>
                </c:pt>
                <c:pt idx="14">
                  <c:v>0.18287188604629925</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-0.2285874423680338</c:v>
                </c:pt>
                <c:pt idx="1">
                  <c:v>-0.21855253007579817</c:v>
                </c:pt>
                <c:pt idx="2">
                  <c:v>-0.19086214896844633</c:v>
                </c:pt>
                <c:pt idx="3">
                  <c:v>-0.16710820971848622</c:v>
                </c:pt>
                <c:pt idx="4">
                  <c:v>-0.14393386175957934</c:v>
                </c:pt>
                <c:pt idx="5">
                  <c:v>-0.12121552912598514</c:v>
                </c:pt>
                <c:pt idx="6">
                  <c:v>-9.8635244174095471E-2</c:v>
                </c:pt>
                <c:pt idx="7">
                  <c:v>1.0381207025457447E-2</c:v>
                </c:pt>
                <c:pt idx="8">
                  <c:v>3.154415113516084E-2</c:v>
                </c:pt>
                <c:pt idx="9">
                  <c:v>5.3452340473424946E-2</c:v>
                </c:pt>
                <c:pt idx="10">
                  <c:v>7.6236703649667698E-2</c:v>
                </c:pt>
                <c:pt idx="11">
                  <c:v>0.10023819063013099</c:v>
                </c:pt>
                <c:pt idx="12">
                  <c:v>0.12583210732058656</c:v>
                </c:pt>
                <c:pt idx="13">
                  <c:v>0.15325313614981281</c:v>
                </c:pt>
                <c:pt idx="14">
                  <c:v>0.18287188604629925</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-0.2285874423680338</c:v>
                </c:pt>
                <c:pt idx="1">
                  <c:v>-0.21855253007579817</c:v>
                </c:pt>
                <c:pt idx="2">
                  <c:v>-0.19086214896844633</c:v>
                </c:pt>
                <c:pt idx="3">
                  <c:v>-0.16710820971848622</c:v>
                </c:pt>
                <c:pt idx="4">
                  <c:v>-0.14393386175957934</c:v>
                </c:pt>
                <c:pt idx="5">
                  <c:v>-0.12121552912598514</c:v>
                </c:pt>
                <c:pt idx="6">
                  <c:v>-9.8635244174095471E-2</c:v>
                </c:pt>
                <c:pt idx="7">
                  <c:v>1.0381207025457447E-2</c:v>
                </c:pt>
                <c:pt idx="8">
                  <c:v>3.154415113516084E-2</c:v>
                </c:pt>
                <c:pt idx="9">
                  <c:v>5.3452340473424946E-2</c:v>
                </c:pt>
                <c:pt idx="10">
                  <c:v>7.6236703649667698E-2</c:v>
                </c:pt>
                <c:pt idx="11">
                  <c:v>0.10023819063013099</c:v>
                </c:pt>
                <c:pt idx="12">
                  <c:v>0.12583210732058656</c:v>
                </c:pt>
                <c:pt idx="13">
                  <c:v>0.15325313614981281</c:v>
                </c:pt>
                <c:pt idx="14">
                  <c:v>0.18287188604629925</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-0.2285874423680338</c:v>
                </c:pt>
                <c:pt idx="1">
                  <c:v>-0.21855253007579817</c:v>
                </c:pt>
                <c:pt idx="2">
                  <c:v>-0.19086214896844633</c:v>
                </c:pt>
                <c:pt idx="3">
                  <c:v>-0.16710820971848622</c:v>
                </c:pt>
                <c:pt idx="4">
                  <c:v>-0.14393386175957934</c:v>
                </c:pt>
                <c:pt idx="5">
                  <c:v>-0.12121552912598514</c:v>
                </c:pt>
                <c:pt idx="6">
                  <c:v>-9.8635244174095471E-2</c:v>
                </c:pt>
                <c:pt idx="7">
                  <c:v>1.0381207025457447E-2</c:v>
                </c:pt>
                <c:pt idx="8">
                  <c:v>3.154415113516084E-2</c:v>
                </c:pt>
                <c:pt idx="9">
                  <c:v>5.3452340473424946E-2</c:v>
                </c:pt>
                <c:pt idx="10">
                  <c:v>7.6236703649667698E-2</c:v>
                </c:pt>
                <c:pt idx="11">
                  <c:v>0.10023819063013099</c:v>
                </c:pt>
                <c:pt idx="12">
                  <c:v>0.12583210732058656</c:v>
                </c:pt>
                <c:pt idx="13">
                  <c:v>0.15325313614981281</c:v>
                </c:pt>
                <c:pt idx="14">
                  <c:v>0.18287188604629925</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-0.2285874423680338</c:v>
                </c:pt>
                <c:pt idx="1">
                  <c:v>-0.21855253007579817</c:v>
                </c:pt>
                <c:pt idx="2">
                  <c:v>-0.19086214896844633</c:v>
                </c:pt>
                <c:pt idx="3">
                  <c:v>-0.16710820971848622</c:v>
                </c:pt>
                <c:pt idx="4">
                  <c:v>-0.14393386175957934</c:v>
                </c:pt>
                <c:pt idx="5">
                  <c:v>-0.12121552912598514</c:v>
                </c:pt>
                <c:pt idx="6">
                  <c:v>-9.8635244174095471E-2</c:v>
                </c:pt>
                <c:pt idx="7">
                  <c:v>1.0381207025457447E-2</c:v>
                </c:pt>
                <c:pt idx="8">
                  <c:v>3.154415113516084E-2</c:v>
                </c:pt>
                <c:pt idx="9">
                  <c:v>5.3452340473424946E-2</c:v>
                </c:pt>
                <c:pt idx="10">
                  <c:v>7.6236703649667698E-2</c:v>
                </c:pt>
                <c:pt idx="11">
                  <c:v>0.10023819063013099</c:v>
                </c:pt>
                <c:pt idx="12">
                  <c:v>0.12583210732058656</c:v>
                </c:pt>
                <c:pt idx="13">
                  <c:v>0.15325313614981281</c:v>
                </c:pt>
                <c:pt idx="14">
                  <c:v>0.18287188604629925</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-0.2285874423680338</c:v>
                </c:pt>
                <c:pt idx="1">
                  <c:v>-0.21855253007579817</c:v>
                </c:pt>
                <c:pt idx="2">
                  <c:v>-0.19086214896844633</c:v>
                </c:pt>
                <c:pt idx="3">
                  <c:v>-0.16710820971848622</c:v>
                </c:pt>
                <c:pt idx="4">
                  <c:v>-0.14393386175957934</c:v>
                </c:pt>
                <c:pt idx="5">
                  <c:v>-0.12121552912598514</c:v>
                </c:pt>
                <c:pt idx="6">
                  <c:v>-9.8635244174095471E-2</c:v>
                </c:pt>
                <c:pt idx="7">
                  <c:v>1.0381207025457447E-2</c:v>
                </c:pt>
                <c:pt idx="8">
                  <c:v>3.154415113516084E-2</c:v>
                </c:pt>
                <c:pt idx="9">
                  <c:v>5.3452340473424946E-2</c:v>
                </c:pt>
                <c:pt idx="10">
                  <c:v>7.6236703649667698E-2</c:v>
                </c:pt>
                <c:pt idx="11">
                  <c:v>0.10023819063013099</c:v>
                </c:pt>
                <c:pt idx="12">
                  <c:v>0.12583210732058656</c:v>
                </c:pt>
                <c:pt idx="13">
                  <c:v>0.15325313614981281</c:v>
                </c:pt>
                <c:pt idx="14">
                  <c:v>0.18287188604629925</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-0.2285874423680338</c:v>
                </c:pt>
                <c:pt idx="1">
                  <c:v>-0.21855253007579817</c:v>
                </c:pt>
                <c:pt idx="2">
                  <c:v>-0.19086214896844633</c:v>
                </c:pt>
                <c:pt idx="3">
                  <c:v>-0.16710820971848622</c:v>
                </c:pt>
                <c:pt idx="4">
                  <c:v>-0.14393386175957934</c:v>
                </c:pt>
                <c:pt idx="5">
                  <c:v>-0.12121552912598514</c:v>
                </c:pt>
                <c:pt idx="6">
                  <c:v>-9.8635244174095471E-2</c:v>
                </c:pt>
                <c:pt idx="7">
                  <c:v>1.0381207025457447E-2</c:v>
                </c:pt>
                <c:pt idx="8">
                  <c:v>3.154415113516084E-2</c:v>
                </c:pt>
                <c:pt idx="9">
                  <c:v>5.3452340473424946E-2</c:v>
                </c:pt>
                <c:pt idx="10">
                  <c:v>7.6236703649667698E-2</c:v>
                </c:pt>
                <c:pt idx="11">
                  <c:v>0.10023819063013099</c:v>
                </c:pt>
                <c:pt idx="12">
                  <c:v>0.12583210732058656</c:v>
                </c:pt>
                <c:pt idx="13">
                  <c:v>0.15325313614981281</c:v>
                </c:pt>
                <c:pt idx="14">
                  <c:v>0.18287188604629925</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-48310.769575658051</c:v>
                </c:pt>
                <c:pt idx="1">
                  <c:v>-46189.942943888847</c:v>
                </c:pt>
                <c:pt idx="2">
                  <c:v>-40337.724609927987</c:v>
                </c:pt>
                <c:pt idx="3">
                  <c:v>-35317.452832393625</c:v>
                </c:pt>
                <c:pt idx="4">
                  <c:v>-30419.674666144561</c:v>
                </c:pt>
                <c:pt idx="5">
                  <c:v>-25618.272972180795</c:v>
                </c:pt>
                <c:pt idx="6">
                  <c:v>-20846.046939277814</c:v>
                </c:pt>
                <c:pt idx="7">
                  <c:v>2194.0142263659691</c:v>
                </c:pt>
                <c:pt idx="8">
                  <c:v>6666.6926282718523</c:v>
                </c:pt>
                <c:pt idx="9">
                  <c:v>11296.874741411306</c:v>
                </c:pt>
                <c:pt idx="10">
                  <c:v>16112.231647865327</c:v>
                </c:pt>
                <c:pt idx="11">
                  <c:v>21184.821353468815</c:v>
                </c:pt>
                <c:pt idx="12">
                  <c:v>26593.962813568975</c:v>
                </c:pt>
                <c:pt idx="13">
                  <c:v>32389.254941486321</c:v>
                </c:pt>
                <c:pt idx="14">
                  <c:v>38649.024010796769</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-48310.769575658051</c:v>
                </c:pt>
                <c:pt idx="1">
                  <c:v>-46189.942943888847</c:v>
                </c:pt>
                <c:pt idx="2">
                  <c:v>-40337.724609927987</c:v>
                </c:pt>
                <c:pt idx="3">
                  <c:v>-35317.452832393625</c:v>
                </c:pt>
                <c:pt idx="4">
                  <c:v>-30419.674666144561</c:v>
                </c:pt>
                <c:pt idx="5">
                  <c:v>-25618.272972180795</c:v>
                </c:pt>
                <c:pt idx="6">
                  <c:v>-20846.046939277814</c:v>
                </c:pt>
                <c:pt idx="7">
                  <c:v>2194.0142263659691</c:v>
                </c:pt>
                <c:pt idx="8">
                  <c:v>6666.6926282718523</c:v>
                </c:pt>
                <c:pt idx="9">
                  <c:v>11296.874741411306</c:v>
                </c:pt>
                <c:pt idx="10">
                  <c:v>16112.231647865327</c:v>
                </c:pt>
                <c:pt idx="11">
                  <c:v>21184.821353468815</c:v>
                </c:pt>
                <c:pt idx="12">
                  <c:v>26593.962813568975</c:v>
                </c:pt>
                <c:pt idx="13">
                  <c:v>32389.254941486321</c:v>
                </c:pt>
                <c:pt idx="14">
                  <c:v>38649.024010796769</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Summary!$D$12:$R$12</c:f>
              <c:numCache>
                <c:formatCode>_("£"* #,##0.00_);_("£"* \(#,##0.00\);_("£"* "-"??_);_(@_)</c:formatCode>
                <c:ptCount val="15"/>
                <c:pt idx="0">
                  <c:v>61946.832076319079</c:v>
                </c:pt>
                <c:pt idx="1">
                  <c:v>105796.49636504133</c:v>
                </c:pt>
                <c:pt idx="2">
                  <c:v>105796.49636504133</c:v>
                </c:pt>
                <c:pt idx="3">
                  <c:v>105796.49636504133</c:v>
                </c:pt>
                <c:pt idx="4">
                  <c:v>105796.49636504133</c:v>
                </c:pt>
                <c:pt idx="5">
                  <c:v>105796.49636504133</c:v>
                </c:pt>
                <c:pt idx="6">
                  <c:v>105796.49636504133</c:v>
                </c:pt>
                <c:pt idx="7">
                  <c:v>105796.49636504133</c:v>
                </c:pt>
                <c:pt idx="8">
                  <c:v>105796.49636504133</c:v>
                </c:pt>
                <c:pt idx="9">
                  <c:v>105796.49636504133</c:v>
                </c:pt>
                <c:pt idx="10">
                  <c:v>105796.49636504133</c:v>
                </c:pt>
                <c:pt idx="11">
                  <c:v>105796.49636504133</c:v>
                </c:pt>
                <c:pt idx="12">
                  <c:v>105796.49636504133</c:v>
                </c:pt>
                <c:pt idx="13">
                  <c:v>105796.49636504133</c:v>
                </c:pt>
                <c:pt idx="14">
                  <c:v>105796.49636504133</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-48310.769575658051</c:v>
                </c:pt>
                <c:pt idx="1">
                  <c:v>-46189.942943888847</c:v>
                </c:pt>
                <c:pt idx="2">
                  <c:v>-40337.724609927987</c:v>
                </c:pt>
                <c:pt idx="3">
                  <c:v>-35317.452832393625</c:v>
                </c:pt>
                <c:pt idx="4">
                  <c:v>-30419.674666144561</c:v>
                </c:pt>
                <c:pt idx="5">
                  <c:v>-25618.272972180795</c:v>
                </c:pt>
                <c:pt idx="6">
                  <c:v>-20846.046939277814</c:v>
                </c:pt>
                <c:pt idx="7">
                  <c:v>2194.0142263659691</c:v>
                </c:pt>
                <c:pt idx="8">
                  <c:v>6666.6926282718523</c:v>
                </c:pt>
                <c:pt idx="9">
                  <c:v>11296.874741411306</c:v>
                </c:pt>
                <c:pt idx="10">
                  <c:v>16112.231647865327</c:v>
                </c:pt>
                <c:pt idx="11">
                  <c:v>21184.821353468815</c:v>
                </c:pt>
                <c:pt idx="12">
                  <c:v>26593.962813568975</c:v>
                </c:pt>
                <c:pt idx="13">
                  <c:v>32389.254941486321</c:v>
                </c:pt>
                <c:pt idx="14">
                  <c:v>38649.024010796769</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Summary!$D$8:$R$8</c:f>
              <c:numCache>
                <c:formatCode>_("£"* #,##0.00_);_("£"* \(#,##0.00\);_("£"* "-"??_);_(@_)</c:formatCode>
                <c:ptCount val="15"/>
                <c:pt idx="0">
                  <c:v>94742.007463660106</c:v>
                </c:pt>
                <c:pt idx="1">
                  <c:v>189297.8924242268</c:v>
                </c:pt>
                <c:pt idx="2">
                  <c:v>193626.0070281878</c:v>
                </c:pt>
                <c:pt idx="3">
                  <c:v>197093.91439978476</c:v>
                </c:pt>
                <c:pt idx="4">
                  <c:v>200507.7703249089</c:v>
                </c:pt>
                <c:pt idx="5">
                  <c:v>203888.99930356024</c:v>
                </c:pt>
                <c:pt idx="6">
                  <c:v>207305.99094328829</c:v>
                </c:pt>
                <c:pt idx="7">
                  <c:v>210327.68910357318</c:v>
                </c:pt>
                <c:pt idx="8">
                  <c:v>213511.69496144651</c:v>
                </c:pt>
                <c:pt idx="9">
                  <c:v>216917.35581758624</c:v>
                </c:pt>
                <c:pt idx="10">
                  <c:v>220565.88827778117</c:v>
                </c:pt>
                <c:pt idx="11">
                  <c:v>224528.72422867914</c:v>
                </c:pt>
                <c:pt idx="12">
                  <c:v>228884.72898248408</c:v>
                </c:pt>
                <c:pt idx="13">
                  <c:v>233677.56485823967</c:v>
                </c:pt>
                <c:pt idx="14">
                  <c:v>238982.60059656214</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Summary!$D$12:$R$12</c:f>
              <c:numCache>
                <c:formatCode>_("£"* #,##0.00_);_("£"* \(#,##0.00\);_("£"* "-"??_);_(@_)</c:formatCode>
                <c:ptCount val="15"/>
                <c:pt idx="0">
                  <c:v>61946.832076319079</c:v>
                </c:pt>
                <c:pt idx="1">
                  <c:v>105796.49636504133</c:v>
                </c:pt>
                <c:pt idx="2">
                  <c:v>105796.49636504133</c:v>
                </c:pt>
                <c:pt idx="3">
                  <c:v>105796.49636504133</c:v>
                </c:pt>
                <c:pt idx="4">
                  <c:v>105796.49636504133</c:v>
                </c:pt>
                <c:pt idx="5">
                  <c:v>105796.49636504133</c:v>
                </c:pt>
                <c:pt idx="6">
                  <c:v>105796.49636504133</c:v>
                </c:pt>
                <c:pt idx="7">
                  <c:v>105796.49636504133</c:v>
                </c:pt>
                <c:pt idx="8">
                  <c:v>105796.49636504133</c:v>
                </c:pt>
                <c:pt idx="9">
                  <c:v>105796.49636504133</c:v>
                </c:pt>
                <c:pt idx="10">
                  <c:v>105796.49636504133</c:v>
                </c:pt>
                <c:pt idx="11">
                  <c:v>105796.49636504133</c:v>
                </c:pt>
                <c:pt idx="12">
                  <c:v>105796.49636504133</c:v>
                </c:pt>
                <c:pt idx="13">
                  <c:v>105796.49636504133</c:v>
                </c:pt>
                <c:pt idx="14">
                  <c:v>105796.49636504133</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Summary!$D$9:$R$9</c:f>
              <c:numCache>
                <c:formatCode>_("£"* #,##0.00_);_("£"* \(#,##0.00\);_("£"* "-"??_);_(@_)</c:formatCode>
                <c:ptCount val="15"/>
                <c:pt idx="0">
                  <c:v>52841.429070812643</c:v>
                </c:pt>
                <c:pt idx="1">
                  <c:v>91826.847610887882</c:v>
                </c:pt>
                <c:pt idx="2">
                  <c:v>90302.743880888025</c:v>
                </c:pt>
                <c:pt idx="3">
                  <c:v>88750.37947495062</c:v>
                </c:pt>
                <c:pt idx="4">
                  <c:v>87266.457233825698</c:v>
                </c:pt>
                <c:pt idx="5">
                  <c:v>85846.284518513276</c:v>
                </c:pt>
                <c:pt idx="6">
                  <c:v>84491.050125338341</c:v>
                </c:pt>
                <c:pt idx="7">
                  <c:v>83137.227512165889</c:v>
                </c:pt>
                <c:pt idx="8">
                  <c:v>81848.554968133321</c:v>
                </c:pt>
                <c:pt idx="9">
                  <c:v>80624.033711133612</c:v>
                </c:pt>
                <c:pt idx="10">
                  <c:v>79457.209264874517</c:v>
                </c:pt>
                <c:pt idx="11">
                  <c:v>78347.455510169006</c:v>
                </c:pt>
                <c:pt idx="12">
                  <c:v>77294.318803873772</c:v>
                </c:pt>
                <c:pt idx="13">
                  <c:v>76291.862551712038</c:v>
                </c:pt>
                <c:pt idx="14">
                  <c:v>75337.129220724033</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Summary!$D$14:$R$14</c:f>
              <c:numCache>
                <c:formatCode>_("£"* #,##0.00_);_("£"* \(#,##0.00\);_("£"* "-"??_);_(@_)</c:formatCode>
                <c:ptCount val="15"/>
                <c:pt idx="0">
                  <c:v>-20046.253683471616</c:v>
                </c:pt>
                <c:pt idx="1">
                  <c:v>-8325.451551702412</c:v>
                </c:pt>
                <c:pt idx="2">
                  <c:v>-2473.2332177415519</c:v>
                </c:pt>
                <c:pt idx="3">
                  <c:v>2547.0385597928107</c:v>
                </c:pt>
                <c:pt idx="4">
                  <c:v>7444.8167260418704</c:v>
                </c:pt>
                <c:pt idx="5">
                  <c:v>12246.218420005636</c:v>
                </c:pt>
                <c:pt idx="6">
                  <c:v>17018.444452908618</c:v>
                </c:pt>
                <c:pt idx="7">
                  <c:v>21393.965226365966</c:v>
                </c:pt>
                <c:pt idx="8">
                  <c:v>25866.64362827185</c:v>
                </c:pt>
                <c:pt idx="9">
                  <c:v>30496.825741411303</c:v>
                </c:pt>
                <c:pt idx="10">
                  <c:v>35312.182647865324</c:v>
                </c:pt>
                <c:pt idx="11">
                  <c:v>40384.772353468812</c:v>
                </c:pt>
                <c:pt idx="12">
                  <c:v>45793.913813568972</c:v>
                </c:pt>
                <c:pt idx="13">
                  <c:v>51589.205941486318</c:v>
                </c:pt>
                <c:pt idx="14">
                  <c:v>57848.97501079677</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Financial Balance</a:t>
            </a:r>
          </a:p>
        </c:rich>
      </c:tx>
      <c:overlay val="0"/>
      <c:spPr>
        <a:noFill/>
        <a:ln>
          <a:noFill/>
        </a:ln>
        <a:effectLst/>
      </c:spPr>
    </c:title>
    <c:autoTitleDeleted val="0"/>
    <c:plotArea>
      <c:layout/>
      <c:lineChart>
        <c:grouping val="standard"/>
        <c:varyColors val="0"/>
        <c:ser>
          <c:idx val="0"/>
          <c:order val="0"/>
          <c:marker>
            <c:symbol val="none"/>
          </c:marker>
          <c:val>
            <c:numRef>
              <c:f>Summary!$D$7:$R$7</c:f>
              <c:numCache>
                <c:formatCode>_("£"* #,##0.00_);_("£"* \(#,##0.00\);_("£"* "-"??_);_(@_)</c:formatCode>
                <c:ptCount val="15"/>
                <c:pt idx="0">
                  <c:v>165135.42042434195</c:v>
                </c:pt>
                <c:pt idx="1">
                  <c:v>19154.477480453104</c:v>
                </c:pt>
                <c:pt idx="2">
                  <c:v>-21183.247129474883</c:v>
                </c:pt>
                <c:pt idx="3">
                  <c:v>-56500.699961868508</c:v>
                </c:pt>
                <c:pt idx="4">
                  <c:v>-86920.374628013073</c:v>
                </c:pt>
                <c:pt idx="5">
                  <c:v>-112538.64760019387</c:v>
                </c:pt>
                <c:pt idx="6">
                  <c:v>-133384.69453947167</c:v>
                </c:pt>
                <c:pt idx="7">
                  <c:v>-131190.68031310569</c:v>
                </c:pt>
                <c:pt idx="8">
                  <c:v>-124523.98768483385</c:v>
                </c:pt>
                <c:pt idx="9">
                  <c:v>-113227.11294342254</c:v>
                </c:pt>
                <c:pt idx="10">
                  <c:v>-97114.881295557221</c:v>
                </c:pt>
                <c:pt idx="11">
                  <c:v>-75930.05994208841</c:v>
                </c:pt>
                <c:pt idx="12">
                  <c:v>-49336.097128519439</c:v>
                </c:pt>
                <c:pt idx="13">
                  <c:v>-16946.842187033119</c:v>
                </c:pt>
                <c:pt idx="14">
                  <c:v>21702.181823763651</c:v>
                </c:pt>
              </c:numCache>
            </c:numRef>
          </c:val>
          <c:smooth val="0"/>
          <c:extLst>
            <c:ext xmlns:c16="http://schemas.microsoft.com/office/drawing/2014/chart" uri="{C3380CC4-5D6E-409C-BE32-E72D297353CC}">
              <c16:uniqueId val="{00000009-FB47-5841-9D87-A4F2949918C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Working Capital</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0"/>
              <c:layout>
                <c:manualLayout>
                  <c:x val="-0.16120061367478233"/>
                  <c:y val="0.239399632674799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DA-F74E-8860-794B1DDB56F7}"/>
                </c:ext>
              </c:extLst>
            </c:dLbl>
            <c:dLbl>
              <c:idx val="1"/>
              <c:layout>
                <c:manualLayout>
                  <c:x val="-0.19606645572844711"/>
                  <c:y val="7.1377300876437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3"/>
              <c:layout>
                <c:manualLayout>
                  <c:x val="-0.18414968502116882"/>
                  <c:y val="-0.151921150146634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DA-F74E-8860-794B1DDB56F7}"/>
                </c:ext>
              </c:extLst>
            </c:dLbl>
            <c:dLbl>
              <c:idx val="4"/>
              <c:layout>
                <c:manualLayout>
                  <c:x val="-0.11866813232567283"/>
                  <c:y val="-7.41382823401453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3.4893512960473404E-2"/>
                  <c:y val="-0.23570516180436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2.0512832807586149E-2"/>
                  <c:y val="-0.1782182057836153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7"/>
              <c:layout>
                <c:manualLayout>
                  <c:x val="0.17983891736228527"/>
                  <c:y val="-0.1758752780584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5DA-F74E-8860-794B1DDB56F7}"/>
                </c:ext>
              </c:extLst>
            </c:dLbl>
            <c:dLbl>
              <c:idx val="8"/>
              <c:layout>
                <c:manualLayout>
                  <c:x val="5.1070804156509837E-2"/>
                  <c:y val="6.91394838055114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8.7145275457384097E-2"/>
                  <c:y val="3.8080831217302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39516.959999999999</c:v>
                </c:pt>
                <c:pt idx="1">
                  <c:v>2032.8492150005757</c:v>
                </c:pt>
                <c:pt idx="2">
                  <c:v>23719.397576694217</c:v>
                </c:pt>
                <c:pt idx="3">
                  <c:v>10541.475826240101</c:v>
                </c:pt>
                <c:pt idx="4">
                  <c:v>15918.472312953001</c:v>
                </c:pt>
                <c:pt idx="5">
                  <c:v>97.692679999999996</c:v>
                </c:pt>
                <c:pt idx="6">
                  <c:v>0</c:v>
                </c:pt>
                <c:pt idx="7">
                  <c:v>67320</c:v>
                </c:pt>
                <c:pt idx="8">
                  <c:v>1346.4</c:v>
                </c:pt>
                <c:pt idx="9">
                  <c:v>1551</c:v>
                </c:pt>
                <c:pt idx="10">
                  <c:v>35579.096365041325</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39516.959999999999</c:v>
                </c:pt>
                <c:pt idx="1">
                  <c:v>2032.8492150005757</c:v>
                </c:pt>
                <c:pt idx="2">
                  <c:v>23719.397576694217</c:v>
                </c:pt>
                <c:pt idx="3">
                  <c:v>10541.475826240101</c:v>
                </c:pt>
                <c:pt idx="4">
                  <c:v>15918.472312953001</c:v>
                </c:pt>
                <c:pt idx="5">
                  <c:v>97.692679999999996</c:v>
                </c:pt>
                <c:pt idx="6">
                  <c:v>0</c:v>
                </c:pt>
                <c:pt idx="7">
                  <c:v>67320</c:v>
                </c:pt>
                <c:pt idx="8">
                  <c:v>1346.4</c:v>
                </c:pt>
                <c:pt idx="9">
                  <c:v>1551</c:v>
                </c:pt>
                <c:pt idx="10">
                  <c:v>35579.096365041325</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Overview!$A$78:$A$83</c:f>
              <c:strCache>
                <c:ptCount val="6"/>
                <c:pt idx="0">
                  <c:v>Produce Sales</c:v>
                </c:pt>
                <c:pt idx="1">
                  <c:v>Value-Added Products</c:v>
                </c:pt>
                <c:pt idx="2">
                  <c:v>Education</c:v>
                </c:pt>
                <c:pt idx="3">
                  <c:v>Tourism</c:v>
                </c:pt>
                <c:pt idx="4">
                  <c:v>Hospitality</c:v>
                </c:pt>
                <c:pt idx="5">
                  <c:v>Grants and Crowdfunding</c:v>
                </c:pt>
              </c:strCache>
            </c:strRef>
          </c:cat>
          <c:val>
            <c:numRef>
              <c:f>Overview!$I$78:$I$83</c:f>
              <c:numCache>
                <c:formatCode>_([$AUD]\ * #,##0.00_);_([$AUD]\ * \(#,##0.00\);_([$AUD]\ * "-"??_);_(@_)</c:formatCode>
                <c:ptCount val="6"/>
                <c:pt idx="0">
                  <c:v>183777.8924242268</c:v>
                </c:pt>
                <c:pt idx="1">
                  <c:v>0</c:v>
                </c:pt>
                <c:pt idx="2">
                  <c:v>5519.9999999999991</c:v>
                </c:pt>
                <c:pt idx="3">
                  <c:v>0</c:v>
                </c:pt>
                <c:pt idx="4">
                  <c:v>0</c:v>
                </c:pt>
                <c:pt idx="5">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Overview!$K$49:$K$58</c:f>
              <c:numCache>
                <c:formatCode>General</c:formatCode>
                <c:ptCount val="10"/>
                <c:pt idx="0">
                  <c:v>0.89094008805580782</c:v>
                </c:pt>
                <c:pt idx="1">
                  <c:v>0.56247443602860836</c:v>
                </c:pt>
                <c:pt idx="2">
                  <c:v>0.66752526013210733</c:v>
                </c:pt>
                <c:pt idx="3">
                  <c:v>0.66778627728238971</c:v>
                </c:pt>
                <c:pt idx="4">
                  <c:v>1.7077966255219835E-2</c:v>
                </c:pt>
                <c:pt idx="5">
                  <c:v>2.7644985520622627</c:v>
                </c:pt>
                <c:pt idx="6">
                  <c:v>0.33796747229186774</c:v>
                </c:pt>
                <c:pt idx="7">
                  <c:v>0.97061958907324075</c:v>
                </c:pt>
                <c:pt idx="8">
                  <c:v>-0.16957418951036143</c:v>
                </c:pt>
                <c:pt idx="9">
                  <c:v>1.0694703361745452</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Overview!$L$49:$L$58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Database!$A$144</c:f>
              <c:strCache>
                <c:ptCount val="1"/>
                <c:pt idx="0">
                  <c:v>High</c:v>
                </c:pt>
              </c:strCache>
            </c:strRef>
          </c:tx>
          <c:spPr>
            <a:ln w="28575" cap="rnd">
              <a:solidFill>
                <a:schemeClr val="accent2"/>
              </a:solidFill>
              <a:round/>
            </a:ln>
            <a:effectLst/>
          </c:spPr>
          <c:marker>
            <c:symbol val="none"/>
          </c:marker>
          <c:val>
            <c:numRef>
              <c:f>Database!$B$144:$P$144</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Database!$A$145</c:f>
              <c:strCache>
                <c:ptCount val="1"/>
                <c:pt idx="0">
                  <c:v>Medium</c:v>
                </c:pt>
              </c:strCache>
            </c:strRef>
          </c:tx>
          <c:spPr>
            <a:ln w="28575" cap="rnd">
              <a:solidFill>
                <a:schemeClr val="accent3"/>
              </a:solidFill>
              <a:round/>
            </a:ln>
            <a:effectLst/>
          </c:spPr>
          <c:marker>
            <c:symbol val="none"/>
          </c:marker>
          <c:val>
            <c:numRef>
              <c:f>Database!$B$145:$P$145</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Database!$A$146</c:f>
              <c:strCache>
                <c:ptCount val="1"/>
                <c:pt idx="0">
                  <c:v>Low</c:v>
                </c:pt>
              </c:strCache>
            </c:strRef>
          </c:tx>
          <c:spPr>
            <a:ln w="28575" cap="rnd">
              <a:solidFill>
                <a:schemeClr val="accent4"/>
              </a:solidFill>
              <a:round/>
            </a:ln>
            <a:effectLst/>
          </c:spPr>
          <c:marker>
            <c:symbol val="none"/>
          </c:marker>
          <c:val>
            <c:numRef>
              <c:f>Database!$B$146:$P$146</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24</xdr:row>
      <xdr:rowOff>163945</xdr:rowOff>
    </xdr:from>
    <xdr:to>
      <xdr:col>6</xdr:col>
      <xdr:colOff>1085273</xdr:colOff>
      <xdr:row>40</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24</xdr:row>
      <xdr:rowOff>161637</xdr:rowOff>
    </xdr:from>
    <xdr:to>
      <xdr:col>11</xdr:col>
      <xdr:colOff>548409</xdr:colOff>
      <xdr:row>40</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25</xdr:row>
      <xdr:rowOff>0</xdr:rowOff>
    </xdr:from>
    <xdr:to>
      <xdr:col>15</xdr:col>
      <xdr:colOff>929409</xdr:colOff>
      <xdr:row>41</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42</xdr:row>
      <xdr:rowOff>11546</xdr:rowOff>
    </xdr:from>
    <xdr:to>
      <xdr:col>14</xdr:col>
      <xdr:colOff>381000</xdr:colOff>
      <xdr:row>62</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707571</xdr:colOff>
      <xdr:row>42</xdr:row>
      <xdr:rowOff>27214</xdr:rowOff>
    </xdr:from>
    <xdr:to>
      <xdr:col>7</xdr:col>
      <xdr:colOff>149265</xdr:colOff>
      <xdr:row>58</xdr:row>
      <xdr:rowOff>102425</xdr:rowOff>
    </xdr:to>
    <xdr:graphicFrame macro="">
      <xdr:nvGraphicFramePr>
        <xdr:cNvPr id="6" name="Chart 5">
          <a:extLst>
            <a:ext uri="{FF2B5EF4-FFF2-40B4-BE49-F238E27FC236}">
              <a16:creationId xmlns:a16="http://schemas.microsoft.com/office/drawing/2014/main" id="{40EB492D-C0EA-E94B-BBBE-3D3E7E5F9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88</xdr:row>
      <xdr:rowOff>1</xdr:rowOff>
    </xdr:from>
    <xdr:to>
      <xdr:col>31</xdr:col>
      <xdr:colOff>652477</xdr:colOff>
      <xdr:row>130</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85</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59</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133</xdr:row>
      <xdr:rowOff>90824</xdr:rowOff>
    </xdr:from>
    <xdr:to>
      <xdr:col>24</xdr:col>
      <xdr:colOff>705557</xdr:colOff>
      <xdr:row>155</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9" Type="http://schemas.openxmlformats.org/officeDocument/2006/relationships/hyperlink" Target="http://www.bflc.com.cn/" TargetMode="External"/><Relationship Id="rId21" Type="http://schemas.openxmlformats.org/officeDocument/2006/relationships/hyperlink" Target="https://zipgrow.com/" TargetMode="External"/><Relationship Id="rId34" Type="http://schemas.openxmlformats.org/officeDocument/2006/relationships/hyperlink" Target="https://pumpexpress.co.uk/shop/jsw1-self-priming-jet-pumps/" TargetMode="External"/><Relationship Id="rId42" Type="http://schemas.openxmlformats.org/officeDocument/2006/relationships/hyperlink" Target="https://www.ariston.com/uk/Electric_Water_Heaters/andrislux" TargetMode="External"/><Relationship Id="rId7" Type="http://schemas.openxmlformats.org/officeDocument/2006/relationships/hyperlink" Target="https://illumitex.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hyperlink" Target="https://www.inventronics-co.com/product/eud-600sxxxdt/" TargetMode="External"/><Relationship Id="rId37" Type="http://schemas.openxmlformats.org/officeDocument/2006/relationships/hyperlink" Target="http://www.jecod.com/" TargetMode="External"/><Relationship Id="rId40" Type="http://schemas.openxmlformats.org/officeDocument/2006/relationships/hyperlink" Target="https://www.ariston.com/uk/Electric_Water_Heaters/andrislux" TargetMode="External"/><Relationship Id="rId45" Type="http://schemas.openxmlformats.org/officeDocument/2006/relationships/comments" Target="../comments5.x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36" Type="http://schemas.openxmlformats.org/officeDocument/2006/relationships/hyperlink" Target="http://www.jecod.com/"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hyperlink" Target="https://www.intravisiongroup.com/spectra-blades" TargetMode="External"/><Relationship Id="rId44" Type="http://schemas.openxmlformats.org/officeDocument/2006/relationships/vmlDrawing" Target="../drawings/vmlDrawing5.v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35" Type="http://schemas.openxmlformats.org/officeDocument/2006/relationships/hyperlink" Target="http://www.jecod.com/" TargetMode="External"/><Relationship Id="rId43" Type="http://schemas.openxmlformats.org/officeDocument/2006/relationships/drawing" Target="../drawings/drawing3.xml"/><Relationship Id="rId8" Type="http://schemas.openxmlformats.org/officeDocument/2006/relationships/hyperlink" Target="https://www.intravisiongroup.com/spectra-blades" TargetMode="External"/><Relationship Id="rId3" Type="http://schemas.openxmlformats.org/officeDocument/2006/relationships/hyperlink" Target="https://fluence.science/products/spydr-series/"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hyperlink" Target="https://pentairaes.com/smart-uv-sterilizers-31295.html" TargetMode="External"/><Relationship Id="rId38" Type="http://schemas.openxmlformats.org/officeDocument/2006/relationships/hyperlink" Target="http://www.jecod.com/" TargetMode="External"/><Relationship Id="rId20" Type="http://schemas.openxmlformats.org/officeDocument/2006/relationships/hyperlink" Target="https://www.lighting.philips.co.uk/products/horticulture/products/greenpower-led-production-module" TargetMode="External"/><Relationship Id="rId41" Type="http://schemas.openxmlformats.org/officeDocument/2006/relationships/hyperlink" Target="https://www.ariston.com/uk/Electric_Water_Heaters/andrislu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E148"/>
  <sheetViews>
    <sheetView tabSelected="1" zoomScale="150" workbookViewId="0">
      <selection activeCell="A91" sqref="A82:A91"/>
    </sheetView>
  </sheetViews>
  <sheetFormatPr baseColWidth="10" defaultRowHeight="13" x14ac:dyDescent="0.15"/>
  <cols>
    <col min="1" max="1" width="26.6640625" style="38" bestFit="1" customWidth="1"/>
    <col min="2" max="2" width="36.5" bestFit="1" customWidth="1"/>
  </cols>
  <sheetData>
    <row r="1" spans="1:5" x14ac:dyDescent="0.15">
      <c r="B1" t="s">
        <v>805</v>
      </c>
      <c r="D1" s="434" t="s">
        <v>1091</v>
      </c>
      <c r="E1" s="435" t="s">
        <v>1092</v>
      </c>
    </row>
    <row r="2" spans="1:5" x14ac:dyDescent="0.15">
      <c r="A2" s="455" t="s">
        <v>807</v>
      </c>
      <c r="B2" s="238">
        <f>start_date</f>
        <v>44228</v>
      </c>
    </row>
    <row r="3" spans="1:5" x14ac:dyDescent="0.15">
      <c r="A3" s="436" t="s">
        <v>699</v>
      </c>
      <c r="B3" s="216">
        <f>facility_size_pilot</f>
        <v>220</v>
      </c>
    </row>
    <row r="4" spans="1:5" x14ac:dyDescent="0.15">
      <c r="A4" s="436" t="s">
        <v>700</v>
      </c>
      <c r="B4" s="216">
        <f>percent_production_area_pilot</f>
        <v>0.27</v>
      </c>
    </row>
    <row r="5" spans="1:5" ht="16" x14ac:dyDescent="0.2">
      <c r="A5" s="460" t="s">
        <v>701</v>
      </c>
      <c r="B5" s="217">
        <f>growing_levels_pilot</f>
        <v>1</v>
      </c>
    </row>
    <row r="6" spans="1:5" x14ac:dyDescent="0.15">
      <c r="A6" s="437" t="s">
        <v>702</v>
      </c>
      <c r="B6" s="218" t="str">
        <f>weight_unit</f>
        <v>kg</v>
      </c>
    </row>
    <row r="7" spans="1:5" x14ac:dyDescent="0.15">
      <c r="A7" s="436" t="s">
        <v>703</v>
      </c>
      <c r="B7" s="216">
        <f>growing_area_mulitplier</f>
        <v>2</v>
      </c>
    </row>
    <row r="8" spans="1:5" x14ac:dyDescent="0.15">
      <c r="A8" s="440" t="s">
        <v>704</v>
      </c>
      <c r="B8" s="216">
        <f>no_lights_pilot</f>
        <v>128</v>
      </c>
    </row>
    <row r="9" spans="1:5" x14ac:dyDescent="0.15">
      <c r="A9" s="438" t="s">
        <v>705</v>
      </c>
      <c r="B9" s="219">
        <f>packaging_cost_pilot</f>
        <v>1.5</v>
      </c>
    </row>
    <row r="10" spans="1:5" s="240" customFormat="1" x14ac:dyDescent="0.15">
      <c r="A10" s="438" t="s">
        <v>811</v>
      </c>
      <c r="B10" s="219">
        <f>packaging_cost_full</f>
        <v>1</v>
      </c>
    </row>
    <row r="11" spans="1:5" x14ac:dyDescent="0.15">
      <c r="A11" s="439" t="s">
        <v>706</v>
      </c>
      <c r="B11" s="220">
        <f>other_costs_pilot</f>
        <v>0.02</v>
      </c>
    </row>
    <row r="12" spans="1:5" ht="16" x14ac:dyDescent="0.2">
      <c r="A12" s="461" t="s">
        <v>707</v>
      </c>
      <c r="B12" s="217" t="str">
        <f>farm_type</f>
        <v>Basement</v>
      </c>
    </row>
    <row r="13" spans="1:5" ht="16" x14ac:dyDescent="0.2">
      <c r="A13" s="460" t="s">
        <v>708</v>
      </c>
      <c r="B13" s="217" t="str">
        <f>business_model</f>
        <v>Hybrid</v>
      </c>
    </row>
    <row r="14" spans="1:5" ht="16" x14ac:dyDescent="0.2">
      <c r="A14" s="460" t="s">
        <v>709</v>
      </c>
      <c r="B14" s="217" t="str">
        <f>grower_exp</f>
        <v>Medium</v>
      </c>
    </row>
    <row r="15" spans="1:5" ht="16" x14ac:dyDescent="0.2">
      <c r="A15" s="460" t="s">
        <v>710</v>
      </c>
      <c r="B15" s="217" t="str">
        <f>automation_level</f>
        <v>Low</v>
      </c>
    </row>
    <row r="16" spans="1:5" ht="16" x14ac:dyDescent="0.2">
      <c r="A16" s="460" t="s">
        <v>806</v>
      </c>
      <c r="B16" s="217" t="str">
        <f>climate_control</f>
        <v>Medium</v>
      </c>
    </row>
    <row r="17" spans="1:2" ht="16" x14ac:dyDescent="0.2">
      <c r="A17" s="460" t="s">
        <v>711</v>
      </c>
      <c r="B17" s="217" t="str">
        <f>lighting_control</f>
        <v>Medium</v>
      </c>
    </row>
    <row r="18" spans="1:2" ht="16" x14ac:dyDescent="0.2">
      <c r="A18" s="460" t="s">
        <v>712</v>
      </c>
      <c r="B18" s="217" t="str">
        <f>nutrient_control</f>
        <v>Medium</v>
      </c>
    </row>
    <row r="19" spans="1:2" ht="16" x14ac:dyDescent="0.2">
      <c r="A19" s="460" t="s">
        <v>713</v>
      </c>
      <c r="B19" s="217" t="str">
        <f>system_type</f>
        <v>ZipRack</v>
      </c>
    </row>
    <row r="20" spans="1:2" x14ac:dyDescent="0.15">
      <c r="A20" s="452" t="s">
        <v>714</v>
      </c>
      <c r="B20" s="221">
        <f>system_quantity</f>
        <v>8</v>
      </c>
    </row>
    <row r="21" spans="1:2" ht="16" x14ac:dyDescent="0.2">
      <c r="A21" s="460" t="s">
        <v>715</v>
      </c>
      <c r="B21" s="217" t="str">
        <f>light_system</f>
        <v>Intravision Spectra Blade Single Sided - J</v>
      </c>
    </row>
    <row r="22" spans="1:2" x14ac:dyDescent="0.15">
      <c r="A22" s="456" t="s">
        <v>716</v>
      </c>
      <c r="B22" s="222" t="str">
        <f>growing_media</f>
        <v>Rockwool</v>
      </c>
    </row>
    <row r="23" spans="1:2" ht="16" x14ac:dyDescent="0.2">
      <c r="A23" s="460" t="s">
        <v>717</v>
      </c>
      <c r="B23" s="217">
        <f>ceiling_height</f>
        <v>4</v>
      </c>
    </row>
    <row r="24" spans="1:2" ht="16" x14ac:dyDescent="0.2">
      <c r="A24" s="460" t="s">
        <v>833</v>
      </c>
      <c r="B24" s="217" t="str" cm="1">
        <f t="array" ref="B24">insulation_level</f>
        <v>High</v>
      </c>
    </row>
    <row r="25" spans="1:2" ht="16" x14ac:dyDescent="0.2">
      <c r="A25" s="460" t="s">
        <v>718</v>
      </c>
      <c r="B25" s="217" t="str">
        <f>roof_type</f>
        <v>Flat roof</v>
      </c>
    </row>
    <row r="26" spans="1:2" x14ac:dyDescent="0.15">
      <c r="A26" s="453" t="s">
        <v>719</v>
      </c>
      <c r="B26" s="220" t="str">
        <f>co2_enrichment</f>
        <v>No</v>
      </c>
    </row>
    <row r="27" spans="1:2" x14ac:dyDescent="0.15">
      <c r="A27" s="454" t="s">
        <v>720</v>
      </c>
      <c r="B27" s="223" t="str">
        <f>structure_type</f>
        <v>N/A</v>
      </c>
    </row>
    <row r="28" spans="1:2" x14ac:dyDescent="0.15">
      <c r="A28" s="446" t="s">
        <v>721</v>
      </c>
      <c r="B28" s="224">
        <f>water_price</f>
        <v>1.91E-3</v>
      </c>
    </row>
    <row r="29" spans="1:2" x14ac:dyDescent="0.15">
      <c r="A29" s="447" t="s">
        <v>722</v>
      </c>
      <c r="B29" s="225">
        <f>electricity_price</f>
        <v>7.3400000000000007E-2</v>
      </c>
    </row>
    <row r="30" spans="1:2" x14ac:dyDescent="0.15">
      <c r="A30" s="448" t="s">
        <v>723</v>
      </c>
      <c r="B30" s="226">
        <f>labour_improvement</f>
        <v>0.05</v>
      </c>
    </row>
    <row r="31" spans="1:2" x14ac:dyDescent="0.15">
      <c r="A31" s="449" t="s">
        <v>724</v>
      </c>
      <c r="B31" s="226">
        <f>percentage_renewable_energy</f>
        <v>0</v>
      </c>
    </row>
    <row r="32" spans="1:2" x14ac:dyDescent="0.15">
      <c r="A32" s="436" t="s">
        <v>725</v>
      </c>
      <c r="B32" s="216" t="str">
        <f>biosecurity_level</f>
        <v>Medium</v>
      </c>
    </row>
    <row r="33" spans="1:2" x14ac:dyDescent="0.15">
      <c r="A33" s="451" t="s">
        <v>726</v>
      </c>
      <c r="B33" s="227">
        <f>loan_amount</f>
        <v>108000</v>
      </c>
    </row>
    <row r="34" spans="1:2" x14ac:dyDescent="0.15">
      <c r="A34" s="449" t="s">
        <v>727</v>
      </c>
      <c r="B34" s="226">
        <f>tax_rate</f>
        <v>0</v>
      </c>
    </row>
    <row r="35" spans="1:2" x14ac:dyDescent="0.15">
      <c r="A35" s="449" t="s">
        <v>728</v>
      </c>
      <c r="B35" s="226">
        <f>loan_interest</f>
        <v>0.05</v>
      </c>
    </row>
    <row r="36" spans="1:2" x14ac:dyDescent="0.15">
      <c r="A36" s="436" t="s">
        <v>729</v>
      </c>
      <c r="B36" s="228">
        <f>loan_tenure</f>
        <v>7</v>
      </c>
    </row>
    <row r="37" spans="1:2" x14ac:dyDescent="0.15">
      <c r="A37" s="436" t="s">
        <v>730</v>
      </c>
      <c r="B37" s="228" t="str">
        <f>loan_type</f>
        <v>Standard</v>
      </c>
    </row>
    <row r="38" spans="1:2" x14ac:dyDescent="0.15">
      <c r="A38" s="436" t="s">
        <v>731</v>
      </c>
      <c r="B38" s="216" t="str">
        <f>crop_typ1</f>
        <v>Lettuce (Farm Urban Mix)</v>
      </c>
    </row>
    <row r="39" spans="1:2" x14ac:dyDescent="0.15">
      <c r="A39" s="449" t="s">
        <v>732</v>
      </c>
      <c r="B39" s="226">
        <f>crop1_percent</f>
        <v>0.5</v>
      </c>
    </row>
    <row r="40" spans="1:2" x14ac:dyDescent="0.15">
      <c r="A40" s="436" t="s">
        <v>733</v>
      </c>
      <c r="B40" s="222" t="str">
        <f>crop1_system</f>
        <v>Drip Tower</v>
      </c>
    </row>
    <row r="41" spans="1:2" x14ac:dyDescent="0.15">
      <c r="A41" s="436" t="s">
        <v>734</v>
      </c>
      <c r="B41" s="222">
        <f>crop1_harvest_weight</f>
        <v>0.1</v>
      </c>
    </row>
    <row r="42" spans="1:2" x14ac:dyDescent="0.15">
      <c r="A42" s="436" t="s">
        <v>735</v>
      </c>
      <c r="B42" s="222">
        <f>crop1_product_weight</f>
        <v>0.3</v>
      </c>
    </row>
    <row r="43" spans="1:2" x14ac:dyDescent="0.15">
      <c r="A43" s="457" t="s">
        <v>736</v>
      </c>
      <c r="B43" s="229">
        <f>crop1_customer_percent</f>
        <v>0.94</v>
      </c>
    </row>
    <row r="44" spans="1:2" x14ac:dyDescent="0.15">
      <c r="A44" s="458" t="s">
        <v>737</v>
      </c>
      <c r="B44" s="230">
        <f>crop1_price1</f>
        <v>7</v>
      </c>
    </row>
    <row r="45" spans="1:2" x14ac:dyDescent="0.15">
      <c r="A45" s="458" t="s">
        <v>738</v>
      </c>
      <c r="B45" s="230">
        <f>crop1_price2</f>
        <v>0</v>
      </c>
    </row>
    <row r="46" spans="1:2" x14ac:dyDescent="0.15">
      <c r="A46" s="436" t="s">
        <v>739</v>
      </c>
      <c r="B46" s="222" t="str">
        <f>crop_typ2</f>
        <v>Lettuce (Farm Urban Mix)</v>
      </c>
    </row>
    <row r="47" spans="1:2" x14ac:dyDescent="0.15">
      <c r="A47" s="450" t="s">
        <v>740</v>
      </c>
      <c r="B47" s="231">
        <f>crop2_percent</f>
        <v>0.5</v>
      </c>
    </row>
    <row r="48" spans="1:2" x14ac:dyDescent="0.15">
      <c r="A48" s="436" t="s">
        <v>741</v>
      </c>
      <c r="B48" s="222" t="str">
        <f>crop2_system</f>
        <v>Drip Tower</v>
      </c>
    </row>
    <row r="49" spans="1:2" x14ac:dyDescent="0.15">
      <c r="A49" s="436" t="s">
        <v>742</v>
      </c>
      <c r="B49" s="222">
        <f>crop2_harvest_weight</f>
        <v>0.1</v>
      </c>
    </row>
    <row r="50" spans="1:2" x14ac:dyDescent="0.15">
      <c r="A50" s="436" t="s">
        <v>743</v>
      </c>
      <c r="B50" s="222">
        <f>crop2_product_weight</f>
        <v>0.45</v>
      </c>
    </row>
    <row r="51" spans="1:2" x14ac:dyDescent="0.15">
      <c r="A51" s="457" t="s">
        <v>744</v>
      </c>
      <c r="B51" s="229">
        <f>crop2_customer_percent</f>
        <v>1</v>
      </c>
    </row>
    <row r="52" spans="1:2" x14ac:dyDescent="0.15">
      <c r="A52" s="458" t="s">
        <v>745</v>
      </c>
      <c r="B52" s="230">
        <f>crop2_price1</f>
        <v>9.5</v>
      </c>
    </row>
    <row r="53" spans="1:2" x14ac:dyDescent="0.15">
      <c r="A53" s="458" t="s">
        <v>746</v>
      </c>
      <c r="B53" s="230">
        <f>crop2_price2</f>
        <v>0</v>
      </c>
    </row>
    <row r="54" spans="1:2" x14ac:dyDescent="0.15">
      <c r="A54" s="436" t="s">
        <v>747</v>
      </c>
      <c r="B54" s="222" t="str">
        <f>crop_typ3</f>
        <v>Basil - Genovese</v>
      </c>
    </row>
    <row r="55" spans="1:2" x14ac:dyDescent="0.15">
      <c r="A55" s="450" t="s">
        <v>748</v>
      </c>
      <c r="B55" s="231">
        <f>crop3_percent</f>
        <v>0</v>
      </c>
    </row>
    <row r="56" spans="1:2" x14ac:dyDescent="0.15">
      <c r="A56" s="436" t="s">
        <v>749</v>
      </c>
      <c r="B56" s="222" t="str">
        <f>crop3_system</f>
        <v>Drip Tower</v>
      </c>
    </row>
    <row r="57" spans="1:2" x14ac:dyDescent="0.15">
      <c r="A57" s="436" t="s">
        <v>750</v>
      </c>
      <c r="B57" s="222">
        <f>crop3_harvest_weight</f>
        <v>7.4999999999999997E-2</v>
      </c>
    </row>
    <row r="58" spans="1:2" x14ac:dyDescent="0.15">
      <c r="A58" s="436" t="s">
        <v>751</v>
      </c>
      <c r="B58" s="222">
        <f>crop3_product_weight</f>
        <v>7.4999999999999997E-2</v>
      </c>
    </row>
    <row r="59" spans="1:2" x14ac:dyDescent="0.15">
      <c r="A59" s="457" t="s">
        <v>752</v>
      </c>
      <c r="B59" s="229">
        <f>crop3_customer_percent</f>
        <v>1</v>
      </c>
    </row>
    <row r="60" spans="1:2" x14ac:dyDescent="0.15">
      <c r="A60" s="458" t="s">
        <v>753</v>
      </c>
      <c r="B60" s="230">
        <f>crop3_price1</f>
        <v>1.5</v>
      </c>
    </row>
    <row r="61" spans="1:2" x14ac:dyDescent="0.15">
      <c r="A61" s="458" t="s">
        <v>754</v>
      </c>
      <c r="B61" s="230">
        <f>crop3_price2</f>
        <v>0</v>
      </c>
    </row>
    <row r="62" spans="1:2" x14ac:dyDescent="0.15">
      <c r="A62" s="436" t="s">
        <v>755</v>
      </c>
      <c r="B62" s="222" t="str">
        <f>crop_typ4</f>
        <v>None</v>
      </c>
    </row>
    <row r="63" spans="1:2" x14ac:dyDescent="0.15">
      <c r="A63" s="449" t="s">
        <v>756</v>
      </c>
      <c r="B63" s="226">
        <f>crop4_percent</f>
        <v>0</v>
      </c>
    </row>
    <row r="64" spans="1:2" x14ac:dyDescent="0.15">
      <c r="A64" s="436" t="s">
        <v>757</v>
      </c>
      <c r="B64" s="222" t="str">
        <f>crop4_system</f>
        <v>Drip Tower</v>
      </c>
    </row>
    <row r="65" spans="1:2" x14ac:dyDescent="0.15">
      <c r="A65" s="436" t="s">
        <v>758</v>
      </c>
      <c r="B65" s="222">
        <f>crop4_harvest_weight</f>
        <v>0.5</v>
      </c>
    </row>
    <row r="66" spans="1:2" x14ac:dyDescent="0.15">
      <c r="A66" s="436" t="s">
        <v>759</v>
      </c>
      <c r="B66" s="222">
        <f>crop4_product_weight</f>
        <v>0.5</v>
      </c>
    </row>
    <row r="67" spans="1:2" x14ac:dyDescent="0.15">
      <c r="A67" s="444" t="s">
        <v>760</v>
      </c>
      <c r="B67" s="222">
        <f>crop4_customer_percent</f>
        <v>0</v>
      </c>
    </row>
    <row r="68" spans="1:2" x14ac:dyDescent="0.15">
      <c r="A68" s="458" t="s">
        <v>761</v>
      </c>
      <c r="B68" s="230">
        <f>crop4_price1</f>
        <v>7.5</v>
      </c>
    </row>
    <row r="69" spans="1:2" x14ac:dyDescent="0.15">
      <c r="A69" s="458" t="s">
        <v>762</v>
      </c>
      <c r="B69" s="230">
        <f>crop4_price2</f>
        <v>7.5</v>
      </c>
    </row>
    <row r="70" spans="1:2" x14ac:dyDescent="0.15">
      <c r="A70" s="444" t="s">
        <v>763</v>
      </c>
      <c r="B70" s="216">
        <f>vadded_products_multiplier</f>
        <v>1</v>
      </c>
    </row>
    <row r="71" spans="1:2" x14ac:dyDescent="0.15">
      <c r="A71" s="444" t="s">
        <v>764</v>
      </c>
      <c r="B71" s="216">
        <f>education_multiplier</f>
        <v>1.1499999999999999</v>
      </c>
    </row>
    <row r="72" spans="1:2" x14ac:dyDescent="0.15">
      <c r="A72" s="444" t="s">
        <v>765</v>
      </c>
      <c r="B72" s="216">
        <f>tourism_multiplier</f>
        <v>1.1499999999999999</v>
      </c>
    </row>
    <row r="73" spans="1:2" x14ac:dyDescent="0.15">
      <c r="A73" s="444" t="s">
        <v>766</v>
      </c>
      <c r="B73" s="216">
        <f>hospitality_multiplier</f>
        <v>1</v>
      </c>
    </row>
    <row r="74" spans="1:2" x14ac:dyDescent="0.15">
      <c r="A74" s="445" t="s">
        <v>767</v>
      </c>
      <c r="B74" s="232">
        <f>vadded_avg_revenue_y1</f>
        <v>0</v>
      </c>
    </row>
    <row r="75" spans="1:2" x14ac:dyDescent="0.15">
      <c r="A75" s="445" t="s">
        <v>768</v>
      </c>
      <c r="B75" s="232">
        <f>education_avg_revenue_y1</f>
        <v>400</v>
      </c>
    </row>
    <row r="76" spans="1:2" x14ac:dyDescent="0.15">
      <c r="A76" s="445" t="s">
        <v>769</v>
      </c>
      <c r="B76" s="232">
        <f>tourism_avg_revenue_y1</f>
        <v>0</v>
      </c>
    </row>
    <row r="77" spans="1:2" x14ac:dyDescent="0.15">
      <c r="A77" s="445" t="s">
        <v>770</v>
      </c>
      <c r="B77" s="232">
        <f>hospitality_avg_revenue_y1</f>
        <v>0</v>
      </c>
    </row>
    <row r="78" spans="1:2" x14ac:dyDescent="0.15">
      <c r="A78" s="445" t="s">
        <v>771</v>
      </c>
      <c r="B78" s="233">
        <f>monthly_rent_y1</f>
        <v>0</v>
      </c>
    </row>
    <row r="79" spans="1:2" x14ac:dyDescent="0.15">
      <c r="A79" s="459" t="s">
        <v>772</v>
      </c>
      <c r="B79" s="234">
        <f>monthly_distribution_y1</f>
        <v>1934.7360063599231</v>
      </c>
    </row>
    <row r="80" spans="1:2" x14ac:dyDescent="0.15">
      <c r="A80" s="444" t="s">
        <v>773</v>
      </c>
      <c r="B80" s="222">
        <f>monthly_rent_y2</f>
        <v>0</v>
      </c>
    </row>
    <row r="81" spans="1:2" x14ac:dyDescent="0.15">
      <c r="A81" s="444" t="s">
        <v>774</v>
      </c>
      <c r="B81" s="222">
        <f>monthly_distribution_y2</f>
        <v>2964.9246970867771</v>
      </c>
    </row>
    <row r="82" spans="1:2" x14ac:dyDescent="0.15">
      <c r="A82" s="491" t="s">
        <v>775</v>
      </c>
      <c r="B82" s="232">
        <f>delivery_msalary</f>
        <v>1500</v>
      </c>
    </row>
    <row r="83" spans="1:2" x14ac:dyDescent="0.15">
      <c r="A83" s="491" t="s">
        <v>776</v>
      </c>
      <c r="B83" s="232">
        <f>farmhand_msalary</f>
        <v>1500</v>
      </c>
    </row>
    <row r="84" spans="1:2" x14ac:dyDescent="0.15">
      <c r="A84" s="491" t="s">
        <v>777</v>
      </c>
      <c r="B84" s="232">
        <f>parttime_wage</f>
        <v>9.5</v>
      </c>
    </row>
    <row r="85" spans="1:2" x14ac:dyDescent="0.15">
      <c r="A85" s="491" t="s">
        <v>778</v>
      </c>
      <c r="B85" s="232">
        <f>ceo_msalary</f>
        <v>2025</v>
      </c>
    </row>
    <row r="86" spans="1:2" x14ac:dyDescent="0.15">
      <c r="A86" s="491" t="s">
        <v>779</v>
      </c>
      <c r="B86" s="232">
        <f>hgrower_msalary</f>
        <v>1560</v>
      </c>
    </row>
    <row r="87" spans="1:2" x14ac:dyDescent="0.15">
      <c r="A87" s="491" t="s">
        <v>780</v>
      </c>
      <c r="B87" s="232">
        <f>marketer_msalary</f>
        <v>2025</v>
      </c>
    </row>
    <row r="88" spans="1:2" x14ac:dyDescent="0.15">
      <c r="A88" s="491" t="s">
        <v>781</v>
      </c>
      <c r="B88" s="232">
        <f>scientist_msalary</f>
        <v>2025</v>
      </c>
    </row>
    <row r="89" spans="1:2" x14ac:dyDescent="0.15">
      <c r="A89" s="491" t="s">
        <v>782</v>
      </c>
      <c r="B89" s="232">
        <f>salesperson_msalary</f>
        <v>1560</v>
      </c>
    </row>
    <row r="90" spans="1:2" x14ac:dyDescent="0.15">
      <c r="A90" s="491" t="s">
        <v>783</v>
      </c>
      <c r="B90" s="232">
        <f>manager_msalary</f>
        <v>2025</v>
      </c>
    </row>
    <row r="91" spans="1:2" x14ac:dyDescent="0.15">
      <c r="A91" s="491" t="s">
        <v>784</v>
      </c>
      <c r="B91" s="232">
        <f>admin_msalary</f>
        <v>624</v>
      </c>
    </row>
    <row r="92" spans="1:2" x14ac:dyDescent="0.15">
      <c r="A92" s="436" t="s">
        <v>785</v>
      </c>
      <c r="B92" s="216">
        <f>ceo_count_y1</f>
        <v>0</v>
      </c>
    </row>
    <row r="93" spans="1:2" x14ac:dyDescent="0.15">
      <c r="A93" s="436" t="s">
        <v>786</v>
      </c>
      <c r="B93" s="216">
        <f>hgrower_count_y1</f>
        <v>0</v>
      </c>
    </row>
    <row r="94" spans="1:2" x14ac:dyDescent="0.15">
      <c r="A94" s="436" t="s">
        <v>787</v>
      </c>
      <c r="B94" s="216">
        <f>marketer_count_y1</f>
        <v>0.5</v>
      </c>
    </row>
    <row r="95" spans="1:2" x14ac:dyDescent="0.15">
      <c r="A95" s="436" t="s">
        <v>788</v>
      </c>
      <c r="B95" s="216">
        <f>scientist_count_y1</f>
        <v>0</v>
      </c>
    </row>
    <row r="96" spans="1:2" x14ac:dyDescent="0.15">
      <c r="A96" s="436" t="s">
        <v>789</v>
      </c>
      <c r="B96" s="216">
        <f>salesperson_count_y1</f>
        <v>0</v>
      </c>
    </row>
    <row r="97" spans="1:2" x14ac:dyDescent="0.15">
      <c r="A97" s="436" t="s">
        <v>790</v>
      </c>
      <c r="B97" s="216">
        <f>manager_count_y1</f>
        <v>1</v>
      </c>
    </row>
    <row r="98" spans="1:2" x14ac:dyDescent="0.15">
      <c r="A98" s="436" t="s">
        <v>791</v>
      </c>
      <c r="B98" s="216">
        <f>delivery_count_y1</f>
        <v>0</v>
      </c>
    </row>
    <row r="99" spans="1:2" x14ac:dyDescent="0.15">
      <c r="A99" s="436" t="s">
        <v>792</v>
      </c>
      <c r="B99" s="216">
        <f>farmhand_count_y1</f>
        <v>0</v>
      </c>
    </row>
    <row r="100" spans="1:2" x14ac:dyDescent="0.15">
      <c r="A100" s="436" t="s">
        <v>793</v>
      </c>
      <c r="B100" s="216">
        <f>admin_count_y1</f>
        <v>0</v>
      </c>
    </row>
    <row r="101" spans="1:2" x14ac:dyDescent="0.15">
      <c r="A101" s="444" t="s">
        <v>794</v>
      </c>
      <c r="B101" s="216">
        <f>parttime_count_y1</f>
        <v>173.32</v>
      </c>
    </row>
    <row r="102" spans="1:2" x14ac:dyDescent="0.15">
      <c r="A102" s="436" t="s">
        <v>795</v>
      </c>
      <c r="B102" s="216">
        <f>ceo_count_y2</f>
        <v>0</v>
      </c>
    </row>
    <row r="103" spans="1:2" x14ac:dyDescent="0.15">
      <c r="A103" s="436" t="s">
        <v>796</v>
      </c>
      <c r="B103" s="216">
        <f>hgrower_count_y2</f>
        <v>1</v>
      </c>
    </row>
    <row r="104" spans="1:2" x14ac:dyDescent="0.15">
      <c r="A104" s="436" t="s">
        <v>797</v>
      </c>
      <c r="B104" s="216">
        <f>marketer_count_y2</f>
        <v>1</v>
      </c>
    </row>
    <row r="105" spans="1:2" x14ac:dyDescent="0.15">
      <c r="A105" s="436" t="s">
        <v>798</v>
      </c>
      <c r="B105" s="216">
        <f>scientist_count_y2</f>
        <v>0</v>
      </c>
    </row>
    <row r="106" spans="1:2" x14ac:dyDescent="0.15">
      <c r="A106" s="436" t="s">
        <v>799</v>
      </c>
      <c r="B106" s="216">
        <f>salesperson_count_y2</f>
        <v>0</v>
      </c>
    </row>
    <row r="107" spans="1:2" x14ac:dyDescent="0.15">
      <c r="A107" s="436" t="s">
        <v>800</v>
      </c>
      <c r="B107" s="216">
        <f>manager_count_y2</f>
        <v>1</v>
      </c>
    </row>
    <row r="108" spans="1:2" x14ac:dyDescent="0.15">
      <c r="A108" s="436" t="s">
        <v>801</v>
      </c>
      <c r="B108" s="216">
        <f>delivery_count_y2</f>
        <v>0</v>
      </c>
    </row>
    <row r="109" spans="1:2" x14ac:dyDescent="0.15">
      <c r="A109" s="436" t="s">
        <v>802</v>
      </c>
      <c r="B109" s="216">
        <f>farmhand_count_y2</f>
        <v>0</v>
      </c>
    </row>
    <row r="110" spans="1:2" x14ac:dyDescent="0.15">
      <c r="A110" s="436" t="s">
        <v>803</v>
      </c>
      <c r="B110" s="216">
        <f>admin_count_y2</f>
        <v>0</v>
      </c>
    </row>
    <row r="111" spans="1:2" x14ac:dyDescent="0.15">
      <c r="A111" s="444" t="s">
        <v>804</v>
      </c>
      <c r="B111" s="216">
        <f>parttime_count_y2</f>
        <v>346.64</v>
      </c>
    </row>
    <row r="112" spans="1:2" x14ac:dyDescent="0.15">
      <c r="A112" s="442" t="s">
        <v>809</v>
      </c>
      <c r="B112">
        <f>Overview!F101</f>
        <v>129.25</v>
      </c>
    </row>
    <row r="113" spans="1:2" x14ac:dyDescent="0.15">
      <c r="A113" s="442" t="s">
        <v>810</v>
      </c>
      <c r="B113" s="103">
        <f>Overview!G101</f>
        <v>129.25</v>
      </c>
    </row>
    <row r="114" spans="1:2" x14ac:dyDescent="0.15">
      <c r="A114" s="442" t="s">
        <v>813</v>
      </c>
      <c r="B114" s="243">
        <f>'CapEx Breakdown'!C38</f>
        <v>111553.81000000001</v>
      </c>
    </row>
    <row r="115" spans="1:2" x14ac:dyDescent="0.15">
      <c r="A115" s="442" t="s">
        <v>817</v>
      </c>
      <c r="B115" s="243">
        <f ca="1">'CapEx Breakdown'!E38</f>
        <v>211344.81</v>
      </c>
    </row>
    <row r="116" spans="1:2" x14ac:dyDescent="0.15">
      <c r="A116" s="442" t="s">
        <v>814</v>
      </c>
      <c r="B116" s="86">
        <f>'CapEx Breakdown'!D25+'CapEx Breakdown'!C25</f>
        <v>66000</v>
      </c>
    </row>
    <row r="117" spans="1:2" x14ac:dyDescent="0.15">
      <c r="A117" s="442" t="s">
        <v>815</v>
      </c>
      <c r="B117" s="86">
        <f ca="1">('CapEx Breakdown'!D35+'CapEx Breakdown'!C35)-('CapEx Breakdown'!C25+'CapEx Breakdown'!D25)</f>
        <v>99771.510000000009</v>
      </c>
    </row>
    <row r="118" spans="1:2" x14ac:dyDescent="0.15">
      <c r="A118" s="442" t="s">
        <v>816</v>
      </c>
      <c r="B118" s="86">
        <f>'CapEx Breakdown'!D16+'CapEx Breakdown'!D17+'CapEx Breakdown'!D18+'CapEx Breakdown'!C18+'CapEx Breakdown'!C17+'CapEx Breakdown'!C16</f>
        <v>17892</v>
      </c>
    </row>
    <row r="119" spans="1:2" x14ac:dyDescent="0.15">
      <c r="A119" s="441" t="s">
        <v>818</v>
      </c>
      <c r="B119">
        <f>target_productivity_space</f>
        <v>90</v>
      </c>
    </row>
    <row r="120" spans="1:2" x14ac:dyDescent="0.15">
      <c r="A120" s="441" t="s">
        <v>819</v>
      </c>
      <c r="B120">
        <f>target_productivity_energy</f>
        <v>7.0000000000000007E-2</v>
      </c>
    </row>
    <row r="121" spans="1:2" x14ac:dyDescent="0.15">
      <c r="A121" s="441" t="s">
        <v>820</v>
      </c>
      <c r="B121">
        <f>target_productivity_labour</f>
        <v>6</v>
      </c>
    </row>
    <row r="122" spans="1:2" x14ac:dyDescent="0.15">
      <c r="A122" s="441" t="s">
        <v>821</v>
      </c>
      <c r="B122">
        <f>target_productivity_water</f>
        <v>0.5</v>
      </c>
    </row>
    <row r="123" spans="1:2" x14ac:dyDescent="0.15">
      <c r="A123" s="441" t="s">
        <v>822</v>
      </c>
      <c r="B123">
        <f>target_productivity_nutrients</f>
        <v>500</v>
      </c>
    </row>
    <row r="124" spans="1:2" x14ac:dyDescent="0.15">
      <c r="A124" s="441" t="s">
        <v>823</v>
      </c>
      <c r="B124">
        <f>target_productivity_volume</f>
        <v>130</v>
      </c>
    </row>
    <row r="125" spans="1:2" x14ac:dyDescent="0.15">
      <c r="A125" s="441" t="s">
        <v>825</v>
      </c>
      <c r="B125">
        <f>target_productivity_plants</f>
        <v>800</v>
      </c>
    </row>
    <row r="126" spans="1:2" x14ac:dyDescent="0.15">
      <c r="A126" s="441" t="s">
        <v>826</v>
      </c>
      <c r="B126">
        <f>target_productivity_CO2</f>
        <v>500</v>
      </c>
    </row>
    <row r="127" spans="1:2" x14ac:dyDescent="0.15">
      <c r="A127" s="441" t="s">
        <v>827</v>
      </c>
      <c r="B127">
        <f>target_productivity_CO2_omitted</f>
        <v>50000</v>
      </c>
    </row>
    <row r="128" spans="1:2" x14ac:dyDescent="0.15">
      <c r="A128" s="441" t="s">
        <v>824</v>
      </c>
      <c r="B128">
        <f>target_productivity_CO2_net</f>
        <v>-1000</v>
      </c>
    </row>
    <row r="129" spans="1:2" x14ac:dyDescent="0.15">
      <c r="A129" s="441" t="s">
        <v>830</v>
      </c>
      <c r="B129" t="str">
        <f>ipm</f>
        <v>No</v>
      </c>
    </row>
    <row r="130" spans="1:2" x14ac:dyDescent="0.15">
      <c r="A130" s="441" t="s">
        <v>831</v>
      </c>
      <c r="B130" t="str">
        <f>pest_detection</f>
        <v>No</v>
      </c>
    </row>
    <row r="131" spans="1:2" x14ac:dyDescent="0.15">
      <c r="A131" s="441" t="s">
        <v>832</v>
      </c>
      <c r="B131" t="s">
        <v>528</v>
      </c>
    </row>
    <row r="132" spans="1:2" x14ac:dyDescent="0.15">
      <c r="A132" s="441" t="s">
        <v>838</v>
      </c>
      <c r="B132" s="370" t="str">
        <f>Overview!B12</f>
        <v>GBP</v>
      </c>
    </row>
    <row r="133" spans="1:2" x14ac:dyDescent="0.15">
      <c r="A133" s="441" t="s">
        <v>914</v>
      </c>
      <c r="B133" s="85">
        <f>percent_production_area_full</f>
        <v>0.27</v>
      </c>
    </row>
    <row r="134" spans="1:2" x14ac:dyDescent="0.15">
      <c r="A134" s="441" t="s">
        <v>982</v>
      </c>
      <c r="B134" t="str">
        <f>energy_type</f>
        <v>Average UK energy mix</v>
      </c>
    </row>
    <row r="135" spans="1:2" x14ac:dyDescent="0.15">
      <c r="A135" s="443" t="s">
        <v>1000</v>
      </c>
      <c r="B135">
        <f>Overview!B62</f>
        <v>89000</v>
      </c>
    </row>
    <row r="136" spans="1:2" x14ac:dyDescent="0.15">
      <c r="A136" s="443" t="s">
        <v>994</v>
      </c>
      <c r="B136">
        <f>grant_revenue_y1</f>
        <v>128000</v>
      </c>
    </row>
    <row r="137" spans="1:2" x14ac:dyDescent="0.15">
      <c r="A137" s="443" t="s">
        <v>995</v>
      </c>
      <c r="B137">
        <f>grant_revenue_y2</f>
        <v>0</v>
      </c>
    </row>
    <row r="138" spans="1:2" x14ac:dyDescent="0.15">
      <c r="A138" s="443" t="s">
        <v>996</v>
      </c>
      <c r="B138">
        <f>grant_revenue_y3</f>
        <v>0</v>
      </c>
    </row>
    <row r="139" spans="1:2" x14ac:dyDescent="0.15">
      <c r="A139" s="443" t="s">
        <v>997</v>
      </c>
      <c r="B139">
        <f>grant_revenue_y4</f>
        <v>0</v>
      </c>
    </row>
    <row r="140" spans="1:2" x14ac:dyDescent="0.15">
      <c r="A140" s="443" t="s">
        <v>998</v>
      </c>
      <c r="B140">
        <f>grant_revenue_y5</f>
        <v>0</v>
      </c>
    </row>
    <row r="141" spans="1:2" x14ac:dyDescent="0.15">
      <c r="A141" s="443" t="s">
        <v>999</v>
      </c>
      <c r="B141">
        <f>grant_revenue_y6</f>
        <v>0</v>
      </c>
    </row>
    <row r="142" spans="1:2" x14ac:dyDescent="0.15">
      <c r="A142" s="443" t="s">
        <v>1001</v>
      </c>
      <c r="B142">
        <f>grant_revenue_y7</f>
        <v>0</v>
      </c>
    </row>
    <row r="143" spans="1:2" x14ac:dyDescent="0.15">
      <c r="A143" s="443" t="s">
        <v>1002</v>
      </c>
      <c r="B143">
        <f>grant_revenue_y8</f>
        <v>0</v>
      </c>
    </row>
    <row r="144" spans="1:2" x14ac:dyDescent="0.15">
      <c r="A144" s="443" t="s">
        <v>1003</v>
      </c>
      <c r="B144">
        <f>grant_revenue_y9</f>
        <v>0</v>
      </c>
    </row>
    <row r="145" spans="1:2" x14ac:dyDescent="0.15">
      <c r="A145" s="443" t="s">
        <v>1004</v>
      </c>
      <c r="B145">
        <f>grant_revenue_y10</f>
        <v>0</v>
      </c>
    </row>
    <row r="146" spans="1:2" x14ac:dyDescent="0.15">
      <c r="A146" s="443" t="s">
        <v>1005</v>
      </c>
      <c r="B146">
        <f>grant_revenue_y11</f>
        <v>0</v>
      </c>
    </row>
    <row r="147" spans="1:2" x14ac:dyDescent="0.15">
      <c r="A147" s="443" t="s">
        <v>1089</v>
      </c>
      <c r="B147">
        <f>daily_energy_consumption</f>
        <v>102.652383</v>
      </c>
    </row>
    <row r="148" spans="1:2" x14ac:dyDescent="0.15">
      <c r="A148" s="443" t="s">
        <v>1090</v>
      </c>
      <c r="B148">
        <f>other_costs_full</f>
        <v>0.02</v>
      </c>
    </row>
  </sheetData>
  <phoneticPr fontId="32" type="noConversion"/>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J1" zoomScale="140" zoomScaleNormal="140" workbookViewId="0">
      <selection activeCell="G21" sqref="G21"/>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2"/>
      <c r="B1" s="63" t="s">
        <v>202</v>
      </c>
      <c r="C1" s="62"/>
      <c r="D1" s="62"/>
      <c r="E1" s="62"/>
      <c r="F1" s="62"/>
      <c r="G1" s="62"/>
      <c r="H1" s="62"/>
      <c r="I1" s="62"/>
      <c r="J1" s="62"/>
      <c r="K1" s="62"/>
      <c r="L1" s="62"/>
      <c r="M1" s="62"/>
      <c r="N1" s="62"/>
      <c r="O1" s="62"/>
      <c r="P1" s="6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1" t="s">
        <v>3</v>
      </c>
      <c r="D3" s="39">
        <f>SUM('CapEx Breakdown'!C21:D21)</f>
        <v>45573.3</v>
      </c>
      <c r="E3" s="6" t="s">
        <v>31</v>
      </c>
      <c r="F3" s="39">
        <f ca="1">SUM('CapEx Breakdown'!C35:D35)</f>
        <v>165771.51</v>
      </c>
      <c r="G3" s="6" t="s">
        <v>32</v>
      </c>
      <c r="H3" s="40">
        <f ca="1">D3+F3</f>
        <v>211344.81</v>
      </c>
      <c r="I3" s="7"/>
      <c r="J3" s="1"/>
      <c r="K3" s="1"/>
      <c r="L3" s="1"/>
      <c r="M3" s="1"/>
      <c r="N3" s="1"/>
      <c r="O3" s="1"/>
      <c r="P3" s="1"/>
      <c r="Q3" s="1"/>
      <c r="R3" s="1"/>
      <c r="S3" s="1"/>
      <c r="T3" s="1"/>
      <c r="U3" s="1"/>
      <c r="V3" s="1"/>
      <c r="W3" s="1"/>
      <c r="X3" s="1"/>
      <c r="Y3" s="1"/>
      <c r="Z3" s="1"/>
      <c r="AA3" s="1"/>
    </row>
    <row r="4" spans="1:27" s="419" customFormat="1" ht="15.75" customHeight="1" x14ac:dyDescent="0.15">
      <c r="A4" s="1"/>
      <c r="B4" s="111" t="s">
        <v>1087</v>
      </c>
      <c r="C4" s="429">
        <f>Overview!B62+loan_amount</f>
        <v>197000</v>
      </c>
      <c r="D4" s="39"/>
      <c r="E4" s="6"/>
      <c r="F4" s="39"/>
      <c r="G4" s="6"/>
      <c r="H4" s="40"/>
      <c r="I4" s="7"/>
      <c r="J4" s="1"/>
      <c r="K4" s="1"/>
      <c r="L4" s="1"/>
      <c r="M4" s="1"/>
      <c r="N4" s="1"/>
      <c r="O4" s="1"/>
      <c r="P4" s="1"/>
      <c r="Q4" s="1"/>
      <c r="R4" s="1"/>
      <c r="S4" s="1"/>
      <c r="T4" s="1"/>
      <c r="U4" s="1"/>
      <c r="V4" s="1"/>
      <c r="W4" s="1"/>
      <c r="X4" s="1"/>
      <c r="Y4" s="1"/>
      <c r="Z4" s="1"/>
      <c r="AA4" s="1"/>
    </row>
    <row r="5" spans="1:27" ht="15.75" customHeight="1"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x14ac:dyDescent="0.15">
      <c r="A6" s="1"/>
      <c r="B6" s="1"/>
      <c r="C6" s="8" t="s">
        <v>33</v>
      </c>
      <c r="D6" s="8" t="s">
        <v>34</v>
      </c>
      <c r="E6" s="8" t="s">
        <v>35</v>
      </c>
      <c r="F6" s="9" t="s">
        <v>36</v>
      </c>
      <c r="G6" s="5" t="s">
        <v>133</v>
      </c>
      <c r="H6" s="43" t="s">
        <v>134</v>
      </c>
      <c r="I6" s="43" t="s">
        <v>135</v>
      </c>
      <c r="J6" s="43" t="s">
        <v>136</v>
      </c>
      <c r="K6" s="43" t="s">
        <v>137</v>
      </c>
      <c r="L6" s="43" t="s">
        <v>138</v>
      </c>
      <c r="M6" s="43" t="s">
        <v>139</v>
      </c>
      <c r="N6" s="43" t="s">
        <v>140</v>
      </c>
      <c r="O6" s="43" t="s">
        <v>141</v>
      </c>
      <c r="P6" s="43" t="s">
        <v>142</v>
      </c>
      <c r="Q6" s="43" t="s">
        <v>143</v>
      </c>
      <c r="R6" s="43" t="s">
        <v>144</v>
      </c>
      <c r="S6" s="1"/>
      <c r="T6" s="1"/>
      <c r="U6" s="1"/>
      <c r="V6" s="1"/>
      <c r="W6" s="1"/>
      <c r="X6" s="1"/>
      <c r="Y6" s="1"/>
      <c r="Z6" s="1"/>
      <c r="AA6" s="1"/>
    </row>
    <row r="7" spans="1:27" s="419" customFormat="1" ht="15.75" customHeight="1" x14ac:dyDescent="0.15">
      <c r="A7" s="1"/>
      <c r="B7" s="1" t="s">
        <v>990</v>
      </c>
      <c r="C7" s="9"/>
      <c r="D7" s="40">
        <f ca="1">grant_revenue_y1+C4-'CapEx Breakdown'!C38+D20</f>
        <v>165135.42042434195</v>
      </c>
      <c r="E7" s="426">
        <f ca="1">D7+E20-'CapEx Breakdown'!D38+grant_revenue_y2</f>
        <v>19154.477480453104</v>
      </c>
      <c r="F7" s="426">
        <f ca="1">E7+F20+grant_revenue_y3</f>
        <v>-21183.247129474883</v>
      </c>
      <c r="G7" s="426">
        <f ca="1">F7+G20+grant_revenue_y4</f>
        <v>-56500.699961868508</v>
      </c>
      <c r="H7" s="426">
        <f ca="1">G7+H20+grant_revenue_y5</f>
        <v>-86920.374628013073</v>
      </c>
      <c r="I7" s="426">
        <f ca="1">H7+I20+grant_revenue_y6</f>
        <v>-112538.64760019387</v>
      </c>
      <c r="J7" s="426">
        <f ca="1">I7+J20+grant_revenue_y7</f>
        <v>-133384.69453947167</v>
      </c>
      <c r="K7" s="426">
        <f ca="1">J7+K20+grant_revenue_y8</f>
        <v>-131190.68031310569</v>
      </c>
      <c r="L7" s="426">
        <f ca="1">K7+L20+grant_revenue_y9</f>
        <v>-124523.98768483385</v>
      </c>
      <c r="M7" s="426">
        <f ca="1">L7+M20+grant_revenue_y10</f>
        <v>-113227.11294342254</v>
      </c>
      <c r="N7" s="426">
        <f ca="1">M7+N20+grant_revenue_y11</f>
        <v>-97114.881295557221</v>
      </c>
      <c r="O7" s="426">
        <f ca="1">N7+O20+grant_revenue_y12</f>
        <v>-75930.05994208841</v>
      </c>
      <c r="P7" s="426">
        <f ca="1">O7+P20+grant_revenue_y13</f>
        <v>-49336.097128519439</v>
      </c>
      <c r="Q7" s="426">
        <f ca="1">P7+Q20+grant_revenue_y14</f>
        <v>-16946.842187033119</v>
      </c>
      <c r="R7" s="426">
        <f ca="1">Q7+R20+grant_revenue_y15</f>
        <v>21702.181823763651</v>
      </c>
      <c r="S7" s="1"/>
      <c r="T7" s="1"/>
      <c r="U7" s="1"/>
      <c r="V7" s="1"/>
      <c r="W7" s="1"/>
      <c r="X7" s="1"/>
      <c r="Y7" s="1"/>
      <c r="Z7" s="1"/>
      <c r="AA7" s="1"/>
    </row>
    <row r="8" spans="1:27" ht="15.75" customHeight="1" x14ac:dyDescent="0.15">
      <c r="A8" s="10"/>
      <c r="B8" s="11" t="s">
        <v>37</v>
      </c>
      <c r="C8" s="40">
        <f>Overview!F84</f>
        <v>7895.1672886383421</v>
      </c>
      <c r="D8" s="40">
        <f>Overview!H84</f>
        <v>94742.007463660106</v>
      </c>
      <c r="E8" s="40">
        <f>Overview!I84</f>
        <v>189297.8924242268</v>
      </c>
      <c r="F8" s="40">
        <f>Overview!J84</f>
        <v>193626.0070281878</v>
      </c>
      <c r="G8" s="40">
        <f>Overview!K84</f>
        <v>197093.91439978476</v>
      </c>
      <c r="H8" s="40">
        <f>Overview!L84</f>
        <v>200507.7703249089</v>
      </c>
      <c r="I8" s="40">
        <f>Overview!M84</f>
        <v>203888.99930356024</v>
      </c>
      <c r="J8" s="40">
        <f>Overview!N84</f>
        <v>207305.99094328829</v>
      </c>
      <c r="K8" s="40">
        <f>Overview!O84</f>
        <v>210327.68910357318</v>
      </c>
      <c r="L8" s="40">
        <f>Overview!P84</f>
        <v>213511.69496144651</v>
      </c>
      <c r="M8" s="40">
        <f>Overview!Q84</f>
        <v>216917.35581758624</v>
      </c>
      <c r="N8" s="40">
        <f>Overview!R84</f>
        <v>220565.88827778117</v>
      </c>
      <c r="O8" s="40">
        <f>Overview!S84</f>
        <v>224528.72422867914</v>
      </c>
      <c r="P8" s="40">
        <f>Overview!T84</f>
        <v>228884.72898248408</v>
      </c>
      <c r="Q8" s="40">
        <f>Overview!U84</f>
        <v>233677.56485823967</v>
      </c>
      <c r="R8" s="40">
        <f>Overview!V84</f>
        <v>238982.60059656214</v>
      </c>
      <c r="S8" s="1"/>
      <c r="T8" s="1"/>
      <c r="U8" s="1"/>
      <c r="V8" s="1"/>
      <c r="W8" s="1"/>
      <c r="X8" s="1"/>
      <c r="Y8" s="1"/>
      <c r="Z8" s="1"/>
      <c r="AA8" s="1"/>
    </row>
    <row r="9" spans="1:27" ht="15.75" customHeight="1" x14ac:dyDescent="0.15">
      <c r="A9" s="10"/>
      <c r="B9" s="11" t="s">
        <v>38</v>
      </c>
      <c r="C9" s="40">
        <f>Overview!F93</f>
        <v>4403.4524225677214</v>
      </c>
      <c r="D9" s="40">
        <f>Overview!H93</f>
        <v>52841.429070812643</v>
      </c>
      <c r="E9" s="40">
        <f>Overview!I93</f>
        <v>91826.847610887882</v>
      </c>
      <c r="F9" s="40">
        <f>Overview!J93</f>
        <v>90302.743880888025</v>
      </c>
      <c r="G9" s="40">
        <f>Overview!K93</f>
        <v>88750.37947495062</v>
      </c>
      <c r="H9" s="40">
        <f>Overview!L93</f>
        <v>87266.457233825698</v>
      </c>
      <c r="I9" s="40">
        <f>Overview!M93</f>
        <v>85846.284518513276</v>
      </c>
      <c r="J9" s="40">
        <f>Overview!N93</f>
        <v>84491.050125338341</v>
      </c>
      <c r="K9" s="40">
        <f>Overview!O93</f>
        <v>83137.227512165889</v>
      </c>
      <c r="L9" s="40">
        <f>Overview!P93</f>
        <v>81848.554968133321</v>
      </c>
      <c r="M9" s="40">
        <f>Overview!Q93</f>
        <v>80624.033711133612</v>
      </c>
      <c r="N9" s="40">
        <f>Overview!R93</f>
        <v>79457.209264874517</v>
      </c>
      <c r="O9" s="40">
        <f>Overview!S93</f>
        <v>78347.455510169006</v>
      </c>
      <c r="P9" s="40">
        <f>Overview!T93</f>
        <v>77294.318803873772</v>
      </c>
      <c r="Q9" s="40">
        <f>Overview!U93</f>
        <v>76291.862551712038</v>
      </c>
      <c r="R9" s="40">
        <f>Overview!V93</f>
        <v>75337.129220724033</v>
      </c>
      <c r="S9" s="1"/>
      <c r="T9" s="1"/>
      <c r="U9" s="1"/>
      <c r="V9" s="1"/>
      <c r="W9" s="1"/>
      <c r="X9" s="1"/>
      <c r="Y9" s="1"/>
      <c r="Z9" s="1"/>
      <c r="AA9" s="1"/>
    </row>
    <row r="10" spans="1:27" ht="15.75" customHeight="1" x14ac:dyDescent="0.15">
      <c r="A10" s="10"/>
      <c r="B10" s="12" t="s">
        <v>39</v>
      </c>
      <c r="C10" s="41">
        <f>Overview!F95</f>
        <v>3491.7148660706207</v>
      </c>
      <c r="D10" s="41">
        <f>Overview!H95</f>
        <v>41900.578392847463</v>
      </c>
      <c r="E10" s="41">
        <f>Overview!I95</f>
        <v>97471.044813338915</v>
      </c>
      <c r="F10" s="41">
        <f>Overview!J95</f>
        <v>103323.26314729977</v>
      </c>
      <c r="G10" s="41">
        <f>Overview!K95</f>
        <v>108343.53492483414</v>
      </c>
      <c r="H10" s="41">
        <f>Overview!L95</f>
        <v>113241.3130910832</v>
      </c>
      <c r="I10" s="41">
        <f>Overview!M95</f>
        <v>118042.71478504696</v>
      </c>
      <c r="J10" s="41">
        <f>Overview!N95</f>
        <v>122814.94081794994</v>
      </c>
      <c r="K10" s="41">
        <f>Overview!O95</f>
        <v>127190.46159140729</v>
      </c>
      <c r="L10" s="41">
        <f>Overview!P95</f>
        <v>131663.13999331318</v>
      </c>
      <c r="M10" s="41">
        <f>Overview!Q95</f>
        <v>136293.32210645263</v>
      </c>
      <c r="N10" s="41">
        <f>Overview!R95</f>
        <v>141108.67901290665</v>
      </c>
      <c r="O10" s="41">
        <f>Overview!S95</f>
        <v>146181.26871851014</v>
      </c>
      <c r="P10" s="41">
        <f>Overview!T95</f>
        <v>151590.4101786103</v>
      </c>
      <c r="Q10" s="41">
        <f>Overview!U95</f>
        <v>157385.70230652764</v>
      </c>
      <c r="R10" s="41">
        <f>Overview!V95</f>
        <v>163645.4713758381</v>
      </c>
      <c r="S10" s="1"/>
      <c r="T10" s="1"/>
      <c r="U10" s="1"/>
      <c r="V10" s="1"/>
      <c r="W10" s="1"/>
      <c r="X10" s="1"/>
      <c r="Y10" s="1"/>
      <c r="Z10" s="1"/>
      <c r="AA10" s="1"/>
    </row>
    <row r="11" spans="1:27" ht="15.75" customHeight="1" x14ac:dyDescent="0.15">
      <c r="A11" s="1"/>
      <c r="B11" s="1"/>
      <c r="C11" s="40"/>
      <c r="D11" s="40"/>
      <c r="E11" s="40"/>
      <c r="F11" s="40"/>
      <c r="G11" s="40"/>
      <c r="H11" s="40"/>
      <c r="I11" s="1"/>
      <c r="J11" s="1"/>
      <c r="K11" s="1"/>
      <c r="L11" s="1"/>
      <c r="M11" s="1"/>
      <c r="N11" s="1"/>
      <c r="O11" s="1"/>
      <c r="P11" s="1"/>
      <c r="Q11" s="1"/>
      <c r="R11" s="1"/>
      <c r="S11" s="1"/>
      <c r="T11" s="1"/>
      <c r="U11" s="1"/>
      <c r="V11" s="1"/>
      <c r="W11" s="1"/>
      <c r="X11" s="1"/>
      <c r="Y11" s="1"/>
      <c r="Z11" s="1"/>
      <c r="AA11" s="1"/>
    </row>
    <row r="12" spans="1:27" ht="15.75" customHeight="1" x14ac:dyDescent="0.15">
      <c r="A12" s="10"/>
      <c r="B12" s="12" t="s">
        <v>40</v>
      </c>
      <c r="C12" s="41">
        <f>Overview!F103</f>
        <v>5162.2360063599226</v>
      </c>
      <c r="D12" s="41">
        <f>Overview!H103</f>
        <v>61946.832076319079</v>
      </c>
      <c r="E12" s="41">
        <f>Overview!I103</f>
        <v>105796.49636504133</v>
      </c>
      <c r="F12" s="41">
        <f>Overview!J103</f>
        <v>105796.49636504133</v>
      </c>
      <c r="G12" s="41">
        <f>Overview!K103</f>
        <v>105796.49636504133</v>
      </c>
      <c r="H12" s="41">
        <f>Overview!L103</f>
        <v>105796.49636504133</v>
      </c>
      <c r="I12" s="41">
        <f>Overview!M103</f>
        <v>105796.49636504133</v>
      </c>
      <c r="J12" s="41">
        <f>Overview!N103</f>
        <v>105796.49636504133</v>
      </c>
      <c r="K12" s="41">
        <f>Overview!O103</f>
        <v>105796.49636504133</v>
      </c>
      <c r="L12" s="41">
        <f>Overview!P103</f>
        <v>105796.49636504133</v>
      </c>
      <c r="M12" s="41">
        <f>Overview!Q103</f>
        <v>105796.49636504133</v>
      </c>
      <c r="N12" s="41">
        <f>Overview!R103</f>
        <v>105796.49636504133</v>
      </c>
      <c r="O12" s="41">
        <f>Overview!S103</f>
        <v>105796.49636504133</v>
      </c>
      <c r="P12" s="41">
        <f>Overview!T103</f>
        <v>105796.49636504133</v>
      </c>
      <c r="Q12" s="41">
        <f>Overview!U103</f>
        <v>105796.49636504133</v>
      </c>
      <c r="R12" s="41">
        <f>Overview!V103</f>
        <v>105796.49636504133</v>
      </c>
      <c r="S12" s="1"/>
      <c r="T12" s="1"/>
      <c r="U12" s="1"/>
      <c r="V12" s="1"/>
      <c r="W12" s="1"/>
      <c r="X12" s="1"/>
      <c r="Y12" s="1"/>
      <c r="Z12" s="1"/>
      <c r="AA12" s="1"/>
    </row>
    <row r="13" spans="1:27" ht="15.75" customHeight="1" x14ac:dyDescent="0.15">
      <c r="A13" s="1"/>
      <c r="B13" s="1"/>
      <c r="C13" s="40"/>
      <c r="D13" s="40"/>
      <c r="E13" s="40"/>
      <c r="F13" s="40"/>
      <c r="G13" s="40"/>
      <c r="H13" s="40"/>
      <c r="I13" s="1"/>
      <c r="J13" s="1"/>
      <c r="K13" s="1"/>
      <c r="L13" s="1"/>
      <c r="M13" s="1"/>
      <c r="N13" s="1"/>
      <c r="O13" s="1"/>
      <c r="P13" s="1"/>
      <c r="Q13" s="1"/>
      <c r="R13" s="1"/>
      <c r="S13" s="1"/>
      <c r="T13" s="1"/>
      <c r="U13" s="1"/>
      <c r="V13" s="1"/>
      <c r="W13" s="1"/>
      <c r="X13" s="1"/>
      <c r="Y13" s="1"/>
      <c r="Z13" s="1"/>
      <c r="AA13" s="1"/>
    </row>
    <row r="14" spans="1:27" ht="15.75" customHeight="1" x14ac:dyDescent="0.15">
      <c r="A14" s="10"/>
      <c r="B14" s="12" t="s">
        <v>206</v>
      </c>
      <c r="C14" s="41">
        <f>Overview!F105</f>
        <v>-1670.5211402893019</v>
      </c>
      <c r="D14" s="41">
        <f>Overview!H105</f>
        <v>-20046.253683471616</v>
      </c>
      <c r="E14" s="41">
        <f>Overview!I105</f>
        <v>-8325.451551702412</v>
      </c>
      <c r="F14" s="41">
        <f>Overview!J105</f>
        <v>-2473.2332177415519</v>
      </c>
      <c r="G14" s="41">
        <f>Overview!K105</f>
        <v>2547.0385597928107</v>
      </c>
      <c r="H14" s="41">
        <f>Overview!L105</f>
        <v>7444.8167260418704</v>
      </c>
      <c r="I14" s="41">
        <f>Overview!M105</f>
        <v>12246.218420005636</v>
      </c>
      <c r="J14" s="41">
        <f>Overview!N105</f>
        <v>17018.444452908618</v>
      </c>
      <c r="K14" s="41">
        <f>Overview!O105</f>
        <v>21393.965226365966</v>
      </c>
      <c r="L14" s="41">
        <f>Overview!P105</f>
        <v>25866.64362827185</v>
      </c>
      <c r="M14" s="41">
        <f>Overview!Q105</f>
        <v>30496.825741411303</v>
      </c>
      <c r="N14" s="41">
        <f>Overview!R105</f>
        <v>35312.182647865324</v>
      </c>
      <c r="O14" s="41">
        <f>Overview!S105</f>
        <v>40384.772353468812</v>
      </c>
      <c r="P14" s="41">
        <f>Overview!T105</f>
        <v>45793.913813568972</v>
      </c>
      <c r="Q14" s="41">
        <f>Overview!U105</f>
        <v>51589.205941486318</v>
      </c>
      <c r="R14" s="41">
        <f>Overview!V105</f>
        <v>57848.97501079677</v>
      </c>
      <c r="S14" s="1"/>
      <c r="T14" s="1"/>
      <c r="U14" s="1"/>
      <c r="V14" s="1"/>
      <c r="W14" s="1"/>
      <c r="X14" s="1"/>
      <c r="Y14" s="1"/>
      <c r="Z14" s="1"/>
      <c r="AA14" s="1"/>
    </row>
    <row r="15" spans="1:27" s="26" customFormat="1" ht="15.75" customHeight="1" x14ac:dyDescent="0.15">
      <c r="A15" s="11"/>
      <c r="B15" s="66"/>
      <c r="C15" s="67"/>
      <c r="D15" s="67"/>
      <c r="E15" s="67"/>
      <c r="F15" s="67"/>
      <c r="G15" s="67"/>
      <c r="H15" s="67"/>
      <c r="I15" s="67"/>
      <c r="J15" s="67"/>
      <c r="K15" s="67"/>
      <c r="L15" s="67"/>
      <c r="M15" s="67"/>
      <c r="N15" s="67"/>
      <c r="O15" s="67"/>
      <c r="P15" s="67"/>
      <c r="Q15" s="67"/>
      <c r="R15" s="67"/>
      <c r="S15" s="1"/>
      <c r="T15" s="1"/>
      <c r="U15" s="1"/>
      <c r="V15" s="1"/>
      <c r="W15" s="1"/>
      <c r="X15" s="1"/>
      <c r="Y15" s="1"/>
      <c r="Z15" s="1"/>
      <c r="AA15" s="1"/>
    </row>
    <row r="16" spans="1:27" s="26" customFormat="1" ht="15.75" customHeight="1" x14ac:dyDescent="0.15">
      <c r="A16" s="11"/>
      <c r="B16" s="66" t="s">
        <v>212</v>
      </c>
      <c r="C16" s="67"/>
      <c r="D16" s="67">
        <f>Overview!H107</f>
        <v>18664.540392186434</v>
      </c>
      <c r="E16" s="67">
        <f>Overview!I107</f>
        <v>18664.540392186434</v>
      </c>
      <c r="F16" s="67">
        <f>Overview!J107</f>
        <v>18664.540392186434</v>
      </c>
      <c r="G16" s="67">
        <f>Overview!K107</f>
        <v>18664.540392186434</v>
      </c>
      <c r="H16" s="67">
        <f>Overview!L107</f>
        <v>18664.540392186434</v>
      </c>
      <c r="I16" s="67">
        <f>Overview!M107</f>
        <v>18664.540392186434</v>
      </c>
      <c r="J16" s="67">
        <f>Overview!N107</f>
        <v>18664.540392186434</v>
      </c>
      <c r="K16" s="67">
        <f>Overview!O107</f>
        <v>0</v>
      </c>
      <c r="L16" s="67">
        <f>Overview!P107</f>
        <v>0</v>
      </c>
      <c r="M16" s="67">
        <f>Overview!Q107</f>
        <v>0</v>
      </c>
      <c r="N16" s="67">
        <f>Overview!R107</f>
        <v>0</v>
      </c>
      <c r="O16" s="67">
        <f>Overview!S107</f>
        <v>0</v>
      </c>
      <c r="P16" s="67">
        <f>Overview!T107</f>
        <v>0</v>
      </c>
      <c r="Q16" s="67">
        <f>Overview!U107</f>
        <v>0</v>
      </c>
      <c r="R16" s="67">
        <f>Overview!V107</f>
        <v>0</v>
      </c>
      <c r="S16" s="73" t="s">
        <v>215</v>
      </c>
      <c r="T16" s="1"/>
      <c r="U16" s="1"/>
      <c r="V16" s="1"/>
      <c r="W16" s="1"/>
      <c r="X16" s="1"/>
      <c r="Y16" s="1"/>
      <c r="Z16" s="1"/>
      <c r="AA16" s="1"/>
    </row>
    <row r="17" spans="1:27" s="26" customFormat="1" ht="15.75" customHeight="1" x14ac:dyDescent="0.15">
      <c r="A17" s="11"/>
      <c r="B17" s="69" t="s">
        <v>213</v>
      </c>
      <c r="C17" s="70"/>
      <c r="D17" s="67">
        <f>Overview!H108</f>
        <v>-94735.459607813566</v>
      </c>
      <c r="E17" s="67">
        <f>Overview!I108</f>
        <v>-80807.692196017815</v>
      </c>
      <c r="F17" s="67">
        <f>Overview!J108</f>
        <v>-66183.536413632275</v>
      </c>
      <c r="G17" s="67">
        <f>Overview!K108</f>
        <v>-50828.172842127453</v>
      </c>
      <c r="H17" s="67">
        <f>Overview!L108</f>
        <v>-34705.041092047395</v>
      </c>
      <c r="I17" s="67">
        <f>Overview!M108</f>
        <v>-17775.75275446333</v>
      </c>
      <c r="J17" s="67">
        <f>Overview!N108</f>
        <v>-6.24140739091672E-11</v>
      </c>
      <c r="K17" s="67">
        <f>Overview!O108</f>
        <v>-6.5534777604625566E-11</v>
      </c>
      <c r="L17" s="67">
        <f>Overview!P108</f>
        <v>-6.8811516484856842E-11</v>
      </c>
      <c r="M17" s="67">
        <f>Overview!Q108</f>
        <v>-7.225209230909969E-11</v>
      </c>
      <c r="N17" s="67">
        <f>Overview!R108</f>
        <v>-7.5864696924554679E-11</v>
      </c>
      <c r="O17" s="67">
        <f>Overview!S108</f>
        <v>-7.9657931770782418E-11</v>
      </c>
      <c r="P17" s="67">
        <f>Overview!T108</f>
        <v>-8.364082835932154E-11</v>
      </c>
      <c r="Q17" s="67">
        <f>Overview!U108</f>
        <v>-8.782286977728762E-11</v>
      </c>
      <c r="R17" s="67">
        <f>Overview!V108</f>
        <v>-9.2214013266151999E-11</v>
      </c>
      <c r="S17" s="1"/>
      <c r="T17" s="1"/>
      <c r="U17" s="1"/>
      <c r="V17" s="1"/>
      <c r="W17" s="1"/>
      <c r="X17" s="1"/>
      <c r="Y17" s="1"/>
      <c r="Z17" s="1"/>
      <c r="AA17" s="1"/>
    </row>
    <row r="18" spans="1:27" s="26" customFormat="1" ht="15.75" customHeight="1" x14ac:dyDescent="0.15">
      <c r="A18" s="11"/>
      <c r="B18" s="38" t="s">
        <v>290</v>
      </c>
      <c r="C18" s="36">
        <f ca="1">Overview!F110</f>
        <v>799.99795833333326</v>
      </c>
      <c r="D18" s="93">
        <f ca="1">Overview!H110</f>
        <v>9599.9754999999986</v>
      </c>
      <c r="E18" s="93">
        <f ca="1">'CapEx Breakdown'!$I$38</f>
        <v>19199.950999999997</v>
      </c>
      <c r="F18" s="93">
        <f ca="1">'CapEx Breakdown'!$I$38</f>
        <v>19199.950999999997</v>
      </c>
      <c r="G18" s="93">
        <f ca="1">'CapEx Breakdown'!$I$38</f>
        <v>19199.950999999997</v>
      </c>
      <c r="H18" s="93">
        <f ca="1">'CapEx Breakdown'!$I$38</f>
        <v>19199.950999999997</v>
      </c>
      <c r="I18" s="93">
        <f ca="1">'CapEx Breakdown'!$I$38</f>
        <v>19199.950999999997</v>
      </c>
      <c r="J18" s="93">
        <f ca="1">'CapEx Breakdown'!$I$38</f>
        <v>19199.950999999997</v>
      </c>
      <c r="K18" s="93">
        <f ca="1">'CapEx Breakdown'!$I$38</f>
        <v>19199.950999999997</v>
      </c>
      <c r="L18" s="93">
        <f ca="1">'CapEx Breakdown'!$I$38</f>
        <v>19199.950999999997</v>
      </c>
      <c r="M18" s="93">
        <f ca="1">'CapEx Breakdown'!$I$38</f>
        <v>19199.950999999997</v>
      </c>
      <c r="N18" s="93">
        <f ca="1">'CapEx Breakdown'!$I$38</f>
        <v>19199.950999999997</v>
      </c>
      <c r="O18" s="93">
        <f ca="1">'CapEx Breakdown'!$I$38</f>
        <v>19199.950999999997</v>
      </c>
      <c r="P18" s="93">
        <f ca="1">'CapEx Breakdown'!$I$38</f>
        <v>19199.950999999997</v>
      </c>
      <c r="Q18" s="93">
        <f ca="1">'CapEx Breakdown'!$I$38</f>
        <v>19199.950999999997</v>
      </c>
      <c r="R18" s="93">
        <f ca="1">'CapEx Breakdown'!$I$38</f>
        <v>19199.950999999997</v>
      </c>
      <c r="X18" s="1"/>
      <c r="Y18" s="1"/>
      <c r="Z18" s="1"/>
      <c r="AA18" s="1"/>
    </row>
    <row r="19" spans="1:27" s="26" customFormat="1" ht="15.75" customHeight="1" x14ac:dyDescent="0.15">
      <c r="A19" s="11"/>
      <c r="B19" s="66"/>
      <c r="C19" s="67"/>
      <c r="D19" s="67"/>
      <c r="E19" s="67"/>
      <c r="F19" s="67"/>
      <c r="G19" s="67"/>
      <c r="H19" s="67"/>
      <c r="I19" s="67"/>
      <c r="J19" s="67"/>
      <c r="K19" s="67"/>
      <c r="L19" s="67"/>
      <c r="M19" s="67"/>
      <c r="N19" s="67"/>
      <c r="O19" s="67"/>
      <c r="P19" s="67"/>
      <c r="Q19" s="67"/>
      <c r="R19" s="67"/>
      <c r="S19" s="1"/>
      <c r="T19" s="1"/>
      <c r="U19" s="1"/>
      <c r="V19" s="1"/>
      <c r="W19" s="1"/>
      <c r="X19" s="1"/>
      <c r="Y19" s="1"/>
      <c r="Z19" s="1"/>
      <c r="AA19" s="1"/>
    </row>
    <row r="20" spans="1:27" ht="15.75" customHeight="1" x14ac:dyDescent="0.15">
      <c r="A20" s="13"/>
      <c r="B20" s="66" t="s">
        <v>207</v>
      </c>
      <c r="C20" s="67">
        <f ca="1">C14-C18</f>
        <v>-2470.5190986226353</v>
      </c>
      <c r="D20" s="67">
        <f ca="1">D14-(D14*Overview!$B$58)-D16-D18</f>
        <v>-48310.769575658051</v>
      </c>
      <c r="E20" s="67">
        <f ca="1">E14-(E14*Overview!$B$58)-E16-E18</f>
        <v>-46189.942943888847</v>
      </c>
      <c r="F20" s="67">
        <f ca="1">F14-(F14*Overview!$B$58)-F16-F18</f>
        <v>-40337.724609927987</v>
      </c>
      <c r="G20" s="67">
        <f ca="1">G14-(G14*Overview!$B$58)-G16-G18</f>
        <v>-35317.452832393625</v>
      </c>
      <c r="H20" s="67">
        <f ca="1">H14-(H14*Overview!$B$58)-H16-H18</f>
        <v>-30419.674666144561</v>
      </c>
      <c r="I20" s="67">
        <f ca="1">I14-(I14*Overview!$B$58)-I16-I18</f>
        <v>-25618.272972180795</v>
      </c>
      <c r="J20" s="67">
        <f ca="1">J14-(J14*Overview!$B$58)-J16-J18</f>
        <v>-20846.046939277814</v>
      </c>
      <c r="K20" s="67">
        <f ca="1">K14-(K14*Overview!$B$58)-K16-K18</f>
        <v>2194.0142263659691</v>
      </c>
      <c r="L20" s="67">
        <f ca="1">L14-(L14*Overview!$B$58)-L16-L18</f>
        <v>6666.6926282718523</v>
      </c>
      <c r="M20" s="67">
        <f ca="1">M14-(M14*Overview!$B$58)-M16-M18</f>
        <v>11296.874741411306</v>
      </c>
      <c r="N20" s="67">
        <f ca="1">N14-(N14*Overview!$B$58)-N16-N18</f>
        <v>16112.231647865327</v>
      </c>
      <c r="O20" s="67">
        <f ca="1">O14-(O14*Overview!$B$58)-O16-O18</f>
        <v>21184.821353468815</v>
      </c>
      <c r="P20" s="67">
        <f ca="1">P14-(P14*Overview!$B$58)-P16-P18</f>
        <v>26593.962813568975</v>
      </c>
      <c r="Q20" s="67">
        <f ca="1">Q14-(Q14*Overview!$B$58)-Q16-Q18</f>
        <v>32389.254941486321</v>
      </c>
      <c r="R20" s="67">
        <f ca="1">R14-(R14*Overview!$B$58)-R16-R18</f>
        <v>38649.024010796769</v>
      </c>
      <c r="S20" s="1"/>
      <c r="T20" s="1"/>
      <c r="U20" s="1"/>
      <c r="V20" s="1"/>
      <c r="W20" s="1"/>
      <c r="X20" s="13"/>
      <c r="Y20" s="13"/>
      <c r="Z20" s="13"/>
      <c r="AA20" s="13"/>
    </row>
    <row r="21" spans="1:27" ht="15.75" customHeight="1" x14ac:dyDescent="0.15">
      <c r="A21" s="13"/>
      <c r="B21" s="68" t="s">
        <v>201</v>
      </c>
      <c r="C21" s="42"/>
      <c r="D21" s="42">
        <f ca="1">-H3+D14</f>
        <v>-231391.06368347161</v>
      </c>
      <c r="E21" s="42">
        <f ca="1">D21+E14</f>
        <v>-239716.51523517404</v>
      </c>
      <c r="F21" s="42">
        <f ca="1">E21+F14</f>
        <v>-242189.74845291558</v>
      </c>
      <c r="G21" s="42">
        <f t="shared" ref="G21:J21" ca="1" si="0">F21+G14</f>
        <v>-239642.70989312278</v>
      </c>
      <c r="H21" s="42">
        <f ca="1">G21+H14</f>
        <v>-232197.89316708091</v>
      </c>
      <c r="I21" s="42">
        <f t="shared" ca="1" si="0"/>
        <v>-219951.67474707527</v>
      </c>
      <c r="J21" s="42">
        <f t="shared" ca="1" si="0"/>
        <v>-202933.23029416666</v>
      </c>
      <c r="K21" s="42">
        <f t="shared" ref="K21:R21" ca="1" si="1">J21+K14</f>
        <v>-181539.2650678007</v>
      </c>
      <c r="L21" s="42">
        <f t="shared" ca="1" si="1"/>
        <v>-155672.62143952886</v>
      </c>
      <c r="M21" s="42">
        <f t="shared" ca="1" si="1"/>
        <v>-125175.79569811755</v>
      </c>
      <c r="N21" s="42">
        <f t="shared" ca="1" si="1"/>
        <v>-89863.613050252228</v>
      </c>
      <c r="O21" s="42">
        <f t="shared" ca="1" si="1"/>
        <v>-49478.840696783416</v>
      </c>
      <c r="P21" s="42">
        <f t="shared" ca="1" si="1"/>
        <v>-3684.9268832144444</v>
      </c>
      <c r="Q21" s="42">
        <f t="shared" ca="1" si="1"/>
        <v>47904.279058271874</v>
      </c>
      <c r="R21" s="42">
        <f t="shared" ca="1" si="1"/>
        <v>105753.25406906864</v>
      </c>
      <c r="S21" s="13"/>
      <c r="T21" s="13"/>
      <c r="U21" s="13"/>
      <c r="V21" s="13"/>
      <c r="W21" s="13"/>
      <c r="X21" s="13"/>
      <c r="Y21" s="13"/>
      <c r="Z21" s="13"/>
      <c r="AA21" s="13"/>
    </row>
    <row r="22" spans="1:27" s="26" customFormat="1" ht="15.75" customHeight="1" x14ac:dyDescent="0.15">
      <c r="A22" s="13"/>
      <c r="B22" s="14" t="s">
        <v>203</v>
      </c>
      <c r="C22" s="15"/>
      <c r="D22" s="16">
        <v>1</v>
      </c>
      <c r="E22" s="16">
        <v>2</v>
      </c>
      <c r="F22" s="16">
        <v>3</v>
      </c>
      <c r="G22" s="16">
        <v>4</v>
      </c>
      <c r="H22" s="16">
        <v>5</v>
      </c>
      <c r="I22" s="16">
        <v>6</v>
      </c>
      <c r="J22" s="16">
        <v>7</v>
      </c>
      <c r="K22" s="16">
        <v>8</v>
      </c>
      <c r="L22" s="16">
        <v>9</v>
      </c>
      <c r="M22" s="16">
        <v>10</v>
      </c>
      <c r="N22" s="16">
        <v>11</v>
      </c>
      <c r="O22" s="16">
        <v>12</v>
      </c>
      <c r="P22" s="16">
        <v>13</v>
      </c>
      <c r="Q22" s="16">
        <v>14</v>
      </c>
      <c r="R22" s="16">
        <v>15</v>
      </c>
      <c r="S22" s="13"/>
      <c r="T22" s="13"/>
      <c r="U22" s="13"/>
      <c r="V22" s="13"/>
      <c r="W22" s="13"/>
      <c r="X22" s="13"/>
      <c r="Y22" s="13"/>
      <c r="Z22" s="13"/>
      <c r="AA22" s="13"/>
    </row>
    <row r="23" spans="1:27" s="26" customFormat="1" ht="15.75" customHeight="1" x14ac:dyDescent="0.15">
      <c r="A23" s="13"/>
      <c r="B23" s="64" t="s">
        <v>81</v>
      </c>
      <c r="C23" s="15"/>
      <c r="D23" s="65">
        <f ca="1">(D20/$H$3)</f>
        <v>-0.2285874423680338</v>
      </c>
      <c r="E23" s="65">
        <f t="shared" ref="E23:R23" ca="1" si="2">(E20/$H$3)</f>
        <v>-0.21855253007579817</v>
      </c>
      <c r="F23" s="65">
        <f t="shared" ca="1" si="2"/>
        <v>-0.19086214896844633</v>
      </c>
      <c r="G23" s="65">
        <f t="shared" ca="1" si="2"/>
        <v>-0.16710820971848622</v>
      </c>
      <c r="H23" s="65">
        <f t="shared" ca="1" si="2"/>
        <v>-0.14393386175957934</v>
      </c>
      <c r="I23" s="65">
        <f t="shared" ca="1" si="2"/>
        <v>-0.12121552912598514</v>
      </c>
      <c r="J23" s="65">
        <f ca="1">(J20/$H$3)</f>
        <v>-9.8635244174095471E-2</v>
      </c>
      <c r="K23" s="65">
        <f t="shared" ca="1" si="2"/>
        <v>1.0381207025457447E-2</v>
      </c>
      <c r="L23" s="65">
        <f t="shared" ca="1" si="2"/>
        <v>3.154415113516084E-2</v>
      </c>
      <c r="M23" s="65">
        <f t="shared" ca="1" si="2"/>
        <v>5.3452340473424946E-2</v>
      </c>
      <c r="N23" s="65">
        <f t="shared" ca="1" si="2"/>
        <v>7.6236703649667698E-2</v>
      </c>
      <c r="O23" s="65">
        <f t="shared" ca="1" si="2"/>
        <v>0.10023819063013099</v>
      </c>
      <c r="P23" s="65">
        <f t="shared" ca="1" si="2"/>
        <v>0.12583210732058656</v>
      </c>
      <c r="Q23" s="65">
        <f t="shared" ca="1" si="2"/>
        <v>0.15325313614981281</v>
      </c>
      <c r="R23" s="65">
        <f t="shared" ca="1" si="2"/>
        <v>0.18287188604629925</v>
      </c>
      <c r="S23" s="13"/>
      <c r="T23" s="13"/>
      <c r="U23" s="13"/>
      <c r="V23" s="13"/>
      <c r="W23" s="13"/>
      <c r="X23" s="13"/>
      <c r="Y23" s="13"/>
      <c r="Z23" s="13"/>
      <c r="AA23" s="13"/>
    </row>
    <row r="24" spans="1:27" ht="15.75" customHeight="1" x14ac:dyDescent="0.15">
      <c r="A24" s="1"/>
      <c r="B24" s="14"/>
      <c r="C24" s="15"/>
      <c r="D24" s="16"/>
      <c r="E24" s="16"/>
      <c r="F24" s="16"/>
      <c r="G24" s="16"/>
      <c r="H24" s="16"/>
      <c r="I24" s="16"/>
      <c r="J24" s="16"/>
      <c r="K24" s="16"/>
      <c r="L24" s="16"/>
      <c r="M24" s="16"/>
      <c r="N24" s="13"/>
      <c r="O24" s="13"/>
      <c r="P24" s="13"/>
      <c r="Q24" s="13"/>
      <c r="R24" s="13"/>
      <c r="S24" s="13"/>
      <c r="T24" s="13"/>
      <c r="U24" s="13"/>
      <c r="V24" s="13"/>
      <c r="W24" s="13"/>
      <c r="X24" s="1"/>
      <c r="Y24" s="1"/>
      <c r="Z24" s="1"/>
      <c r="AA24" s="1"/>
    </row>
    <row r="25" spans="1:27" ht="15.75" customHeight="1" x14ac:dyDescent="0.15">
      <c r="A25" s="1"/>
      <c r="B25" s="6" t="s">
        <v>41</v>
      </c>
      <c r="C25" s="17" t="str">
        <f ca="1">IF(D21&gt;0,D22,IF(E21&gt;0,E22,IF(F21&gt;0,F22,IF(G21&gt;0,G22,IF(H21&gt;0,H22,"&gt; 5 years")))))</f>
        <v>&gt; 5 years</v>
      </c>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
      <c r="B26" s="18" t="s">
        <v>42</v>
      </c>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
      <c r="B27" s="19"/>
      <c r="C27" s="19"/>
      <c r="D27" s="19"/>
      <c r="E27" s="19"/>
      <c r="F27" s="19"/>
      <c r="G27" s="19"/>
      <c r="H27" s="19"/>
      <c r="I27" s="1"/>
      <c r="J27" s="1"/>
      <c r="K27" s="1"/>
      <c r="L27" s="1"/>
      <c r="M27" s="1"/>
      <c r="N27" s="1"/>
      <c r="O27" s="1"/>
      <c r="P27" s="1"/>
      <c r="Q27" s="1"/>
      <c r="R27" s="1"/>
      <c r="S27" s="1"/>
      <c r="T27" s="1"/>
      <c r="U27" s="1"/>
      <c r="V27" s="1"/>
      <c r="W27" s="1"/>
      <c r="X27" s="1"/>
      <c r="Y27" s="1"/>
      <c r="Z27" s="1"/>
      <c r="AA27" s="1"/>
    </row>
    <row r="28" spans="1:27" ht="15.75" customHeight="1" x14ac:dyDescent="0.15">
      <c r="A28" s="1"/>
      <c r="B28" s="104" t="s">
        <v>917</v>
      </c>
      <c r="C28" s="104">
        <f>SUM(Overview!O71:O74)/(0.065*3*365)</f>
        <v>128.96846688212295</v>
      </c>
      <c r="D28" s="19"/>
      <c r="E28" s="19"/>
      <c r="F28" s="19"/>
      <c r="G28" s="19"/>
      <c r="H28" s="19"/>
      <c r="I28" s="1"/>
      <c r="J28" s="1"/>
      <c r="K28" s="1"/>
      <c r="L28" s="1"/>
      <c r="M28" s="1"/>
      <c r="N28" s="1"/>
      <c r="O28" s="1"/>
      <c r="P28" s="1"/>
      <c r="Q28" s="1"/>
      <c r="R28" s="1"/>
      <c r="S28" s="1"/>
      <c r="T28" s="1"/>
      <c r="U28" s="1"/>
      <c r="V28" s="1"/>
      <c r="W28" s="1"/>
      <c r="X28" s="1"/>
      <c r="Y28" s="1"/>
      <c r="Z28" s="1"/>
      <c r="AA28" s="1"/>
    </row>
    <row r="29" spans="1:27" ht="15.75" customHeight="1" x14ac:dyDescent="0.15">
      <c r="A29" s="1"/>
      <c r="B29" s="105" t="s">
        <v>449</v>
      </c>
      <c r="C29" s="1">
        <f>Overview!G143</f>
        <v>3</v>
      </c>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05" t="s">
        <v>450</v>
      </c>
      <c r="C30" s="105">
        <f>SUM(Overview!V71:V74)</f>
        <v>9525.9314214926981</v>
      </c>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05"/>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3" ht="15.75" customHeight="1" x14ac:dyDescent="0.15">
      <c r="B1009" s="1"/>
      <c r="C1009" s="1"/>
      <c r="D1009" s="1"/>
      <c r="E1009" s="1"/>
      <c r="F1009" s="1"/>
      <c r="G1009" s="1"/>
      <c r="H1009" s="1"/>
      <c r="I1009" s="1"/>
      <c r="J1009" s="1"/>
      <c r="K1009" s="1"/>
      <c r="L1009" s="1"/>
      <c r="M1009" s="1"/>
      <c r="N1009" s="1"/>
      <c r="O1009" s="1"/>
      <c r="P1009" s="1"/>
      <c r="Q1009" s="1"/>
      <c r="R1009" s="1"/>
      <c r="S1009" s="1"/>
      <c r="T1009" s="1"/>
      <c r="U1009" s="1"/>
      <c r="V1009" s="1"/>
      <c r="W1009" s="1"/>
    </row>
  </sheetData>
  <phoneticPr fontId="32" type="noConversion"/>
  <conditionalFormatting sqref="D3:D4 F3:F4 H3:H4 C8:R10 C12:R12 C14:R14 D16:R18 C18 C20:R20 D21:R21 D7">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8:F23 B9">
    <cfRule type="expression" dxfId="30" priority="6">
      <formula>currency="EUR"</formula>
    </cfRule>
  </conditionalFormatting>
  <conditionalFormatting sqref="D25">
    <cfRule type="expression" dxfId="2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opLeftCell="A47" zoomScaleNormal="100" workbookViewId="0">
      <selection activeCell="L41" sqref="L41"/>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63" t="s">
        <v>510</v>
      </c>
      <c r="B1" s="464"/>
      <c r="C1" s="464"/>
      <c r="D1" s="464"/>
      <c r="E1" s="464"/>
      <c r="F1" s="464"/>
      <c r="G1" s="464"/>
      <c r="H1" s="464"/>
    </row>
    <row r="2" spans="1:22" ht="15.75" customHeight="1" x14ac:dyDescent="0.15">
      <c r="A2" s="464"/>
      <c r="B2" s="464"/>
      <c r="C2" s="464"/>
      <c r="D2" s="464"/>
      <c r="E2" s="464"/>
      <c r="F2" s="464"/>
      <c r="G2" s="464"/>
      <c r="H2" s="464"/>
    </row>
    <row r="3" spans="1:22" s="26" customFormat="1" ht="15.75" customHeight="1" x14ac:dyDescent="0.15">
      <c r="A3" s="50" t="s">
        <v>167</v>
      </c>
    </row>
    <row r="4" spans="1:22" ht="13" x14ac:dyDescent="0.15">
      <c r="A4" s="465" t="s">
        <v>509</v>
      </c>
      <c r="B4" s="464"/>
      <c r="C4" s="464"/>
      <c r="D4" s="464"/>
      <c r="E4" s="464"/>
      <c r="F4" s="464"/>
      <c r="G4" s="464"/>
      <c r="H4" s="464"/>
    </row>
    <row r="5" spans="1:22" ht="13" x14ac:dyDescent="0.15">
      <c r="A5" s="466" t="s">
        <v>159</v>
      </c>
      <c r="B5" s="464"/>
      <c r="C5" s="464"/>
      <c r="D5" s="464"/>
      <c r="E5" s="464"/>
      <c r="F5" s="464"/>
      <c r="G5" s="464"/>
      <c r="H5" s="464"/>
    </row>
    <row r="6" spans="1:22" s="26" customFormat="1" ht="13" x14ac:dyDescent="0.15">
      <c r="A6" s="77" t="s">
        <v>531</v>
      </c>
      <c r="B6" s="78"/>
      <c r="C6" s="78"/>
      <c r="D6" s="78"/>
      <c r="E6" s="78"/>
      <c r="F6" s="78"/>
      <c r="G6" s="78"/>
      <c r="H6" s="78"/>
    </row>
    <row r="7" spans="1:22" ht="13" x14ac:dyDescent="0.15">
      <c r="A7" s="467" t="s">
        <v>916</v>
      </c>
      <c r="B7" s="464"/>
      <c r="C7" s="464"/>
      <c r="D7" s="464"/>
      <c r="E7" s="464"/>
      <c r="F7" s="464"/>
      <c r="G7" s="464"/>
      <c r="H7" s="464"/>
    </row>
    <row r="8" spans="1:22" s="26" customFormat="1" ht="13" x14ac:dyDescent="0.15">
      <c r="A8" s="385" t="s">
        <v>915</v>
      </c>
      <c r="B8" s="385"/>
      <c r="C8" s="385"/>
      <c r="D8" s="385"/>
      <c r="E8" s="385"/>
      <c r="F8" s="385"/>
      <c r="G8" s="385"/>
      <c r="H8" s="385"/>
    </row>
    <row r="9" spans="1:22" s="26" customFormat="1" ht="13" x14ac:dyDescent="0.15">
      <c r="A9" s="72" t="s">
        <v>214</v>
      </c>
    </row>
    <row r="10" spans="1:22" s="26" customFormat="1" ht="13" x14ac:dyDescent="0.15">
      <c r="A10" s="47" t="s">
        <v>166</v>
      </c>
      <c r="B10" s="47"/>
      <c r="C10" s="47"/>
      <c r="D10" s="47"/>
      <c r="E10" s="47"/>
      <c r="F10" s="47"/>
      <c r="G10" s="47"/>
      <c r="H10" s="47"/>
    </row>
    <row r="11" spans="1:22" s="244" customFormat="1" ht="14" thickBot="1" x14ac:dyDescent="0.2">
      <c r="A11" s="47"/>
      <c r="B11" s="47"/>
      <c r="C11" s="47"/>
      <c r="D11" s="47"/>
      <c r="E11" s="47"/>
      <c r="F11" s="47"/>
      <c r="G11" s="47"/>
      <c r="H11" s="47"/>
    </row>
    <row r="12" spans="1:22" s="235" customFormat="1" ht="14" thickBot="1" x14ac:dyDescent="0.2">
      <c r="A12" s="236" t="s">
        <v>839</v>
      </c>
      <c r="B12" s="237" t="s">
        <v>932</v>
      </c>
      <c r="C12" s="47"/>
      <c r="D12" s="47"/>
      <c r="E12" s="47"/>
      <c r="F12" s="47"/>
      <c r="G12" s="47"/>
      <c r="H12" s="47"/>
    </row>
    <row r="13" spans="1:22" s="235" customFormat="1" ht="14" thickBot="1" x14ac:dyDescent="0.2">
      <c r="A13" s="236" t="s">
        <v>808</v>
      </c>
      <c r="B13" s="237">
        <v>44228</v>
      </c>
      <c r="C13" s="47"/>
      <c r="D13" s="47"/>
      <c r="E13" s="47"/>
      <c r="F13" s="47"/>
      <c r="G13" s="47"/>
      <c r="H13" s="47"/>
    </row>
    <row r="14" spans="1:22" ht="15.75" customHeight="1" x14ac:dyDescent="0.15">
      <c r="L14" s="144"/>
      <c r="M14" s="144"/>
      <c r="N14" s="145"/>
      <c r="O14" s="145"/>
      <c r="P14" s="145"/>
      <c r="Q14" s="145"/>
      <c r="R14" s="146"/>
      <c r="S14" s="146"/>
      <c r="T14" s="462"/>
      <c r="U14" s="462"/>
    </row>
    <row r="15" spans="1:22" ht="16" x14ac:dyDescent="0.2">
      <c r="A15" s="2" t="s">
        <v>2</v>
      </c>
      <c r="B15" s="148" t="s">
        <v>168</v>
      </c>
      <c r="C15" s="148" t="s">
        <v>169</v>
      </c>
      <c r="D15" s="181"/>
      <c r="E15" s="181"/>
      <c r="F15" s="215" t="s">
        <v>541</v>
      </c>
      <c r="G15" s="146"/>
      <c r="H15" s="116" t="s">
        <v>301</v>
      </c>
      <c r="I15" s="116" t="s">
        <v>302</v>
      </c>
      <c r="J15" s="116" t="s">
        <v>303</v>
      </c>
      <c r="K15" s="116" t="s">
        <v>304</v>
      </c>
      <c r="L15" s="184" t="s">
        <v>64</v>
      </c>
      <c r="M15" s="140"/>
      <c r="N15" s="140"/>
      <c r="O15" s="140"/>
      <c r="P15" s="140"/>
      <c r="Q15" s="140"/>
      <c r="R15" s="140"/>
      <c r="S15" s="140"/>
      <c r="T15" s="140"/>
      <c r="U15" s="140"/>
      <c r="V15" s="137"/>
    </row>
    <row r="16" spans="1:22" s="26" customFormat="1" ht="13" x14ac:dyDescent="0.15">
      <c r="A16" s="116" t="s">
        <v>221</v>
      </c>
      <c r="B16" s="149">
        <v>220</v>
      </c>
      <c r="C16" s="150">
        <v>220</v>
      </c>
      <c r="D16" s="181"/>
      <c r="E16" s="181"/>
      <c r="F16" s="181"/>
      <c r="G16" s="211" t="s">
        <v>597</v>
      </c>
      <c r="H16" s="147" t="s">
        <v>572</v>
      </c>
      <c r="I16" s="118" t="s">
        <v>572</v>
      </c>
      <c r="J16" s="118" t="s">
        <v>464</v>
      </c>
      <c r="K16" s="118" t="s">
        <v>306</v>
      </c>
      <c r="L16" s="250"/>
      <c r="M16" s="142"/>
      <c r="N16" s="141"/>
      <c r="O16" s="141"/>
      <c r="P16" s="142"/>
      <c r="Q16" s="142"/>
      <c r="R16" s="143"/>
      <c r="S16" s="143"/>
      <c r="T16" s="137"/>
      <c r="U16" s="137"/>
      <c r="V16" s="137"/>
    </row>
    <row r="17" spans="1:22" s="95" customFormat="1" ht="13" x14ac:dyDescent="0.15">
      <c r="A17" s="116" t="s">
        <v>447</v>
      </c>
      <c r="B17" s="151">
        <v>0.27</v>
      </c>
      <c r="C17" s="380">
        <f>percent_production_area_pilot</f>
        <v>0.27</v>
      </c>
      <c r="D17" s="181"/>
      <c r="E17" s="181"/>
      <c r="F17" s="181"/>
      <c r="G17" s="212" t="s">
        <v>311</v>
      </c>
      <c r="H17" s="117">
        <v>0.5</v>
      </c>
      <c r="I17" s="189">
        <v>0.5</v>
      </c>
      <c r="J17" s="189">
        <v>0</v>
      </c>
      <c r="K17" s="117">
        <v>0</v>
      </c>
      <c r="L17" s="252">
        <f>SUM(H17:K17)</f>
        <v>1</v>
      </c>
      <c r="M17" s="142"/>
      <c r="N17" s="141"/>
      <c r="O17" s="141"/>
      <c r="P17" s="142"/>
      <c r="Q17" s="142"/>
      <c r="R17" s="143"/>
      <c r="S17" s="143"/>
      <c r="T17" s="137"/>
      <c r="U17" s="137"/>
      <c r="V17" s="137"/>
    </row>
    <row r="18" spans="1:22" ht="13" x14ac:dyDescent="0.15">
      <c r="A18" s="116" t="s">
        <v>299</v>
      </c>
      <c r="B18" s="152">
        <f>B16*B17</f>
        <v>59.400000000000006</v>
      </c>
      <c r="C18" s="153">
        <f>B18*B22</f>
        <v>118.80000000000001</v>
      </c>
      <c r="D18" s="181"/>
      <c r="E18" s="181"/>
      <c r="F18" s="124" t="s">
        <v>598</v>
      </c>
      <c r="G18" s="211" t="s">
        <v>305</v>
      </c>
      <c r="H18" s="118" t="s">
        <v>486</v>
      </c>
      <c r="I18" s="118" t="s">
        <v>486</v>
      </c>
      <c r="J18" s="118" t="s">
        <v>486</v>
      </c>
      <c r="K18" s="118" t="s">
        <v>486</v>
      </c>
      <c r="L18" s="251" t="s">
        <v>298</v>
      </c>
      <c r="M18" s="142"/>
      <c r="N18" s="141"/>
      <c r="O18" s="141"/>
      <c r="P18" s="142"/>
      <c r="Q18" s="142"/>
      <c r="R18" s="143"/>
      <c r="S18" s="143"/>
      <c r="T18" s="137"/>
      <c r="U18" s="137"/>
      <c r="V18" s="137"/>
    </row>
    <row r="19" spans="1:22" s="91" customFormat="1" ht="16" x14ac:dyDescent="0.2">
      <c r="A19" s="170" t="s">
        <v>78</v>
      </c>
      <c r="B19" s="154">
        <v>1</v>
      </c>
      <c r="C19" s="153">
        <v>1</v>
      </c>
      <c r="D19" s="181"/>
      <c r="E19" s="181"/>
      <c r="F19" s="469" t="s">
        <v>599</v>
      </c>
      <c r="G19" s="211" t="s">
        <v>307</v>
      </c>
      <c r="H19" s="119">
        <f>VLOOKUP(H16, Database!$A$8:$Y$93, 4, FALSE)</f>
        <v>16</v>
      </c>
      <c r="I19" s="119">
        <f>VLOOKUP(I16, Database!$A$8:$Y$93, 4, FALSE)</f>
        <v>16</v>
      </c>
      <c r="J19" s="119">
        <f>VLOOKUP(J16, Database!$A$8:$Y$93, 4, FALSE)</f>
        <v>14</v>
      </c>
      <c r="K19" s="119">
        <f>VLOOKUP(K16, Database!$A$8:$Y$93, 4, FALSE)</f>
        <v>0</v>
      </c>
      <c r="L19" s="123">
        <f>((H19*H17)+(I19*I17)+(J19*J17)+(K19*K17))</f>
        <v>16</v>
      </c>
      <c r="M19" s="142"/>
      <c r="N19" s="141"/>
      <c r="O19" s="141"/>
      <c r="P19" s="142"/>
      <c r="Q19" s="142"/>
      <c r="R19" s="143"/>
      <c r="S19" s="143"/>
      <c r="T19" s="137"/>
      <c r="U19" s="137"/>
      <c r="V19" s="137"/>
    </row>
    <row r="20" spans="1:22" s="91" customFormat="1" ht="16" x14ac:dyDescent="0.2">
      <c r="A20" s="172" t="s">
        <v>300</v>
      </c>
      <c r="B20" s="154">
        <f>IF(system_type="ZipRack", system_quantity*Database!F97, growing_levels_pilot*growing_area_pilot)</f>
        <v>195.85228799999999</v>
      </c>
      <c r="C20" s="155">
        <f>stacked_growing_area_pilot*growing_area_mulitplier</f>
        <v>391.70457599999997</v>
      </c>
      <c r="D20" s="181"/>
      <c r="E20" s="181"/>
      <c r="F20" s="469"/>
      <c r="G20" s="196" t="s">
        <v>911</v>
      </c>
      <c r="H20" s="418">
        <f>(VLOOKUP(H16, Database!$A$8:$Y$93, 5, FALSE))-VLOOKUP(crop_typ1, Database!A8:AB94, 28, FALSE)</f>
        <v>21</v>
      </c>
      <c r="I20" s="186">
        <f>(VLOOKUP(H16, Database!$A$8:$Y$93, 5, FALSE))-VLOOKUP(crop_typ2, Database!A8:AB94, 28, FALSE)</f>
        <v>21</v>
      </c>
      <c r="J20" s="186">
        <f>(VLOOKUP(H16, Database!$A$8:$Y$93, 5, FALSE))-VLOOKUP(crop_typ3, Database!A8:AB94, 28, FALSE)</f>
        <v>32</v>
      </c>
      <c r="K20" s="186">
        <f>(VLOOKUP(H16, Database!$A$8:$Y$93, 5, FALSE))-VLOOKUP(crop_typ4, Database!A8:AB94, 28, FALSE)</f>
        <v>32</v>
      </c>
      <c r="M20" s="137"/>
      <c r="N20" s="137"/>
      <c r="O20" s="137"/>
      <c r="P20" s="137"/>
      <c r="Q20" s="137"/>
      <c r="R20" s="137"/>
      <c r="S20" s="137"/>
      <c r="T20" s="137"/>
      <c r="U20" s="137"/>
      <c r="V20" s="137"/>
    </row>
    <row r="21" spans="1:22" ht="13" customHeight="1" x14ac:dyDescent="0.15">
      <c r="A21" s="116" t="s">
        <v>573</v>
      </c>
      <c r="B21" s="156" t="s">
        <v>574</v>
      </c>
      <c r="C21" s="157" t="s">
        <v>574</v>
      </c>
      <c r="D21" s="181"/>
      <c r="E21" s="181"/>
      <c r="F21" s="124" t="s">
        <v>113</v>
      </c>
      <c r="G21" s="211" t="s">
        <v>568</v>
      </c>
      <c r="H21" s="120">
        <v>0.1</v>
      </c>
      <c r="I21" s="120">
        <v>0.1</v>
      </c>
      <c r="J21" s="120">
        <v>7.4999999999999997E-2</v>
      </c>
      <c r="K21" s="120">
        <v>0.5</v>
      </c>
      <c r="L21" s="133"/>
      <c r="M21" s="137"/>
      <c r="N21" s="137"/>
      <c r="O21" s="137"/>
      <c r="P21" s="137"/>
      <c r="Q21" s="137"/>
      <c r="R21" s="137"/>
      <c r="S21" s="137"/>
      <c r="T21" s="137"/>
      <c r="U21" s="137"/>
      <c r="V21" s="137"/>
    </row>
    <row r="22" spans="1:22" s="91" customFormat="1" ht="14" customHeight="1" x14ac:dyDescent="0.15">
      <c r="A22" s="116" t="s">
        <v>314</v>
      </c>
      <c r="B22" s="158">
        <v>2</v>
      </c>
      <c r="C22" s="159"/>
      <c r="D22" s="181"/>
      <c r="E22" s="181"/>
      <c r="F22" s="124" t="s">
        <v>600</v>
      </c>
      <c r="G22" s="213" t="s">
        <v>593</v>
      </c>
      <c r="H22" s="120">
        <v>0.3</v>
      </c>
      <c r="I22" s="120">
        <v>0.45</v>
      </c>
      <c r="J22" s="120">
        <v>7.4999999999999997E-2</v>
      </c>
      <c r="K22" s="120">
        <v>0.5</v>
      </c>
      <c r="L22" s="188"/>
    </row>
    <row r="23" spans="1:22" s="109" customFormat="1" ht="13" customHeight="1" x14ac:dyDescent="0.15">
      <c r="A23" s="116" t="s">
        <v>485</v>
      </c>
      <c r="B23" s="158">
        <v>128</v>
      </c>
      <c r="C23" s="160">
        <f>B23*B22</f>
        <v>256</v>
      </c>
      <c r="D23" s="181"/>
      <c r="E23" s="181"/>
      <c r="F23" s="124" t="s">
        <v>579</v>
      </c>
      <c r="G23" s="213" t="s">
        <v>580</v>
      </c>
      <c r="H23" s="193">
        <v>0.94</v>
      </c>
      <c r="I23" s="193">
        <v>1</v>
      </c>
      <c r="J23" s="193">
        <v>1</v>
      </c>
      <c r="K23" s="120">
        <v>0</v>
      </c>
    </row>
    <row r="24" spans="1:22" s="91" customFormat="1" ht="28" customHeight="1" x14ac:dyDescent="0.15">
      <c r="A24" s="173" t="s">
        <v>18</v>
      </c>
      <c r="B24" s="297">
        <v>1.5</v>
      </c>
      <c r="C24" s="298">
        <v>1</v>
      </c>
      <c r="D24" s="181"/>
      <c r="E24" s="181"/>
      <c r="F24" s="478" t="s">
        <v>310</v>
      </c>
      <c r="G24" s="214" t="s">
        <v>577</v>
      </c>
      <c r="H24" s="339">
        <v>7</v>
      </c>
      <c r="I24" s="339">
        <v>9.5</v>
      </c>
      <c r="J24" s="339">
        <v>1.5</v>
      </c>
      <c r="K24" s="339">
        <v>7.5</v>
      </c>
      <c r="L24" s="188"/>
    </row>
    <row r="25" spans="1:22" ht="23" customHeight="1" x14ac:dyDescent="0.15">
      <c r="A25" s="421" t="s">
        <v>989</v>
      </c>
      <c r="B25" s="422">
        <v>2</v>
      </c>
      <c r="C25" s="423">
        <v>1.5</v>
      </c>
      <c r="D25" s="181"/>
      <c r="E25" s="181"/>
      <c r="F25" s="478"/>
      <c r="G25" s="214" t="s">
        <v>578</v>
      </c>
      <c r="H25" s="339">
        <v>0</v>
      </c>
      <c r="I25" s="339">
        <v>0</v>
      </c>
      <c r="J25" s="339">
        <v>0</v>
      </c>
      <c r="K25" s="339">
        <v>7.5</v>
      </c>
      <c r="L25" s="44" t="s">
        <v>64</v>
      </c>
    </row>
    <row r="26" spans="1:22" ht="28" customHeight="1" x14ac:dyDescent="0.15">
      <c r="A26" s="148" t="s">
        <v>19</v>
      </c>
      <c r="B26" s="162">
        <v>0.02</v>
      </c>
      <c r="C26" s="163">
        <v>0.02</v>
      </c>
      <c r="D26" s="181"/>
      <c r="E26" s="181"/>
      <c r="F26" s="477" t="s">
        <v>530</v>
      </c>
      <c r="G26" s="211" t="s">
        <v>308</v>
      </c>
      <c r="H26" s="432">
        <f>VLOOKUP(H16, Database!$A$8:$Y$93, MATCH(H18,Database!$A$7:$AA$7, 0),0)*stacked_growing_area_pilot*H17/12</f>
        <v>322.74824959999995</v>
      </c>
      <c r="I26" s="432">
        <f>VLOOKUP(I16, Database!$A$8:$Y$93, MATCH(I18,Database!$A$7:$AA$7, 0),0)*stacked_growing_area_pilot*I17/12</f>
        <v>322.74824959999995</v>
      </c>
      <c r="J26" s="432">
        <f>VLOOKUP(J16, Database!$A$8:$Y$93, MATCH(J18,Database!$A$7:$AA$7, 0),0)*stacked_growing_area_pilot*J17/12</f>
        <v>0</v>
      </c>
      <c r="K26" s="432">
        <f>VLOOKUP(K16, Database!$A$8:$Y$93, MATCH(K18,Database!$A$7:$AA$7, 0),0)*stacked_growing_area_pilot*K17/12</f>
        <v>0</v>
      </c>
      <c r="L26" s="123">
        <f t="shared" ref="L26:L33" si="0">SUM(H26:K26)</f>
        <v>645.4964991999999</v>
      </c>
    </row>
    <row r="27" spans="1:22" ht="13" customHeight="1" x14ac:dyDescent="0.15">
      <c r="A27" s="116" t="s">
        <v>508</v>
      </c>
      <c r="B27" s="161">
        <f>SUM(F71:F74)</f>
        <v>348.25248114478615</v>
      </c>
      <c r="C27" s="160">
        <f>SUM(G71:G74)</f>
        <v>711.58192730082658</v>
      </c>
      <c r="D27" s="181"/>
      <c r="E27" s="181"/>
      <c r="F27" s="477"/>
      <c r="G27" s="211" t="s">
        <v>309</v>
      </c>
      <c r="H27" s="433">
        <f>VLOOKUP(H16, Database!$A$8:$Y$93, MATCH(H18,Database!$A$7:$AA$7, 0),0)*stacked_growing_area_full*H17/12</f>
        <v>645.4964991999999</v>
      </c>
      <c r="I27" s="433">
        <f>VLOOKUP(I16, Database!$A$8:$Y$93, MATCH(I18,Database!$A$7:$AA$7, 0),0)*stacked_growing_area_full*I17/12</f>
        <v>645.4964991999999</v>
      </c>
      <c r="J27" s="433">
        <f>VLOOKUP(J16, Database!$A$8:$Y$93, MATCH(J18,Database!$A$7:$AA$7, 0),0)*stacked_growing_area_full*J17/12</f>
        <v>0</v>
      </c>
      <c r="K27" s="433">
        <f>VLOOKUP(K16, Database!$A$8:$Y$93, MATCH(K18,Database!$A$7:$AA$7, 0),0)*stacked_growing_area_full*K17/12</f>
        <v>0</v>
      </c>
      <c r="L27" s="123">
        <f t="shared" si="0"/>
        <v>1290.9929983999998</v>
      </c>
    </row>
    <row r="28" spans="1:22" ht="14" customHeight="1" x14ac:dyDescent="0.15">
      <c r="A28" s="116" t="s">
        <v>507</v>
      </c>
      <c r="B28" s="299">
        <f>F75</f>
        <v>7495.1672886383421</v>
      </c>
      <c r="C28" s="300">
        <f>G75</f>
        <v>15314.824368685568</v>
      </c>
      <c r="F28" s="475" t="s">
        <v>570</v>
      </c>
      <c r="G28" s="124" t="s">
        <v>308</v>
      </c>
      <c r="H28" s="296">
        <f>(H26/H22)*H24</f>
        <v>7530.7924906666658</v>
      </c>
      <c r="I28" s="296">
        <f>(I26/I22)*I24</f>
        <v>6813.5741582222208</v>
      </c>
      <c r="J28" s="296">
        <f>(J26/J22)*J24</f>
        <v>0</v>
      </c>
      <c r="K28" s="296">
        <f>(K26/K22)*K24</f>
        <v>0</v>
      </c>
      <c r="L28" s="123">
        <f t="shared" si="0"/>
        <v>14344.366648888887</v>
      </c>
    </row>
    <row r="29" spans="1:22" ht="29" customHeight="1" x14ac:dyDescent="0.2">
      <c r="A29" s="2" t="s">
        <v>80</v>
      </c>
      <c r="B29" s="45"/>
      <c r="C29" s="38"/>
      <c r="F29" s="476"/>
      <c r="G29" s="124" t="s">
        <v>309</v>
      </c>
      <c r="H29" s="338">
        <f>(H27/H22)*H24</f>
        <v>15061.584981333332</v>
      </c>
      <c r="I29" s="338">
        <f>(I27/I22)*I24</f>
        <v>13627.148316444442</v>
      </c>
      <c r="J29" s="338">
        <f>(J27/J22)*J24</f>
        <v>0</v>
      </c>
      <c r="K29" s="338">
        <f>(K27/K22)*K24</f>
        <v>0</v>
      </c>
      <c r="L29" s="123">
        <f t="shared" si="0"/>
        <v>28688.733297777773</v>
      </c>
    </row>
    <row r="30" spans="1:22" ht="29" customHeight="1" x14ac:dyDescent="0.2">
      <c r="A30" s="170" t="s">
        <v>79</v>
      </c>
      <c r="B30" s="200" t="s">
        <v>985</v>
      </c>
      <c r="C30" s="38"/>
      <c r="F30" s="479" t="s">
        <v>569</v>
      </c>
      <c r="G30" s="124" t="s">
        <v>474</v>
      </c>
      <c r="H30" s="121">
        <f>H40/H21</f>
        <v>2117.5512656255996</v>
      </c>
      <c r="I30" s="121">
        <f>I40/I21</f>
        <v>2117.5512656255996</v>
      </c>
      <c r="J30" s="121">
        <f>J40/J21</f>
        <v>0</v>
      </c>
      <c r="K30" s="121">
        <f>K40/K21</f>
        <v>0</v>
      </c>
      <c r="L30" s="123">
        <f t="shared" si="0"/>
        <v>4235.1025312511993</v>
      </c>
    </row>
    <row r="31" spans="1:22" s="26" customFormat="1" ht="16" x14ac:dyDescent="0.2">
      <c r="A31" s="170" t="s">
        <v>220</v>
      </c>
      <c r="B31" s="242" t="s">
        <v>812</v>
      </c>
      <c r="C31" s="115"/>
      <c r="F31" s="476"/>
      <c r="G31" s="124" t="s">
        <v>475</v>
      </c>
      <c r="H31" s="122">
        <f>H41/H21</f>
        <v>4235.1025312511993</v>
      </c>
      <c r="I31" s="122">
        <f>I41/I21</f>
        <v>4235.1025312511993</v>
      </c>
      <c r="J31" s="122">
        <f>J41/J21</f>
        <v>0</v>
      </c>
      <c r="K31" s="122">
        <f>K41/K21</f>
        <v>0</v>
      </c>
      <c r="L31" s="123">
        <f t="shared" si="0"/>
        <v>8470.2050625023985</v>
      </c>
    </row>
    <row r="32" spans="1:22" s="26" customFormat="1" ht="16" x14ac:dyDescent="0.2">
      <c r="A32" s="170" t="s">
        <v>77</v>
      </c>
      <c r="B32" s="201" t="s">
        <v>164</v>
      </c>
      <c r="C32" s="115"/>
      <c r="F32" s="471" t="s">
        <v>520</v>
      </c>
      <c r="G32" s="139" t="s">
        <v>308</v>
      </c>
      <c r="H32" s="135">
        <f>H30*LOOKUP(H16, Consumables!$A$36:$A$117, Consumables!$D$36:$D$117)*(1/LOOKUP(H16, Consumables!$A$36:$A$117, Consumables!$G$36:$G$117))</f>
        <v>65.491276256461859</v>
      </c>
      <c r="I32" s="135">
        <f>I30*LOOKUP(I16, Consumables!$A$36:$A$117, Consumables!$D$36:$D$117)*(1/LOOKUP(I16, Consumables!$A$36:$A$117, Consumables!$G$36:$G$117))</f>
        <v>65.491276256461859</v>
      </c>
      <c r="J32" s="135">
        <f>J30*LOOKUP(J16, Consumables!$A$36:$A$117, Consumables!$D$36:$D$117)*(1/LOOKUP(J16, Consumables!$A$36:$A$117, Consumables!$G$36:$G$117))</f>
        <v>0</v>
      </c>
      <c r="K32" s="135">
        <f>K30*LOOKUP(K16, Consumables!$A$36:$A$117, Consumables!$D$36:$D$117)*(1/LOOKUP(K16, Consumables!$A$36:$A$117, Consumables!$G$36:$G$117))</f>
        <v>0</v>
      </c>
      <c r="L32" s="123">
        <f t="shared" si="0"/>
        <v>130.98255251292372</v>
      </c>
    </row>
    <row r="33" spans="1:12" s="26" customFormat="1" ht="16" x14ac:dyDescent="0.2">
      <c r="A33" s="170" t="s">
        <v>76</v>
      </c>
      <c r="B33" s="200" t="s">
        <v>163</v>
      </c>
      <c r="C33" s="115"/>
      <c r="F33" s="472"/>
      <c r="G33" s="139" t="s">
        <v>309</v>
      </c>
      <c r="H33" s="135">
        <f>H31*LOOKUP(H16, Consumables!$A$36:$A$117, Consumables!$D$36:$D$117)*(1/LOOKUP(H16, Consumables!$A$36:$A$117, Consumables!$G$36:$G$117))</f>
        <v>130.98255251292372</v>
      </c>
      <c r="I33" s="135">
        <f>I31*LOOKUP(I16, Consumables!$A$36:$A$117, Consumables!$D$36:$D$117)*(1/LOOKUP(I16, Consumables!$A$36:$A$117, Consumables!$G$36:$G$117))</f>
        <v>130.98255251292372</v>
      </c>
      <c r="J33" s="135">
        <f>J31*LOOKUP(J16, Consumables!$A$36:$A$117, Consumables!$D$36:$D$117)*(1/LOOKUP(J16, Consumables!$A$36:$A$117, Consumables!$G$36:$G$117))</f>
        <v>0</v>
      </c>
      <c r="K33" s="135">
        <f>K31*LOOKUP(K16, Consumables!$A$36:$A$117, Consumables!$D$36:$D$117)*(1/LOOKUP(K16, Consumables!$A$36:$A$117, Consumables!$G$36:$G$117))</f>
        <v>0</v>
      </c>
      <c r="L33" s="123">
        <f t="shared" si="0"/>
        <v>261.96510502584744</v>
      </c>
    </row>
    <row r="34" spans="1:12" s="26" customFormat="1" ht="16" x14ac:dyDescent="0.2">
      <c r="A34" s="170" t="s">
        <v>75</v>
      </c>
      <c r="B34" s="239" t="s">
        <v>164</v>
      </c>
      <c r="C34" s="115"/>
      <c r="F34" s="185" t="s">
        <v>540</v>
      </c>
      <c r="G34" s="181"/>
      <c r="H34" s="296">
        <f>(H33/H31)+(H17*$G$87/H31)+(H17*$C$38*(VLOOKUP(Overview!$B$38,Database!$A$109:$X$130,6,FALSE)*H19*$B$48*H20)/(H31*1000))+VLOOKUP($B$40, Consumables!$A$23:$F$26, 2, FALSE)</f>
        <v>0.484434985929803</v>
      </c>
      <c r="I34" s="296" t="e">
        <f>(I33/I31)+(I17*$G$87/I31)+(I17*$C$38*(VLOOKUP(Overview!$B$38,Database!$A$109:$X$130,6,FALSE)*I19*$B$48*I20)/(I31*1000))+VLOOKUP($B$40, Consumables!$A$24:$F$26, 2, FALSE)</f>
        <v>#N/A</v>
      </c>
      <c r="J34" s="296" t="e">
        <f>(J33/J31)+(J17*$G$87/J31)+(J17*$C$38*(VLOOKUP(Overview!$B$38,Database!$A$109:$X$130,6,FALSE)*J19*$B$48*J20)/(J31*1000))+VLOOKUP($B$40, Consumables!$A$24:$F$26, 2, FALSE)</f>
        <v>#DIV/0!</v>
      </c>
      <c r="K34" s="296" t="e">
        <f>(K33/K31)+(K17*$G$87/K31)+(K17*$C$38*(VLOOKUP(Overview!$B$38,Database!$A$109:$X$130,6,FALSE)*K19*$B$48*K20)/(K31*1000))+VLOOKUP($B$40, Consumables!$A$24:$F$26, 2, FALSE)</f>
        <v>#DIV/0!</v>
      </c>
      <c r="L34" s="188"/>
    </row>
    <row r="35" spans="1:12" s="26" customFormat="1" ht="16" x14ac:dyDescent="0.2">
      <c r="A35" s="170" t="s">
        <v>158</v>
      </c>
      <c r="B35" s="239" t="s">
        <v>164</v>
      </c>
      <c r="F35" s="470" t="s">
        <v>596</v>
      </c>
      <c r="G35" s="124" t="s">
        <v>521</v>
      </c>
      <c r="H35" s="183">
        <f>VLOOKUP($B34,Database!$A$149:$F$151,3,FALSE)</f>
        <v>0.9</v>
      </c>
      <c r="I35" s="183">
        <f>VLOOKUP($B34,Database!$A$149:$F$151,3,FALSE)</f>
        <v>0.9</v>
      </c>
      <c r="J35" s="183">
        <f>VLOOKUP($B34,Database!$A$149:$F$151,3,FALSE)</f>
        <v>0.9</v>
      </c>
      <c r="K35" s="183">
        <f>VLOOKUP($B34,Database!$A$149:$F$151,3,FALSE)</f>
        <v>0.9</v>
      </c>
      <c r="L35" s="188"/>
    </row>
    <row r="36" spans="1:12" s="26" customFormat="1" ht="16" x14ac:dyDescent="0.2">
      <c r="A36" s="178" t="s">
        <v>526</v>
      </c>
      <c r="B36" s="239" t="s">
        <v>164</v>
      </c>
      <c r="C36" s="174" t="s">
        <v>481</v>
      </c>
      <c r="F36" s="470"/>
      <c r="G36" s="124" t="s">
        <v>522</v>
      </c>
      <c r="H36" s="183">
        <f>VLOOKUP($B36,Database!$A$149:$F$151,4,FALSE)</f>
        <v>0.9</v>
      </c>
      <c r="I36" s="183">
        <f>VLOOKUP($B36,Database!$A$149:$F$151,4,FALSE)</f>
        <v>0.9</v>
      </c>
      <c r="J36" s="183">
        <f>VLOOKUP($B36,Database!$A$149:$F$151,4,FALSE)</f>
        <v>0.9</v>
      </c>
      <c r="K36" s="183">
        <f>VLOOKUP($B36,Database!$A$149:$F$151,4,FALSE)</f>
        <v>0.9</v>
      </c>
      <c r="L36" s="188"/>
    </row>
    <row r="37" spans="1:12" s="95" customFormat="1" ht="16" x14ac:dyDescent="0.2">
      <c r="A37" s="170" t="s">
        <v>74</v>
      </c>
      <c r="B37" s="202" t="s">
        <v>226</v>
      </c>
      <c r="C37" s="179">
        <v>8</v>
      </c>
      <c r="F37" s="470"/>
      <c r="G37" s="124" t="s">
        <v>523</v>
      </c>
      <c r="H37" s="183">
        <f>VLOOKUP($B35,Database!$A$149:$F$151,2,FALSE)</f>
        <v>0.9</v>
      </c>
      <c r="I37" s="183">
        <f>VLOOKUP($B35,Database!$A$149:$F$151,2,FALSE)</f>
        <v>0.9</v>
      </c>
      <c r="J37" s="183">
        <f>VLOOKUP($B35,Database!$A$149:$F$151,2,FALSE)</f>
        <v>0.9</v>
      </c>
      <c r="K37" s="183">
        <f>VLOOKUP($B35,Database!$A$149:$F$151,2,FALSE)</f>
        <v>0.9</v>
      </c>
      <c r="L37" s="188"/>
    </row>
    <row r="38" spans="1:12" s="26" customFormat="1" ht="16" x14ac:dyDescent="0.2">
      <c r="A38" s="171" t="s">
        <v>315</v>
      </c>
      <c r="B38" s="203" t="s">
        <v>375</v>
      </c>
      <c r="C38" s="164">
        <f>C37*16</f>
        <v>128</v>
      </c>
      <c r="F38" s="470"/>
      <c r="G38" s="124" t="s">
        <v>524</v>
      </c>
      <c r="H38" s="123">
        <f>VLOOKUP($B$44,Database!$A152:$F153, 6, FALSE)</f>
        <v>0.9</v>
      </c>
      <c r="I38" s="123">
        <f>VLOOKUP($B$44,Database!$A152:$F153, 6, FALSE)</f>
        <v>0.9</v>
      </c>
      <c r="J38" s="123">
        <f>VLOOKUP($B$44,Database!$A152:$F153, 6, FALSE)</f>
        <v>0.9</v>
      </c>
      <c r="K38" s="123">
        <f>VLOOKUP($B$44,Database!$A152:$F153, 6, FALSE)</f>
        <v>0.9</v>
      </c>
      <c r="L38" s="188"/>
    </row>
    <row r="39" spans="1:12" s="26" customFormat="1" ht="16" x14ac:dyDescent="0.2">
      <c r="A39" s="198" t="str">
        <f>Database!E96</f>
        <v>Plant sites</v>
      </c>
      <c r="B39" s="123">
        <f>C37*VLOOKUP(B37, Database!A97:J107, 5, FALSE)</f>
        <v>2880</v>
      </c>
      <c r="F39" s="470"/>
      <c r="G39" s="124" t="s">
        <v>525</v>
      </c>
      <c r="H39" s="123">
        <f>SUM(H35:H38)</f>
        <v>3.6</v>
      </c>
      <c r="I39" s="123">
        <f>SUM(I35:I38)</f>
        <v>3.6</v>
      </c>
      <c r="J39" s="123">
        <f>SUM(J35:J38)</f>
        <v>3.6</v>
      </c>
      <c r="K39" s="123">
        <f>SUM(K35:K38)</f>
        <v>3.6</v>
      </c>
      <c r="L39" s="188"/>
    </row>
    <row r="40" spans="1:12" s="26" customFormat="1" ht="16" x14ac:dyDescent="0.2">
      <c r="A40" s="199" t="s">
        <v>543</v>
      </c>
      <c r="B40" s="204" t="s">
        <v>986</v>
      </c>
      <c r="C40" s="115"/>
      <c r="F40" s="473" t="s">
        <v>571</v>
      </c>
      <c r="G40" s="139" t="s">
        <v>308</v>
      </c>
      <c r="H40" s="192">
        <f>H26*H35*H36*H37*H38</f>
        <v>211.75512656255998</v>
      </c>
      <c r="I40" s="192">
        <f>I26*I35*I36*I37*I38</f>
        <v>211.75512656255998</v>
      </c>
      <c r="J40" s="192">
        <f>J26*J35*J36*J37*J38</f>
        <v>0</v>
      </c>
      <c r="K40" s="192">
        <f>K26*K35*K36*K37*K38</f>
        <v>0</v>
      </c>
      <c r="L40" s="188"/>
    </row>
    <row r="41" spans="1:12" s="26" customFormat="1" ht="16" x14ac:dyDescent="0.2">
      <c r="A41" s="171" t="s">
        <v>379</v>
      </c>
      <c r="B41" s="203">
        <v>4</v>
      </c>
      <c r="C41" s="115"/>
      <c r="F41" s="474"/>
      <c r="G41" s="139" t="s">
        <v>309</v>
      </c>
      <c r="H41" s="197">
        <f>H27*H35*H36*H37*H38</f>
        <v>423.51025312511996</v>
      </c>
      <c r="I41" s="197">
        <f>I27*I35*I36*I37*I38</f>
        <v>423.51025312511996</v>
      </c>
      <c r="J41" s="197">
        <f>J27*J35*J36*J37*J38</f>
        <v>0</v>
      </c>
      <c r="K41" s="197">
        <f>K27*K35*K36*K37*K38</f>
        <v>0</v>
      </c>
      <c r="L41" s="241">
        <f>crop1_ayield_full*12</f>
        <v>5082.1230375014393</v>
      </c>
    </row>
    <row r="42" spans="1:12" s="26" customFormat="1" ht="16" x14ac:dyDescent="0.2">
      <c r="A42" s="170" t="s">
        <v>73</v>
      </c>
      <c r="B42" s="200" t="s">
        <v>162</v>
      </c>
      <c r="C42" s="115"/>
      <c r="D42" s="46"/>
      <c r="F42" s="469" t="s">
        <v>594</v>
      </c>
      <c r="G42" s="196" t="s">
        <v>308</v>
      </c>
      <c r="H42" s="123">
        <f>(H30/VLOOKUP($B$37, Database!$A$97:$J$107, 5, FALSE))/4</f>
        <v>1.4705217122399998</v>
      </c>
      <c r="I42" s="123">
        <f>(I30/VLOOKUP($B$37, Database!$A$97:$J$107, 5, FALSE))/4</f>
        <v>1.4705217122399998</v>
      </c>
      <c r="J42" s="123">
        <f>(J30/VLOOKUP($B$37, Database!$A$97:$J$107, 5, FALSE))/4</f>
        <v>0</v>
      </c>
      <c r="K42" s="123">
        <f>(K30/VLOOKUP($B$37, Database!$A$97:$J$107, 5, FALSE))/4</f>
        <v>0</v>
      </c>
    </row>
    <row r="43" spans="1:12" s="95" customFormat="1" ht="16" x14ac:dyDescent="0.2">
      <c r="A43" s="170" t="s">
        <v>71</v>
      </c>
      <c r="B43" s="200" t="s">
        <v>165</v>
      </c>
      <c r="C43" s="115"/>
      <c r="F43" s="469"/>
      <c r="G43" s="139" t="s">
        <v>595</v>
      </c>
      <c r="H43" s="123">
        <f>H42*B22</f>
        <v>2.9410434244799997</v>
      </c>
      <c r="I43" s="123">
        <f>I42*C22</f>
        <v>0</v>
      </c>
      <c r="J43" s="123">
        <f>J42*D22</f>
        <v>0</v>
      </c>
      <c r="K43" s="123">
        <f>K42*E22</f>
        <v>0</v>
      </c>
    </row>
    <row r="44" spans="1:12" s="109" customFormat="1" ht="13" x14ac:dyDescent="0.15">
      <c r="A44" s="116" t="s">
        <v>229</v>
      </c>
      <c r="B44" s="205" t="s">
        <v>528</v>
      </c>
      <c r="C44" s="115"/>
      <c r="F44" s="480" t="s">
        <v>988</v>
      </c>
      <c r="G44" s="139" t="s">
        <v>308</v>
      </c>
      <c r="H44" s="123">
        <f>m1_wa_yield_crop1/crop1_product_weight</f>
        <v>580.42080190797697</v>
      </c>
      <c r="I44" s="123">
        <f>m1_wa_yield_crop2/crop2_product_weight</f>
        <v>386.94720127198457</v>
      </c>
      <c r="J44" s="123">
        <f>m1_wa_yield_crop3/crop3_product_weight</f>
        <v>0</v>
      </c>
      <c r="K44" s="123">
        <f>m1_wa_yield_crop4/crop4_product_weight</f>
        <v>0</v>
      </c>
    </row>
    <row r="45" spans="1:12" s="109" customFormat="1" ht="13" x14ac:dyDescent="0.15">
      <c r="A45" s="116" t="s">
        <v>448</v>
      </c>
      <c r="B45" s="206" t="s">
        <v>670</v>
      </c>
      <c r="C45" s="115"/>
      <c r="F45" s="480"/>
      <c r="G45" s="139" t="s">
        <v>595</v>
      </c>
      <c r="H45" s="123">
        <f>m2_wa_yield_crop1/crop1_product_weight</f>
        <v>1185.9698788347109</v>
      </c>
      <c r="I45" s="123">
        <f>m2_wa_yield_crop2/crop2_product_weight</f>
        <v>790.64658588980728</v>
      </c>
      <c r="J45" s="123">
        <f>m2_wa_yield_crop3/crop3_product_weight</f>
        <v>0</v>
      </c>
      <c r="K45" s="123">
        <f>m2_wa_yield_crop4/crop4_product_weight</f>
        <v>0</v>
      </c>
    </row>
    <row r="46" spans="1:12" s="112" customFormat="1" ht="13" x14ac:dyDescent="0.15">
      <c r="A46" s="116" t="s">
        <v>484</v>
      </c>
      <c r="B46" s="414">
        <v>1.91E-3</v>
      </c>
      <c r="C46" s="115"/>
      <c r="F46" s="109"/>
      <c r="G46" s="468" t="s">
        <v>584</v>
      </c>
      <c r="H46" s="468"/>
      <c r="I46" s="468"/>
      <c r="J46" s="109"/>
      <c r="K46" s="109"/>
      <c r="L46" s="109"/>
    </row>
    <row r="47" spans="1:12" s="419" customFormat="1" ht="13" x14ac:dyDescent="0.15">
      <c r="A47" s="116" t="s">
        <v>1088</v>
      </c>
      <c r="B47" s="431">
        <f>Database!I201</f>
        <v>102.652383</v>
      </c>
      <c r="C47" s="115"/>
      <c r="G47" s="430"/>
      <c r="H47" s="430"/>
      <c r="I47" s="430"/>
    </row>
    <row r="48" spans="1:12" s="95" customFormat="1" ht="16" x14ac:dyDescent="0.2">
      <c r="A48" s="116" t="s">
        <v>483</v>
      </c>
      <c r="B48" s="337">
        <v>7.3400000000000007E-2</v>
      </c>
      <c r="C48" s="115"/>
      <c r="F48" s="136" t="s">
        <v>511</v>
      </c>
      <c r="G48" s="139" t="s">
        <v>585</v>
      </c>
      <c r="H48" s="139" t="s">
        <v>539</v>
      </c>
      <c r="I48" s="181"/>
      <c r="J48" s="181" t="s">
        <v>592</v>
      </c>
      <c r="K48" s="181" t="s">
        <v>666</v>
      </c>
      <c r="L48" s="181" t="s">
        <v>667</v>
      </c>
    </row>
    <row r="49" spans="1:12" s="26" customFormat="1" ht="13" x14ac:dyDescent="0.15">
      <c r="A49" s="116" t="s">
        <v>487</v>
      </c>
      <c r="B49" s="165">
        <v>0.05</v>
      </c>
      <c r="C49" s="45"/>
      <c r="F49" s="124" t="s">
        <v>586</v>
      </c>
      <c r="G49" s="123">
        <f>SUM(I71:I74)</f>
        <v>8538.9831276099176</v>
      </c>
      <c r="H49" s="124" t="s">
        <v>503</v>
      </c>
      <c r="I49" s="123">
        <f>SUM(V71:V74)/growing_area_full</f>
        <v>80.184607925022704</v>
      </c>
      <c r="J49" s="187">
        <v>90</v>
      </c>
      <c r="K49" s="123">
        <f>I49/J49</f>
        <v>0.89094008805580782</v>
      </c>
      <c r="L49" s="181">
        <v>1</v>
      </c>
    </row>
    <row r="50" spans="1:12" s="26" customFormat="1" ht="13" x14ac:dyDescent="0.15">
      <c r="A50" s="96" t="s">
        <v>538</v>
      </c>
      <c r="B50" s="207">
        <v>0</v>
      </c>
      <c r="C50" s="45"/>
      <c r="F50" s="181" t="s">
        <v>512</v>
      </c>
      <c r="G50" s="123">
        <f>((C23*VLOOKUP(Overview!B38, Database!A109:X130, 6, FALSE)*L19*365/1000))+(B47*365)</f>
        <v>216872.91979499999</v>
      </c>
      <c r="H50" s="124" t="s">
        <v>502</v>
      </c>
      <c r="I50" s="123">
        <f>(SUM(I71:I74)/G50)</f>
        <v>3.9373210522002593E-2</v>
      </c>
      <c r="J50" s="187">
        <v>7.0000000000000007E-2</v>
      </c>
      <c r="K50" s="123">
        <f>I50/J50</f>
        <v>0.56247443602860836</v>
      </c>
      <c r="L50" s="181">
        <v>1</v>
      </c>
    </row>
    <row r="51" spans="1:12" s="26" customFormat="1" ht="13" x14ac:dyDescent="0.15">
      <c r="A51" s="194" t="s">
        <v>581</v>
      </c>
      <c r="B51" s="208" t="s">
        <v>164</v>
      </c>
      <c r="C51" s="45"/>
      <c r="F51" s="124" t="s">
        <v>587</v>
      </c>
      <c r="G51" s="209">
        <f>'Production Technologies'!H72*12</f>
        <v>2132</v>
      </c>
      <c r="H51" s="124" t="s">
        <v>514</v>
      </c>
      <c r="I51" s="210">
        <f>G49/G51</f>
        <v>4.005151560792644</v>
      </c>
      <c r="J51" s="187">
        <v>6</v>
      </c>
      <c r="K51" s="123">
        <f t="shared" ref="K51:K58" si="1">I51/J51</f>
        <v>0.66752526013210733</v>
      </c>
      <c r="L51" s="181">
        <v>1</v>
      </c>
    </row>
    <row r="52" spans="1:12" s="26" customFormat="1" ht="13" x14ac:dyDescent="0.15">
      <c r="A52" s="194" t="s">
        <v>828</v>
      </c>
      <c r="B52" s="204" t="s">
        <v>528</v>
      </c>
      <c r="C52" s="45"/>
      <c r="F52" s="124" t="s">
        <v>588</v>
      </c>
      <c r="G52" s="209">
        <f>(C37*0.95*365)+1900*12</f>
        <v>25574</v>
      </c>
      <c r="H52" s="116" t="s">
        <v>504</v>
      </c>
      <c r="I52" s="210">
        <f>G49/G52</f>
        <v>0.33389313864119485</v>
      </c>
      <c r="J52" s="187">
        <v>0.5</v>
      </c>
      <c r="K52" s="123">
        <f t="shared" si="1"/>
        <v>0.66778627728238971</v>
      </c>
      <c r="L52" s="181">
        <v>1</v>
      </c>
    </row>
    <row r="53" spans="1:12" s="81" customFormat="1" ht="13" x14ac:dyDescent="0.15">
      <c r="A53" s="194" t="s">
        <v>829</v>
      </c>
      <c r="B53" s="204" t="s">
        <v>528</v>
      </c>
      <c r="C53" s="45"/>
      <c r="F53" s="124" t="s">
        <v>589</v>
      </c>
      <c r="G53" s="209">
        <v>1000</v>
      </c>
      <c r="H53" s="124" t="s">
        <v>513</v>
      </c>
      <c r="I53" s="123">
        <f>G49/G53</f>
        <v>8.5389831276099173</v>
      </c>
      <c r="J53" s="187">
        <v>500</v>
      </c>
      <c r="K53" s="123">
        <f t="shared" si="1"/>
        <v>1.7077966255219835E-2</v>
      </c>
      <c r="L53" s="181">
        <v>1</v>
      </c>
    </row>
    <row r="54" spans="1:12" s="26" customFormat="1" ht="13" x14ac:dyDescent="0.15">
      <c r="A54" s="386" t="s">
        <v>918</v>
      </c>
      <c r="B54" s="204" t="s">
        <v>980</v>
      </c>
      <c r="C54" s="45"/>
      <c r="D54" s="46"/>
      <c r="E54" s="46"/>
      <c r="F54" s="124" t="s">
        <v>590</v>
      </c>
      <c r="G54" s="123">
        <f>B18*B19/2.5</f>
        <v>23.76</v>
      </c>
      <c r="H54" s="124" t="s">
        <v>515</v>
      </c>
      <c r="I54" s="123">
        <f>G49/G54</f>
        <v>359.38481176809415</v>
      </c>
      <c r="J54" s="187">
        <v>130</v>
      </c>
      <c r="K54" s="123">
        <f t="shared" si="1"/>
        <v>2.7644985520622627</v>
      </c>
      <c r="L54" s="181">
        <v>1</v>
      </c>
    </row>
    <row r="55" spans="1:12" s="26" customFormat="1" ht="13" x14ac:dyDescent="0.15">
      <c r="D55" s="6"/>
      <c r="E55" s="39"/>
      <c r="F55" s="124" t="s">
        <v>979</v>
      </c>
      <c r="G55" s="210">
        <f>(G50*Database!B171/1000000)</f>
        <v>50.531390312234997</v>
      </c>
      <c r="H55" s="124" t="s">
        <v>575</v>
      </c>
      <c r="I55" s="181">
        <f>G49/G55</f>
        <v>168.98373614593388</v>
      </c>
      <c r="J55" s="187">
        <v>500</v>
      </c>
      <c r="K55" s="123">
        <f t="shared" si="1"/>
        <v>0.33796747229186774</v>
      </c>
      <c r="L55" s="181">
        <v>1</v>
      </c>
    </row>
    <row r="56" spans="1:12" s="26" customFormat="1" ht="16" x14ac:dyDescent="0.2">
      <c r="A56" s="2" t="s">
        <v>208</v>
      </c>
      <c r="B56" s="51"/>
      <c r="C56" s="39"/>
      <c r="D56" s="6"/>
      <c r="E56" s="39"/>
      <c r="F56" s="124" t="s">
        <v>542</v>
      </c>
      <c r="G56" s="210">
        <f>((G50*B50*0.283)/1000)+((G52*20/1000000)*344/1000)</f>
        <v>0.17594912000000001</v>
      </c>
      <c r="H56" s="124" t="s">
        <v>576</v>
      </c>
      <c r="I56" s="123">
        <f>G49/G56</f>
        <v>48530.979453662039</v>
      </c>
      <c r="J56" s="187">
        <v>50000</v>
      </c>
      <c r="K56" s="123">
        <f>I56/J56</f>
        <v>0.97061958907324075</v>
      </c>
      <c r="L56" s="181">
        <v>1</v>
      </c>
    </row>
    <row r="57" spans="1:12" s="26" customFormat="1" ht="16" x14ac:dyDescent="0.2">
      <c r="A57" s="166" t="s">
        <v>210</v>
      </c>
      <c r="B57" s="301">
        <v>108000</v>
      </c>
      <c r="C57" s="39"/>
      <c r="D57" s="6"/>
      <c r="E57" s="39"/>
      <c r="F57" s="124" t="s">
        <v>591</v>
      </c>
      <c r="G57" s="123">
        <f>G55-G56</f>
        <v>50.355441192234998</v>
      </c>
      <c r="H57" s="124" t="s">
        <v>582</v>
      </c>
      <c r="I57" s="123">
        <f>G49/G57</f>
        <v>169.57418951036144</v>
      </c>
      <c r="J57" s="187">
        <v>-1000</v>
      </c>
      <c r="K57" s="123">
        <f>I57/J57</f>
        <v>-0.16957418951036143</v>
      </c>
      <c r="L57" s="181">
        <v>1</v>
      </c>
    </row>
    <row r="58" spans="1:12" ht="16" x14ac:dyDescent="0.2">
      <c r="A58" s="167" t="s">
        <v>72</v>
      </c>
      <c r="B58" s="168">
        <v>0</v>
      </c>
      <c r="C58" s="39"/>
      <c r="D58" s="26"/>
      <c r="E58" s="26"/>
      <c r="F58" s="124" t="s">
        <v>669</v>
      </c>
      <c r="G58" s="123">
        <f>SUM(H31:K31)*12</f>
        <v>101642.46075002878</v>
      </c>
      <c r="H58" s="124" t="s">
        <v>668</v>
      </c>
      <c r="I58" s="123">
        <f>G58/C18</f>
        <v>855.57626893963618</v>
      </c>
      <c r="J58" s="187">
        <v>800</v>
      </c>
      <c r="K58" s="123">
        <f t="shared" si="1"/>
        <v>1.0694703361745452</v>
      </c>
      <c r="L58" s="181">
        <v>1</v>
      </c>
    </row>
    <row r="59" spans="1:12" s="28" customFormat="1" ht="16" x14ac:dyDescent="0.2">
      <c r="A59" s="167" t="s">
        <v>209</v>
      </c>
      <c r="B59" s="168">
        <v>0.05</v>
      </c>
      <c r="C59" s="45"/>
      <c r="J59" s="26"/>
    </row>
    <row r="60" spans="1:12" s="84" customFormat="1" ht="16" x14ac:dyDescent="0.2">
      <c r="A60" s="167" t="s">
        <v>211</v>
      </c>
      <c r="B60" s="169">
        <v>7</v>
      </c>
      <c r="C60" s="45"/>
      <c r="J60" s="26"/>
    </row>
    <row r="61" spans="1:12" s="28" customFormat="1" ht="16" x14ac:dyDescent="0.2">
      <c r="A61" s="167" t="s">
        <v>216</v>
      </c>
      <c r="B61" s="169" t="s">
        <v>217</v>
      </c>
      <c r="C61" s="45"/>
      <c r="J61"/>
    </row>
    <row r="62" spans="1:12" s="419" customFormat="1" ht="16" x14ac:dyDescent="0.2">
      <c r="A62" s="167" t="s">
        <v>993</v>
      </c>
      <c r="B62" s="427">
        <v>89000</v>
      </c>
      <c r="C62" s="45"/>
    </row>
    <row r="63" spans="1:12" s="28" customFormat="1" ht="13" x14ac:dyDescent="0.15">
      <c r="A63" s="26"/>
      <c r="B63" s="26"/>
    </row>
    <row r="64" spans="1:12" s="95" customFormat="1" ht="16" x14ac:dyDescent="0.2">
      <c r="A64" s="253" t="s">
        <v>219</v>
      </c>
      <c r="B64" s="382"/>
      <c r="C64" s="28"/>
      <c r="J64" s="84"/>
    </row>
    <row r="65" spans="1:22" s="95" customFormat="1" ht="13" x14ac:dyDescent="0.15">
      <c r="A65" s="382" t="s">
        <v>3</v>
      </c>
      <c r="B65" s="383">
        <f>'CapEx Breakdown'!C21+'CapEx Breakdown'!D21</f>
        <v>45573.3</v>
      </c>
      <c r="J65" s="28"/>
    </row>
    <row r="66" spans="1:22" s="95" customFormat="1" ht="13" x14ac:dyDescent="0.15">
      <c r="A66" s="382" t="s">
        <v>31</v>
      </c>
      <c r="B66" s="383">
        <f ca="1">'CapEx Breakdown'!C35+'CapEx Breakdown'!D35</f>
        <v>165771.51</v>
      </c>
      <c r="J66" s="28"/>
    </row>
    <row r="67" spans="1:22" s="28" customFormat="1" ht="13" x14ac:dyDescent="0.15">
      <c r="A67" s="382" t="s">
        <v>32</v>
      </c>
      <c r="B67" s="344">
        <f ca="1">'CapEx Breakdown'!E38</f>
        <v>211344.81</v>
      </c>
    </row>
    <row r="68" spans="1:22" s="95" customFormat="1" ht="13" x14ac:dyDescent="0.15">
      <c r="A68" s="148" t="s">
        <v>614</v>
      </c>
      <c r="B68" s="384">
        <f ca="1">B57+grant_revenue_y1+grant_revenue_y2-B67</f>
        <v>24655.190000000002</v>
      </c>
    </row>
    <row r="69" spans="1:22" s="95" customFormat="1" ht="13" x14ac:dyDescent="0.15"/>
    <row r="70" spans="1:22" s="28" customFormat="1" ht="16" x14ac:dyDescent="0.2">
      <c r="A70" s="2" t="s">
        <v>312</v>
      </c>
      <c r="B70" s="76"/>
      <c r="C70" s="45"/>
      <c r="F70" s="29" t="s">
        <v>490</v>
      </c>
      <c r="G70" s="44" t="s">
        <v>491</v>
      </c>
      <c r="H70" s="29" t="s">
        <v>22</v>
      </c>
      <c r="I70" s="29" t="s">
        <v>23</v>
      </c>
      <c r="J70" s="29" t="s">
        <v>145</v>
      </c>
      <c r="K70" s="44" t="s">
        <v>146</v>
      </c>
      <c r="L70" s="44" t="s">
        <v>147</v>
      </c>
      <c r="M70" s="44" t="s">
        <v>148</v>
      </c>
      <c r="N70" s="44" t="s">
        <v>149</v>
      </c>
      <c r="O70" s="44" t="s">
        <v>150</v>
      </c>
      <c r="P70" s="44" t="s">
        <v>151</v>
      </c>
      <c r="Q70" s="44" t="s">
        <v>152</v>
      </c>
      <c r="R70" s="44" t="s">
        <v>153</v>
      </c>
      <c r="S70" s="44" t="s">
        <v>154</v>
      </c>
      <c r="T70" s="44" t="s">
        <v>155</v>
      </c>
      <c r="U70" s="44" t="s">
        <v>156</v>
      </c>
      <c r="V70" s="44" t="s">
        <v>157</v>
      </c>
    </row>
    <row r="71" spans="1:22" ht="16" x14ac:dyDescent="0.2">
      <c r="A71" s="48" t="s">
        <v>532</v>
      </c>
      <c r="B71" s="94" t="s">
        <v>537</v>
      </c>
      <c r="C71" s="45"/>
      <c r="D71" s="28"/>
      <c r="E71" s="28"/>
      <c r="F71" s="11">
        <f>crop1_ayield_pilot-(LOOKUP($B$32,Database!$A$144:$A$146,Database!$B$144:$B$146)*crop1_ayield_pilot)</f>
        <v>174.12624057239307</v>
      </c>
      <c r="G71" s="126">
        <f>crop1_ayield_full-(LOOKUP($B$32,Database!$A$144:$A$146,Database!$C$144:$C$146)*crop1_ayield_full)</f>
        <v>355.79096365041329</v>
      </c>
      <c r="H71" s="96">
        <f>F71*12</f>
        <v>2089.514886868717</v>
      </c>
      <c r="I71" s="126">
        <f>(crop1_ayield_full*12)-(LOOKUP($B$32, Database!$A$144:$A$145, Database!C144:C145)*(crop1_ayield_full*12))</f>
        <v>4269.4915638049588</v>
      </c>
      <c r="J71" s="106">
        <f>(crop1_ayield_full*12)-(LOOKUP($B$32, Database!$A$144:$A$145, Database!D144:D145)*(crop1_ayield_full*12))</f>
        <v>4350.8055324049819</v>
      </c>
      <c r="K71" s="106">
        <f>(crop1_ayield_full*12)-(LOOKUP($B$32, Database!$A$144:$A$145, Database!E144:E145)*(crop1_ayield_full*12))</f>
        <v>4409.2499473362486</v>
      </c>
      <c r="L71" s="106">
        <f>(crop1_ayield_full*12)-(LOOKUP($B$32, Database!$A$144:$A$145, Database!F144:F145)*(crop1_ayield_full*12))</f>
        <v>4463.120451533764</v>
      </c>
      <c r="M71" s="106">
        <f>(crop1_ayield_full*12)-(LOOKUP($B$32, Database!$A$144:$A$145, Database!G144:G145)*(crop1_ayield_full*12))</f>
        <v>4512.4170449975281</v>
      </c>
      <c r="N71" s="106">
        <f>(crop1_ayield_full*12)-(LOOKUP($B$32, Database!$A$144:$A$145, Database!H144:H145)*(crop1_ayield_full*12))</f>
        <v>4558.156152335041</v>
      </c>
      <c r="O71" s="106">
        <f>(crop1_ayield_full*12)-(LOOKUP($B$32, Database!$A$144:$A$145, Database!I144:I145)*(crop1_ayield_full*12))</f>
        <v>4589.66531516755</v>
      </c>
      <c r="P71" s="106">
        <f>(crop1_ayield_full*12)-(LOOKUP($B$32, Database!$A$144:$A$145, Database!J144:J145)*(crop1_ayield_full*12))</f>
        <v>4619.1416287850579</v>
      </c>
      <c r="Q71" s="106">
        <f>(crop1_ayield_full*12)-(LOOKUP($B$32, Database!$A$144:$A$145, Database!K144:K145)*(crop1_ayield_full*12))</f>
        <v>4647.0933054913157</v>
      </c>
      <c r="R71" s="106">
        <f>(crop1_ayield_full*12)-(LOOKUP($B$32, Database!$A$144:$A$145, Database!L144:L145)*(crop1_ayield_full*12))</f>
        <v>4673.0121329825733</v>
      </c>
      <c r="S71" s="106">
        <f>(crop1_ayield_full*12)-(LOOKUP($B$32, Database!$A$144:$A$145, Database!M144:M145)*(crop1_ayield_full*12))</f>
        <v>4697.4063235625799</v>
      </c>
      <c r="T71" s="106">
        <f>(crop1_ayield_full*12)-(LOOKUP($B$32, Database!$A$144:$A$145, Database!N144:N145)*(crop1_ayield_full*12))</f>
        <v>4720.7840895350873</v>
      </c>
      <c r="U71" s="106">
        <f>(crop1_ayield_full*12)-(LOOKUP($B$32, Database!$A$144:$A$145, Database!O144:O145)*(crop1_ayield_full*12))</f>
        <v>4742.6372185963428</v>
      </c>
      <c r="V71" s="106">
        <f>(crop1_ayield_full*12)-(LOOKUP($B$32, Database!$A$144:$A$145, Database!P144:P145)*(crop1_ayield_full*12))</f>
        <v>4762.965710746349</v>
      </c>
    </row>
    <row r="72" spans="1:22" ht="16" x14ac:dyDescent="0.2">
      <c r="A72" s="48" t="s">
        <v>533</v>
      </c>
      <c r="B72" s="94"/>
      <c r="C72" s="45"/>
      <c r="D72" s="95"/>
      <c r="E72" s="95"/>
      <c r="F72" s="100">
        <f>crop2_ayield_pilot-(LOOKUP($B$32,Database!$A$144:$A$145,Database!$B$144:$B$145)*crop2_ayield_pilot)</f>
        <v>174.12624057239307</v>
      </c>
      <c r="G72" s="126">
        <f>crop2_ayield_full-(LOOKUP($B$32,Database!$A$144:$A$146,Database!$C$144:$C$146)*crop2_ayield_full)</f>
        <v>355.79096365041329</v>
      </c>
      <c r="H72" s="134">
        <f>F72*12</f>
        <v>2089.514886868717</v>
      </c>
      <c r="I72" s="126">
        <f>(crop2_ayield_full*12)-(LOOKUP($B$32, Database!$A$144:$A$145, Database!C144:C145)*(crop2_ayield_full*12))</f>
        <v>4269.4915638049588</v>
      </c>
      <c r="J72" s="106">
        <f>(crop2_ayield_full*12)-(LOOKUP($B$32, Database!$A$144:$A$145, Database!D144:D145)*(crop2_ayield_full*12))</f>
        <v>4350.8055324049819</v>
      </c>
      <c r="K72" s="106">
        <f>(crop2_ayield_full*12)-(LOOKUP($B$32, Database!$A$144:$A$145, Database!E144:E145)*(crop2_ayield_full*12))</f>
        <v>4409.2499473362486</v>
      </c>
      <c r="L72" s="106">
        <f>(crop2_ayield_full*12)-(LOOKUP($B$32, Database!$A$144:$A$145, Database!F144:F145)*(crop2_ayield_full*12))</f>
        <v>4463.120451533764</v>
      </c>
      <c r="M72" s="106">
        <f>(crop2_ayield_full*12)-(LOOKUP($B$32, Database!$A$144:$A$145, Database!G144:G145)*(crop2_ayield_full*12))</f>
        <v>4512.4170449975281</v>
      </c>
      <c r="N72" s="106">
        <f>(crop2_ayield_full*12)-(LOOKUP($B$32, Database!$A$144:$A$145, Database!H144:H145)*(crop2_ayield_full*12))</f>
        <v>4558.156152335041</v>
      </c>
      <c r="O72" s="106">
        <f>(crop2_ayield_full*12)-(LOOKUP($B$32, Database!$A$144:$A$145, Database!I144:I145)*(crop2_ayield_full*12))</f>
        <v>4589.66531516755</v>
      </c>
      <c r="P72" s="106">
        <f>(crop2_ayield_full*12)-(LOOKUP($B$32, Database!$A$144:$A$145, Database!J144:J145)*(crop2_ayield_full*12))</f>
        <v>4619.1416287850579</v>
      </c>
      <c r="Q72" s="106">
        <f>(crop2_ayield_full*12)-(LOOKUP($B$32, Database!$A$144:$A$145, Database!K144:K145)*(crop2_ayield_full*12))</f>
        <v>4647.0933054913157</v>
      </c>
      <c r="R72" s="106">
        <f>(crop2_ayield_full*12)-(LOOKUP($B$32, Database!$A$144:$A$145, Database!L144:L145)*(crop2_ayield_full*12))</f>
        <v>4673.0121329825733</v>
      </c>
      <c r="S72" s="106">
        <f>(crop2_ayield_full*12)-(LOOKUP($B$32, Database!$A$144:$A$145, Database!M144:M145)*(crop2_ayield_full*12))</f>
        <v>4697.4063235625799</v>
      </c>
      <c r="T72" s="106">
        <f>(crop2_ayield_full*12)-(LOOKUP($B$32, Database!$A$144:$A$145, Database!N144:N145)*(crop2_ayield_full*12))</f>
        <v>4720.7840895350873</v>
      </c>
      <c r="U72" s="106">
        <f>(crop2_ayield_full*12)-(LOOKUP($B$32, Database!$A$144:$A$145, Database!O144:O145)*(crop2_ayield_full*12))</f>
        <v>4742.6372185963428</v>
      </c>
      <c r="V72" s="106">
        <f>(crop2_ayield_full*12)-(LOOKUP($B$32, Database!$A$144:$A$145, Database!P144:P145)*(crop2_ayield_full*12))</f>
        <v>4762.965710746349</v>
      </c>
    </row>
    <row r="73" spans="1:22" ht="16" x14ac:dyDescent="0.2">
      <c r="A73" s="48" t="s">
        <v>534</v>
      </c>
      <c r="B73" s="94"/>
      <c r="C73" s="45"/>
      <c r="D73" s="95"/>
      <c r="E73" s="95"/>
      <c r="F73" s="100">
        <f>crop3_ayield_pilot-(LOOKUP($B$32,Database!$A$144:$A$145,Database!$B$144:$B$145)*crop3_ayield_pilot)</f>
        <v>0</v>
      </c>
      <c r="G73" s="126">
        <f>crop3_ayield_full-(LOOKUP($B$32,Database!$A$144:$A$146,Database!$C$144:$C$146)*crop3_ayield_full)</f>
        <v>0</v>
      </c>
      <c r="H73" s="134">
        <f>F73*12</f>
        <v>0</v>
      </c>
      <c r="I73" s="126">
        <f>(crop3_ayield_full*12)-(LOOKUP($B$32,Database!$A$144:$A$145,Database!C144:C145)*(crop3_ayield_full*12))</f>
        <v>0</v>
      </c>
      <c r="J73" s="106">
        <f>(crop3_ayield_full*12)-(LOOKUP($B$32,Database!$A$144:$A$145,Database!D144:D145)*(crop3_ayield_full*12))</f>
        <v>0</v>
      </c>
      <c r="K73" s="106">
        <f>(crop3_ayield_full*12)-(LOOKUP($B$32,Database!$A$144:$A$145,Database!E144:E145)*(crop3_ayield_full*12))</f>
        <v>0</v>
      </c>
      <c r="L73" s="106">
        <f>(crop3_ayield_full*12)-(LOOKUP($B$32,Database!$A$144:$A$145,Database!F144:F145)*(crop3_ayield_full*12))</f>
        <v>0</v>
      </c>
      <c r="M73" s="106">
        <f>(crop3_ayield_full*12)-(LOOKUP($B$32,Database!$A$144:$A$145,Database!G144:G145)*(crop3_ayield_full*12))</f>
        <v>0</v>
      </c>
      <c r="N73" s="106">
        <f>(crop3_ayield_full*12)-(LOOKUP($B$32,Database!$A$144:$A$145,Database!H144:H145)*(crop3_ayield_full*12))</f>
        <v>0</v>
      </c>
      <c r="O73" s="106">
        <f>(crop3_ayield_full*12)-(LOOKUP($B$32,Database!$A$144:$A$145,Database!I144:I145)*(crop3_ayield_full*12))</f>
        <v>0</v>
      </c>
      <c r="P73" s="106">
        <f>(crop3_ayield_full*12)-(LOOKUP($B$32,Database!$A$144:$A$145,Database!J144:J145)*(crop3_ayield_full*12))</f>
        <v>0</v>
      </c>
      <c r="Q73" s="106">
        <f>(crop3_ayield_full*12)-(LOOKUP($B$32,Database!$A$144:$A$145,Database!K144:K145)*(crop3_ayield_full*12))</f>
        <v>0</v>
      </c>
      <c r="R73" s="106">
        <f>(crop3_ayield_full*12)-(LOOKUP($B$32,Database!$A$144:$A$145,Database!L144:L145)*(crop3_ayield_full*12))</f>
        <v>0</v>
      </c>
      <c r="S73" s="106">
        <f>(crop3_ayield_full*12)-(LOOKUP($B$32,Database!$A$144:$A$145,Database!M144:M145)*(crop3_ayield_full*12))</f>
        <v>0</v>
      </c>
      <c r="T73" s="106">
        <f>(crop3_ayield_full*12)-(LOOKUP($B$32,Database!$A$144:$A$145,Database!N144:N145)*(crop3_ayield_full*12))</f>
        <v>0</v>
      </c>
      <c r="U73" s="106">
        <f>(crop3_ayield_full*12)-(LOOKUP($B$32,Database!$A$144:$A$145,Database!O144:O145)*(crop3_ayield_full*12))</f>
        <v>0</v>
      </c>
      <c r="V73" s="106">
        <f>(crop3_ayield_full*12)-(LOOKUP($B$32,Database!$A$144:$A$145,Database!P144:P145)*(crop3_ayield_full*12))</f>
        <v>0</v>
      </c>
    </row>
    <row r="74" spans="1:22" ht="16" x14ac:dyDescent="0.2">
      <c r="A74" s="48" t="s">
        <v>535</v>
      </c>
      <c r="B74" s="76"/>
      <c r="C74" s="45"/>
      <c r="D74" s="133"/>
      <c r="E74" s="133"/>
      <c r="F74" s="100">
        <f>crop4_ayield_pilot-(LOOKUP($B$32,Database!$A$144:$A$145,Database!$B$144:$B$145)*crop4_ayield_pilot)</f>
        <v>0</v>
      </c>
      <c r="G74" s="126">
        <f>crop4_ayield_full-(LOOKUP($B$32,Database!$A$144:$A$146,Database!$C$144:$C$146)*crop4_ayield_full)</f>
        <v>0</v>
      </c>
      <c r="H74" s="134">
        <f>F74*12</f>
        <v>0</v>
      </c>
      <c r="I74" s="126">
        <f>(crop4_ayield_full*12)-(LOOKUP($B$32, Database!$A$144:$A$145, Database!C144:C145)*(crop4_ayield_full*12))</f>
        <v>0</v>
      </c>
      <c r="J74" s="106">
        <f>(crop4_ayield_full*12)-(LOOKUP($B$32, Database!$A$144:$A$145, Database!D144:D145)*(crop4_ayield_full*12))</f>
        <v>0</v>
      </c>
      <c r="K74" s="106">
        <f>(crop4_ayield_full*12)-(LOOKUP($B$32, Database!$A$144:$A$145, Database!E144:E145)*(crop4_ayield_full*12))</f>
        <v>0</v>
      </c>
      <c r="L74" s="106">
        <f>(crop4_ayield_full*12)-(LOOKUP($B$32, Database!$A$144:$A$145, Database!F144:F145)*(crop4_ayield_full*12))</f>
        <v>0</v>
      </c>
      <c r="M74" s="106">
        <f>(crop4_ayield_full*12)-(LOOKUP($B$32, Database!$A$144:$A$145, Database!G144:G145)*(crop4_ayield_full*12))</f>
        <v>0</v>
      </c>
      <c r="N74" s="106">
        <f>(crop4_ayield_full*12)-(LOOKUP($B$32, Database!$A$144:$A$145, Database!H144:H145)*(crop4_ayield_full*12))</f>
        <v>0</v>
      </c>
      <c r="O74" s="106">
        <f>(crop4_ayield_full*12)-(LOOKUP($B$32, Database!$A$144:$A$145, Database!I144:I145)*(crop4_ayield_full*12))</f>
        <v>0</v>
      </c>
      <c r="P74" s="106">
        <f>(crop4_ayield_full*12)-(LOOKUP($B$32, Database!$A$144:$A$145, Database!J144:J145)*(crop4_ayield_full*12))</f>
        <v>0</v>
      </c>
      <c r="Q74" s="106">
        <f>(crop4_ayield_full*12)-(LOOKUP($B$32, Database!$A$144:$A$145, Database!K144:K145)*(crop4_ayield_full*12))</f>
        <v>0</v>
      </c>
      <c r="R74" s="106">
        <f>(crop4_ayield_full*12)-(LOOKUP($B$32, Database!$A$144:$A$145, Database!L144:L145)*(crop4_ayield_full*12))</f>
        <v>0</v>
      </c>
      <c r="S74" s="106">
        <f>(crop4_ayield_full*12)-(LOOKUP($B$32, Database!$A$144:$A$145, Database!M144:M145)*(crop4_ayield_full*12))</f>
        <v>0</v>
      </c>
      <c r="T74" s="106">
        <f>(crop4_ayield_full*12)-(LOOKUP($B$32, Database!$A$144:$A$145, Database!N144:N145)*(crop4_ayield_full*12))</f>
        <v>0</v>
      </c>
      <c r="U74" s="106">
        <f>(crop4_ayield_full*12)-(LOOKUP($B$32, Database!$A$144:$A$145, Database!O144:O145)*(crop4_ayield_full*12))</f>
        <v>0</v>
      </c>
      <c r="V74" s="106">
        <f>(crop4_ayield_full*12)-(LOOKUP($B$32, Database!$A$144:$A$145, Database!P144:P145)*(crop4_ayield_full*12))</f>
        <v>0</v>
      </c>
    </row>
    <row r="75" spans="1:22" ht="16" x14ac:dyDescent="0.2">
      <c r="A75" s="48" t="s">
        <v>536</v>
      </c>
      <c r="B75" s="76"/>
      <c r="C75" s="45"/>
      <c r="D75" s="133"/>
      <c r="E75" s="133"/>
      <c r="F75" s="324">
        <f>((F71/$H$22)*($H$24*$H$23+$H$25*(1-$H$23)))+((F72/$I$22))*($I$24*$I$23+$I$25*(1-$I$23))+((F73/$J$22)*($J$24*$J$23+$J$25*(1-$J$23)))+((F74/$K$22)*($K$24*$K$23+$K$25*(1-$K$23)))</f>
        <v>7495.1672886383421</v>
      </c>
      <c r="G75" s="325">
        <f>((G71/$H$22)*($H$24*$H$23+$H$25*(1-$H$23)))+((G72/$I$22))*($I$24*$I$23+$I$25*(1-$I$23))+((G73/$J$22)*($J$24*$J$23+$J$25*(1-$J$23)))+((G74/$K$22)*($K$24*$K$23+$K$25*(1-$K$23)))</f>
        <v>15314.824368685568</v>
      </c>
      <c r="H75" s="324">
        <f>((H71/$H$22)*($H$24*$H$23+$H$25*(1-$H$23)))+((H72/$I$22))*($I$24*$I$23+$I$25*(1-$I$23))+((H73/$J$22)*($J$24*$J$23+$J$25*(1-$J$23)))+((H74/$K$22)*($K$24*$K$23+$K$25*(1-$K$23)))</f>
        <v>89942.007463660106</v>
      </c>
      <c r="I75" s="325">
        <f>((I71/$H$22)*($H$24*$H$23+$H$25*(1-$H$23)))+((I72/$I$22))*($I$24*$I$23+$I$25*(1-$I$23))+((I73/$J$22)*($J$24*$J$23+$J$25*(1-$J$23)))+((I74/$K$22)*($K$24*$K$23+$K$25*(1-$K$23)))</f>
        <v>183777.8924242268</v>
      </c>
      <c r="J75" s="324">
        <f>((J71/$H$22)*($H$24*$H$23+$H$25*(1-$H$23)))+((J72/$I$22))*($I$24*$I$23+$I$25*(1-$I$23))+((J73/$J$22)*($J$24*$J$23+$J$25*(1-$J$23)))+((J74/$K$22)*($K$24*$K$23+$K$25*(1-$K$23)))</f>
        <v>187278.0070281878</v>
      </c>
      <c r="K75" s="324">
        <f t="shared" ref="K75:U75" si="2">((K71/$H$22)*($H$24*$H$23+$H$25*(1-$H$23)))+((K72/$I$22))*($I$24*$I$23+$I$25*(1-$I$23))+((K73/$J$22)*($J$24*$J$23+$J$25*(1-$J$23)))+((K74/$K$22)*($K$24*$K$23+$K$25*(1-$K$23)))</f>
        <v>189793.71439978475</v>
      </c>
      <c r="L75" s="324">
        <f t="shared" si="2"/>
        <v>192112.54032490891</v>
      </c>
      <c r="M75" s="324">
        <f t="shared" si="2"/>
        <v>194234.48480356025</v>
      </c>
      <c r="N75" s="324">
        <f t="shared" si="2"/>
        <v>196203.29926828831</v>
      </c>
      <c r="O75" s="324">
        <f t="shared" si="2"/>
        <v>197559.5936773232</v>
      </c>
      <c r="P75" s="324">
        <f t="shared" si="2"/>
        <v>198828.38522125903</v>
      </c>
      <c r="Q75" s="324">
        <f t="shared" si="2"/>
        <v>200031.54961637064</v>
      </c>
      <c r="R75" s="324">
        <f t="shared" si="2"/>
        <v>201147.21114638323</v>
      </c>
      <c r="S75" s="324">
        <f t="shared" si="2"/>
        <v>202197.2455275715</v>
      </c>
      <c r="T75" s="324">
        <f t="shared" si="2"/>
        <v>203203.52847621031</v>
      </c>
      <c r="U75" s="324">
        <f t="shared" si="2"/>
        <v>204144.18427602481</v>
      </c>
      <c r="V75" s="324">
        <f>((V71/$H$22)*($H$24*$H$23+$H$25*(1-$H$23)))+((V72/$I$22))*($I$24*$I$23+$I$25*(1-$I$23))+((V73/$J$22)*($J$24*$J$23+$J$25*(1-$J$23)))+((V74/$K$22)*($K$24*$K$23+$K$25*(1-$K$23)))</f>
        <v>205019.21292701509</v>
      </c>
    </row>
    <row r="76" spans="1:22" ht="15.75" customHeight="1" x14ac:dyDescent="0.15">
      <c r="A76" s="111"/>
      <c r="B76" s="133"/>
      <c r="C76" s="133"/>
      <c r="D76" s="133"/>
      <c r="E76" s="133"/>
      <c r="F76" s="111"/>
      <c r="G76" s="133"/>
      <c r="H76" s="111">
        <v>1</v>
      </c>
      <c r="I76" s="111">
        <v>2</v>
      </c>
      <c r="J76" s="133">
        <v>3</v>
      </c>
      <c r="K76" s="111">
        <v>4</v>
      </c>
      <c r="L76" s="111">
        <v>5</v>
      </c>
      <c r="M76" s="111">
        <v>6</v>
      </c>
      <c r="N76" s="111">
        <v>7</v>
      </c>
      <c r="O76" s="111">
        <v>8</v>
      </c>
      <c r="P76" s="111">
        <v>9</v>
      </c>
      <c r="Q76" s="111">
        <v>10</v>
      </c>
      <c r="R76" s="111">
        <v>11</v>
      </c>
      <c r="S76" s="111">
        <v>12</v>
      </c>
      <c r="T76" s="111">
        <v>13</v>
      </c>
      <c r="U76" s="111">
        <v>14</v>
      </c>
      <c r="V76" s="111">
        <v>15</v>
      </c>
    </row>
    <row r="77" spans="1:22" ht="16" x14ac:dyDescent="0.2">
      <c r="A77" s="2" t="s">
        <v>124</v>
      </c>
      <c r="B77" s="111" t="s">
        <v>20</v>
      </c>
      <c r="C77" s="111" t="s">
        <v>492</v>
      </c>
      <c r="D77" s="133"/>
      <c r="E77" s="133"/>
      <c r="F77" s="111" t="s">
        <v>489</v>
      </c>
      <c r="G77" s="44" t="s">
        <v>488</v>
      </c>
      <c r="H77" s="111" t="s">
        <v>22</v>
      </c>
      <c r="I77" s="111" t="s">
        <v>23</v>
      </c>
      <c r="J77" s="51" t="s">
        <v>145</v>
      </c>
      <c r="K77" s="51" t="s">
        <v>146</v>
      </c>
      <c r="L77" s="51" t="s">
        <v>147</v>
      </c>
      <c r="M77" s="51" t="s">
        <v>148</v>
      </c>
      <c r="N77" s="51" t="s">
        <v>149</v>
      </c>
      <c r="O77" s="51" t="s">
        <v>150</v>
      </c>
      <c r="P77" s="51" t="s">
        <v>151</v>
      </c>
      <c r="Q77" s="51" t="s">
        <v>152</v>
      </c>
      <c r="R77" s="51" t="s">
        <v>153</v>
      </c>
      <c r="S77" s="51" t="s">
        <v>154</v>
      </c>
      <c r="T77" s="51" t="s">
        <v>155</v>
      </c>
      <c r="U77" s="51" t="s">
        <v>156</v>
      </c>
      <c r="V77" s="51" t="s">
        <v>157</v>
      </c>
    </row>
    <row r="78" spans="1:22" ht="13" x14ac:dyDescent="0.15">
      <c r="A78" s="132" t="s">
        <v>24</v>
      </c>
      <c r="B78" s="132" t="s">
        <v>25</v>
      </c>
      <c r="C78" s="127"/>
      <c r="D78" s="133"/>
      <c r="E78" s="133"/>
      <c r="F78" s="302">
        <f>F75</f>
        <v>7495.1672886383421</v>
      </c>
      <c r="G78" s="303">
        <f>G75</f>
        <v>15314.824368685568</v>
      </c>
      <c r="H78" s="302">
        <f t="shared" ref="H78:V78" si="3">H75</f>
        <v>89942.007463660106</v>
      </c>
      <c r="I78" s="302">
        <f t="shared" si="3"/>
        <v>183777.8924242268</v>
      </c>
      <c r="J78" s="302">
        <f t="shared" si="3"/>
        <v>187278.0070281878</v>
      </c>
      <c r="K78" s="302">
        <f t="shared" si="3"/>
        <v>189793.71439978475</v>
      </c>
      <c r="L78" s="302">
        <f t="shared" si="3"/>
        <v>192112.54032490891</v>
      </c>
      <c r="M78" s="302">
        <f t="shared" si="3"/>
        <v>194234.48480356025</v>
      </c>
      <c r="N78" s="302">
        <f t="shared" si="3"/>
        <v>196203.29926828831</v>
      </c>
      <c r="O78" s="302">
        <f t="shared" si="3"/>
        <v>197559.5936773232</v>
      </c>
      <c r="P78" s="302">
        <f t="shared" si="3"/>
        <v>198828.38522125903</v>
      </c>
      <c r="Q78" s="302">
        <f t="shared" si="3"/>
        <v>200031.54961637064</v>
      </c>
      <c r="R78" s="302">
        <f t="shared" si="3"/>
        <v>201147.21114638323</v>
      </c>
      <c r="S78" s="302">
        <f t="shared" si="3"/>
        <v>202197.2455275715</v>
      </c>
      <c r="T78" s="302">
        <f t="shared" si="3"/>
        <v>203203.52847621031</v>
      </c>
      <c r="U78" s="302">
        <f t="shared" si="3"/>
        <v>204144.18427602481</v>
      </c>
      <c r="V78" s="302">
        <f t="shared" si="3"/>
        <v>205019.21292701509</v>
      </c>
    </row>
    <row r="79" spans="1:22" ht="13" x14ac:dyDescent="0.15">
      <c r="A79" s="132" t="s">
        <v>26</v>
      </c>
      <c r="B79" s="132" t="s">
        <v>27</v>
      </c>
      <c r="C79" s="128">
        <v>1</v>
      </c>
      <c r="D79" s="133"/>
      <c r="E79" s="133"/>
      <c r="F79" s="331">
        <v>0</v>
      </c>
      <c r="G79" s="332">
        <f>F79*$C$79</f>
        <v>0</v>
      </c>
      <c r="H79" s="302">
        <f t="shared" ref="H79:I82" si="4">F79*12</f>
        <v>0</v>
      </c>
      <c r="I79" s="333">
        <f t="shared" si="4"/>
        <v>0</v>
      </c>
      <c r="J79" s="305">
        <f t="shared" ref="J79:V82" si="5">I79</f>
        <v>0</v>
      </c>
      <c r="K79" s="305">
        <f t="shared" si="5"/>
        <v>0</v>
      </c>
      <c r="L79" s="305">
        <f t="shared" si="5"/>
        <v>0</v>
      </c>
      <c r="M79" s="305">
        <f t="shared" si="5"/>
        <v>0</v>
      </c>
      <c r="N79" s="305">
        <f t="shared" si="5"/>
        <v>0</v>
      </c>
      <c r="O79" s="305">
        <f t="shared" si="5"/>
        <v>0</v>
      </c>
      <c r="P79" s="305">
        <f t="shared" si="5"/>
        <v>0</v>
      </c>
      <c r="Q79" s="305">
        <f t="shared" si="5"/>
        <v>0</v>
      </c>
      <c r="R79" s="305">
        <f t="shared" si="5"/>
        <v>0</v>
      </c>
      <c r="S79" s="305">
        <f t="shared" si="5"/>
        <v>0</v>
      </c>
      <c r="T79" s="305">
        <f t="shared" si="5"/>
        <v>0</v>
      </c>
      <c r="U79" s="305">
        <f t="shared" si="5"/>
        <v>0</v>
      </c>
      <c r="V79" s="305">
        <f t="shared" si="5"/>
        <v>0</v>
      </c>
    </row>
    <row r="80" spans="1:22" ht="13" x14ac:dyDescent="0.15">
      <c r="A80" s="132" t="s">
        <v>28</v>
      </c>
      <c r="B80" s="132" t="s">
        <v>27</v>
      </c>
      <c r="C80" s="128">
        <v>1.1499999999999999</v>
      </c>
      <c r="D80" s="133"/>
      <c r="E80" s="133"/>
      <c r="F80" s="331">
        <v>400</v>
      </c>
      <c r="G80" s="317">
        <f>F80*$C$80</f>
        <v>459.99999999999994</v>
      </c>
      <c r="H80" s="302">
        <f t="shared" si="4"/>
        <v>4800</v>
      </c>
      <c r="I80" s="333">
        <f t="shared" si="4"/>
        <v>5519.9999999999991</v>
      </c>
      <c r="J80" s="305">
        <f t="shared" ref="J80:V80" si="6">I80*$C$80</f>
        <v>6347.9999999999982</v>
      </c>
      <c r="K80" s="305">
        <f t="shared" si="6"/>
        <v>7300.1999999999971</v>
      </c>
      <c r="L80" s="305">
        <f t="shared" si="6"/>
        <v>8395.2299999999959</v>
      </c>
      <c r="M80" s="305">
        <f t="shared" si="6"/>
        <v>9654.5144999999939</v>
      </c>
      <c r="N80" s="305">
        <f t="shared" si="6"/>
        <v>11102.691674999993</v>
      </c>
      <c r="O80" s="305">
        <f t="shared" si="6"/>
        <v>12768.095426249991</v>
      </c>
      <c r="P80" s="305">
        <f t="shared" si="6"/>
        <v>14683.309740187487</v>
      </c>
      <c r="Q80" s="305">
        <f t="shared" si="6"/>
        <v>16885.806201215608</v>
      </c>
      <c r="R80" s="305">
        <f t="shared" si="6"/>
        <v>19418.677131397948</v>
      </c>
      <c r="S80" s="305">
        <f t="shared" si="6"/>
        <v>22331.478701107637</v>
      </c>
      <c r="T80" s="305">
        <f t="shared" si="6"/>
        <v>25681.200506273781</v>
      </c>
      <c r="U80" s="305">
        <f t="shared" si="6"/>
        <v>29533.380582214846</v>
      </c>
      <c r="V80" s="305">
        <f t="shared" si="6"/>
        <v>33963.387669547068</v>
      </c>
    </row>
    <row r="81" spans="1:22" ht="13" x14ac:dyDescent="0.15">
      <c r="A81" s="132" t="s">
        <v>29</v>
      </c>
      <c r="B81" s="132" t="s">
        <v>27</v>
      </c>
      <c r="C81" s="128">
        <v>1.1499999999999999</v>
      </c>
      <c r="D81" s="133"/>
      <c r="E81" s="133"/>
      <c r="F81" s="331">
        <v>0</v>
      </c>
      <c r="G81" s="317">
        <f>F81*$C$81</f>
        <v>0</v>
      </c>
      <c r="H81" s="302">
        <f t="shared" si="4"/>
        <v>0</v>
      </c>
      <c r="I81" s="333">
        <f t="shared" si="4"/>
        <v>0</v>
      </c>
      <c r="J81" s="305">
        <f t="shared" ref="J81:V81" si="7">I81*tourism_multiplier</f>
        <v>0</v>
      </c>
      <c r="K81" s="305">
        <f t="shared" si="7"/>
        <v>0</v>
      </c>
      <c r="L81" s="305">
        <f t="shared" si="7"/>
        <v>0</v>
      </c>
      <c r="M81" s="305">
        <f t="shared" si="7"/>
        <v>0</v>
      </c>
      <c r="N81" s="305">
        <f t="shared" si="7"/>
        <v>0</v>
      </c>
      <c r="O81" s="305">
        <f t="shared" si="7"/>
        <v>0</v>
      </c>
      <c r="P81" s="305">
        <f t="shared" si="7"/>
        <v>0</v>
      </c>
      <c r="Q81" s="305">
        <f t="shared" si="7"/>
        <v>0</v>
      </c>
      <c r="R81" s="305">
        <f t="shared" si="7"/>
        <v>0</v>
      </c>
      <c r="S81" s="305">
        <f t="shared" si="7"/>
        <v>0</v>
      </c>
      <c r="T81" s="305">
        <f t="shared" si="7"/>
        <v>0</v>
      </c>
      <c r="U81" s="305">
        <f t="shared" si="7"/>
        <v>0</v>
      </c>
      <c r="V81" s="305">
        <f t="shared" si="7"/>
        <v>0</v>
      </c>
    </row>
    <row r="82" spans="1:22" ht="13" x14ac:dyDescent="0.15">
      <c r="A82" s="132" t="s">
        <v>30</v>
      </c>
      <c r="B82" s="132" t="s">
        <v>27</v>
      </c>
      <c r="C82" s="128">
        <v>1</v>
      </c>
      <c r="D82" s="133"/>
      <c r="E82" s="133"/>
      <c r="F82" s="331">
        <v>0</v>
      </c>
      <c r="G82" s="317">
        <f>F82*$C$82</f>
        <v>0</v>
      </c>
      <c r="H82" s="302">
        <f t="shared" si="4"/>
        <v>0</v>
      </c>
      <c r="I82" s="333">
        <f t="shared" si="4"/>
        <v>0</v>
      </c>
      <c r="J82" s="305">
        <f t="shared" si="5"/>
        <v>0</v>
      </c>
      <c r="K82" s="305">
        <f t="shared" si="5"/>
        <v>0</v>
      </c>
      <c r="L82" s="305">
        <f t="shared" si="5"/>
        <v>0</v>
      </c>
      <c r="M82" s="305">
        <f t="shared" si="5"/>
        <v>0</v>
      </c>
      <c r="N82" s="305">
        <f t="shared" si="5"/>
        <v>0</v>
      </c>
      <c r="O82" s="305">
        <f t="shared" si="5"/>
        <v>0</v>
      </c>
      <c r="P82" s="305">
        <f t="shared" si="5"/>
        <v>0</v>
      </c>
      <c r="Q82" s="305">
        <f t="shared" si="5"/>
        <v>0</v>
      </c>
      <c r="R82" s="305">
        <f t="shared" si="5"/>
        <v>0</v>
      </c>
      <c r="S82" s="305">
        <f t="shared" si="5"/>
        <v>0</v>
      </c>
      <c r="T82" s="305">
        <f t="shared" si="5"/>
        <v>0</v>
      </c>
      <c r="U82" s="305">
        <f t="shared" si="5"/>
        <v>0</v>
      </c>
      <c r="V82" s="305">
        <f t="shared" si="5"/>
        <v>0</v>
      </c>
    </row>
    <row r="83" spans="1:22" ht="13" x14ac:dyDescent="0.15">
      <c r="A83" s="134" t="s">
        <v>519</v>
      </c>
      <c r="B83" s="175" t="s">
        <v>518</v>
      </c>
      <c r="C83" s="180"/>
      <c r="D83" s="133"/>
      <c r="E83" s="133"/>
      <c r="F83" s="176" t="s">
        <v>101</v>
      </c>
      <c r="G83" s="177" t="s">
        <v>101</v>
      </c>
      <c r="H83" s="334">
        <v>128000</v>
      </c>
      <c r="I83" s="335">
        <v>0</v>
      </c>
      <c r="J83" s="336">
        <v>0</v>
      </c>
      <c r="K83" s="336">
        <v>0</v>
      </c>
      <c r="L83" s="336">
        <v>0</v>
      </c>
      <c r="M83" s="336">
        <v>0</v>
      </c>
      <c r="N83" s="336">
        <v>0</v>
      </c>
      <c r="O83" s="336">
        <v>0</v>
      </c>
      <c r="P83" s="336">
        <v>0</v>
      </c>
      <c r="Q83" s="336">
        <v>0</v>
      </c>
      <c r="R83" s="336">
        <v>0</v>
      </c>
      <c r="S83" s="336">
        <v>0</v>
      </c>
      <c r="T83" s="336">
        <v>0</v>
      </c>
      <c r="U83" s="336">
        <v>0</v>
      </c>
      <c r="V83" s="336">
        <v>0</v>
      </c>
    </row>
    <row r="84" spans="1:22" ht="13" x14ac:dyDescent="0.15">
      <c r="A84" s="20" t="s">
        <v>43</v>
      </c>
      <c r="B84" s="131"/>
      <c r="C84" s="131"/>
      <c r="D84" s="131"/>
      <c r="E84" s="131"/>
      <c r="F84" s="306">
        <f>SUM(F78:F83)</f>
        <v>7895.1672886383421</v>
      </c>
      <c r="G84" s="306">
        <f>SUM(G78:G83)</f>
        <v>15774.824368685568</v>
      </c>
      <c r="H84" s="306">
        <f>SUM(H78:H82)</f>
        <v>94742.007463660106</v>
      </c>
      <c r="I84" s="306">
        <f>SUM(I78:I82)</f>
        <v>189297.8924242268</v>
      </c>
      <c r="J84" s="306">
        <f t="shared" ref="J84:V84" si="8">SUM(J78:J82)</f>
        <v>193626.0070281878</v>
      </c>
      <c r="K84" s="306">
        <f t="shared" si="8"/>
        <v>197093.91439978476</v>
      </c>
      <c r="L84" s="306">
        <f t="shared" si="8"/>
        <v>200507.7703249089</v>
      </c>
      <c r="M84" s="306">
        <f t="shared" si="8"/>
        <v>203888.99930356024</v>
      </c>
      <c r="N84" s="306">
        <f t="shared" si="8"/>
        <v>207305.99094328829</v>
      </c>
      <c r="O84" s="306">
        <f t="shared" si="8"/>
        <v>210327.68910357318</v>
      </c>
      <c r="P84" s="306">
        <f t="shared" si="8"/>
        <v>213511.69496144651</v>
      </c>
      <c r="Q84" s="306">
        <f t="shared" si="8"/>
        <v>216917.35581758624</v>
      </c>
      <c r="R84" s="306">
        <f t="shared" si="8"/>
        <v>220565.88827778117</v>
      </c>
      <c r="S84" s="306">
        <f t="shared" si="8"/>
        <v>224528.72422867914</v>
      </c>
      <c r="T84" s="306">
        <f t="shared" si="8"/>
        <v>228884.72898248408</v>
      </c>
      <c r="U84" s="306">
        <f t="shared" si="8"/>
        <v>233677.56485823967</v>
      </c>
      <c r="V84" s="306">
        <f t="shared" si="8"/>
        <v>238982.60059656214</v>
      </c>
    </row>
    <row r="85" spans="1:22" ht="13" x14ac:dyDescent="0.15">
      <c r="A85" s="133"/>
      <c r="B85" s="133"/>
      <c r="C85" s="133"/>
      <c r="D85" s="133"/>
      <c r="E85" s="133"/>
      <c r="F85" s="133"/>
      <c r="G85" s="133"/>
      <c r="H85" s="133"/>
      <c r="I85" s="133"/>
      <c r="J85" s="133"/>
      <c r="K85" s="133"/>
      <c r="L85" s="133"/>
      <c r="M85" s="133"/>
      <c r="N85" s="133"/>
      <c r="O85" s="133"/>
      <c r="P85" s="133"/>
      <c r="Q85" s="133"/>
      <c r="R85" s="133"/>
      <c r="S85" s="133"/>
      <c r="T85" s="133"/>
      <c r="U85" s="133"/>
      <c r="V85" s="133"/>
    </row>
    <row r="86" spans="1:22" ht="16" x14ac:dyDescent="0.2">
      <c r="A86" s="2" t="s">
        <v>291</v>
      </c>
      <c r="B86" s="133"/>
      <c r="C86" s="133"/>
      <c r="D86" s="133"/>
      <c r="E86" s="133"/>
      <c r="F86" s="111" t="s">
        <v>21</v>
      </c>
      <c r="G86" s="44" t="s">
        <v>493</v>
      </c>
      <c r="H86" s="111" t="s">
        <v>22</v>
      </c>
      <c r="I86" s="111" t="s">
        <v>23</v>
      </c>
      <c r="J86" s="111" t="s">
        <v>145</v>
      </c>
      <c r="K86" s="44" t="s">
        <v>146</v>
      </c>
      <c r="L86" s="44" t="s">
        <v>147</v>
      </c>
      <c r="M86" s="44" t="s">
        <v>148</v>
      </c>
      <c r="N86" s="44" t="s">
        <v>149</v>
      </c>
      <c r="O86" s="44" t="s">
        <v>150</v>
      </c>
      <c r="P86" s="44" t="s">
        <v>151</v>
      </c>
      <c r="Q86" s="44" t="s">
        <v>152</v>
      </c>
      <c r="R86" s="44" t="s">
        <v>153</v>
      </c>
      <c r="S86" s="44" t="s">
        <v>154</v>
      </c>
      <c r="T86" s="44" t="s">
        <v>155</v>
      </c>
      <c r="U86" s="44" t="s">
        <v>156</v>
      </c>
      <c r="V86" s="44" t="s">
        <v>157</v>
      </c>
    </row>
    <row r="87" spans="1:22" ht="13" x14ac:dyDescent="0.15">
      <c r="A87" s="132" t="s">
        <v>44</v>
      </c>
      <c r="B87" s="132" t="s">
        <v>45</v>
      </c>
      <c r="C87" s="133"/>
      <c r="D87" s="133"/>
      <c r="E87" s="133"/>
      <c r="F87" s="302">
        <f>F120</f>
        <v>1646.54</v>
      </c>
      <c r="G87" s="317">
        <f>I87/12</f>
        <v>3293.08</v>
      </c>
      <c r="H87" s="302">
        <f>H120</f>
        <v>19758.48</v>
      </c>
      <c r="I87" s="304">
        <f>I120</f>
        <v>39516.959999999999</v>
      </c>
      <c r="J87" s="305">
        <f>J120</f>
        <v>37541.112000000001</v>
      </c>
      <c r="K87" s="305">
        <f t="shared" ref="K87:V87" si="9">K120</f>
        <v>35664.056400000001</v>
      </c>
      <c r="L87" s="305">
        <f t="shared" si="9"/>
        <v>33880.853580000003</v>
      </c>
      <c r="M87" s="305">
        <f t="shared" si="9"/>
        <v>32186.810901000001</v>
      </c>
      <c r="N87" s="305">
        <f t="shared" si="9"/>
        <v>30577.470355949998</v>
      </c>
      <c r="O87" s="305">
        <f t="shared" si="9"/>
        <v>29048.596838152498</v>
      </c>
      <c r="P87" s="305">
        <f t="shared" si="9"/>
        <v>27596.166996244872</v>
      </c>
      <c r="Q87" s="305">
        <f t="shared" si="9"/>
        <v>26216.358646432629</v>
      </c>
      <c r="R87" s="305">
        <f t="shared" si="9"/>
        <v>24905.540714110997</v>
      </c>
      <c r="S87" s="305">
        <f t="shared" si="9"/>
        <v>23660.263678405445</v>
      </c>
      <c r="T87" s="305">
        <f t="shared" si="9"/>
        <v>22477.250494485172</v>
      </c>
      <c r="U87" s="305">
        <f t="shared" si="9"/>
        <v>21353.387969760912</v>
      </c>
      <c r="V87" s="305">
        <f t="shared" si="9"/>
        <v>20285.718571272864</v>
      </c>
    </row>
    <row r="88" spans="1:22" ht="13" x14ac:dyDescent="0.15">
      <c r="A88" s="132" t="s">
        <v>46</v>
      </c>
      <c r="B88" s="132" t="s">
        <v>47</v>
      </c>
      <c r="C88" s="133"/>
      <c r="D88" s="133"/>
      <c r="E88" s="133"/>
      <c r="F88" s="326">
        <f>VLOOKUP(growing_media, Consumables!A23:B26, 2, FALSE)*(SUM(H30:K30))</f>
        <v>84.702050625023986</v>
      </c>
      <c r="G88" s="317">
        <f>VLOOKUP(growing_media, Consumables!A23:B26, 2, FALSE)*(SUM(H31:K31))</f>
        <v>169.40410125004797</v>
      </c>
      <c r="H88" s="302">
        <f>F88*12</f>
        <v>1016.4246075002878</v>
      </c>
      <c r="I88" s="304">
        <f>H88*B22</f>
        <v>2032.8492150005757</v>
      </c>
      <c r="J88" s="305">
        <f t="shared" ref="J88:V92" si="10">I88</f>
        <v>2032.8492150005757</v>
      </c>
      <c r="K88" s="305">
        <f t="shared" si="10"/>
        <v>2032.8492150005757</v>
      </c>
      <c r="L88" s="305">
        <f t="shared" si="10"/>
        <v>2032.8492150005757</v>
      </c>
      <c r="M88" s="305">
        <f t="shared" si="10"/>
        <v>2032.8492150005757</v>
      </c>
      <c r="N88" s="305">
        <f t="shared" si="10"/>
        <v>2032.8492150005757</v>
      </c>
      <c r="O88" s="305">
        <f t="shared" si="10"/>
        <v>2032.8492150005757</v>
      </c>
      <c r="P88" s="305">
        <f t="shared" si="10"/>
        <v>2032.8492150005757</v>
      </c>
      <c r="Q88" s="305">
        <f t="shared" si="10"/>
        <v>2032.8492150005757</v>
      </c>
      <c r="R88" s="305">
        <f t="shared" si="10"/>
        <v>2032.8492150005757</v>
      </c>
      <c r="S88" s="305">
        <f t="shared" si="10"/>
        <v>2032.8492150005757</v>
      </c>
      <c r="T88" s="305">
        <f t="shared" si="10"/>
        <v>2032.8492150005757</v>
      </c>
      <c r="U88" s="305">
        <f t="shared" si="10"/>
        <v>2032.8492150005757</v>
      </c>
      <c r="V88" s="305">
        <f t="shared" si="10"/>
        <v>2032.8492150005757</v>
      </c>
    </row>
    <row r="89" spans="1:22" ht="13" x14ac:dyDescent="0.15">
      <c r="A89" s="132" t="s">
        <v>48</v>
      </c>
      <c r="B89" s="132" t="s">
        <v>49</v>
      </c>
      <c r="C89" s="133"/>
      <c r="D89" s="133"/>
      <c r="E89" s="133"/>
      <c r="F89" s="302">
        <f>packaging_cost_pilot*((F71/crop1_product_weight)+(m1_wa_yield_crop2/crop2_product_weight)+(m1_wa_yield_crop3/crop3_product_weight)+(m1_wa_yield_crop4/crop4_product_weight))</f>
        <v>1451.0520047699424</v>
      </c>
      <c r="G89" s="317">
        <f>I89/12</f>
        <v>1976.616464724518</v>
      </c>
      <c r="H89" s="302">
        <f>F89*12</f>
        <v>17412.624057239307</v>
      </c>
      <c r="I89" s="304">
        <f>packaging_cost_full*((y2_wa_yield_crop1/crop1_product_weight)+(y2_wa_yield_crop2/crop2_product_weight)+(y2_wa_yield_crop3/crop3_product_weight)+(y2_wa_yield_crop4/crop4_product_weight))</f>
        <v>23719.397576694217</v>
      </c>
      <c r="J89" s="327">
        <f>packaging_cost_full*((y3_wa_yield_crop1/crop1_product_weight)+(y3_wa_yield_crop2/crop2_product_weight)+(y3_wa_yield_crop3/crop3_product_weight)+(y3_wa_yield_crop4/crop4_product_weight))</f>
        <v>24171.141846694343</v>
      </c>
      <c r="K89" s="327">
        <f t="shared" ref="K89:V89" si="11">packaging_cost_full*((K71/crop1_product_weight)+(K72/crop2_product_weight)+(K73/crop3_product_weight)+(K74/crop4_product_weight))</f>
        <v>24495.833040756937</v>
      </c>
      <c r="L89" s="327">
        <f t="shared" si="11"/>
        <v>24795.113619632022</v>
      </c>
      <c r="M89" s="327">
        <f t="shared" si="11"/>
        <v>25068.983583319601</v>
      </c>
      <c r="N89" s="327">
        <f t="shared" si="11"/>
        <v>25323.089735194673</v>
      </c>
      <c r="O89" s="327">
        <f t="shared" si="11"/>
        <v>25498.140639819721</v>
      </c>
      <c r="P89" s="327">
        <f t="shared" si="11"/>
        <v>25661.897937694768</v>
      </c>
      <c r="Q89" s="327">
        <f t="shared" si="11"/>
        <v>25817.185030507309</v>
      </c>
      <c r="R89" s="327">
        <f t="shared" si="11"/>
        <v>25961.178516569853</v>
      </c>
      <c r="S89" s="327">
        <f t="shared" si="11"/>
        <v>26096.701797569891</v>
      </c>
      <c r="T89" s="327">
        <f t="shared" si="11"/>
        <v>26226.57827519493</v>
      </c>
      <c r="U89" s="327">
        <f t="shared" si="11"/>
        <v>26347.98454775746</v>
      </c>
      <c r="V89" s="327">
        <f t="shared" si="11"/>
        <v>26460.920615257495</v>
      </c>
    </row>
    <row r="90" spans="1:22" ht="13" x14ac:dyDescent="0.15">
      <c r="A90" s="132" t="s">
        <v>50</v>
      </c>
      <c r="B90" s="132" t="s">
        <v>51</v>
      </c>
      <c r="C90" s="133"/>
      <c r="D90" s="133"/>
      <c r="E90" s="133"/>
      <c r="F90" s="326">
        <f>(SUM(H32:K32)/0.25)-F88</f>
        <v>439.22815942667091</v>
      </c>
      <c r="G90" s="317">
        <f>(SUM(H33:K33)/0.25)-G88</f>
        <v>878.45631885334183</v>
      </c>
      <c r="H90" s="302">
        <f>F90*12</f>
        <v>5270.7379131200505</v>
      </c>
      <c r="I90" s="304">
        <f>G90*12</f>
        <v>10541.475826240101</v>
      </c>
      <c r="J90" s="305">
        <f t="shared" si="10"/>
        <v>10541.475826240101</v>
      </c>
      <c r="K90" s="305">
        <f t="shared" si="10"/>
        <v>10541.475826240101</v>
      </c>
      <c r="L90" s="305">
        <f t="shared" si="10"/>
        <v>10541.475826240101</v>
      </c>
      <c r="M90" s="305">
        <f t="shared" si="10"/>
        <v>10541.475826240101</v>
      </c>
      <c r="N90" s="305">
        <f t="shared" si="10"/>
        <v>10541.475826240101</v>
      </c>
      <c r="O90" s="305">
        <f t="shared" si="10"/>
        <v>10541.475826240101</v>
      </c>
      <c r="P90" s="305">
        <f t="shared" si="10"/>
        <v>10541.475826240101</v>
      </c>
      <c r="Q90" s="305">
        <f t="shared" si="10"/>
        <v>10541.475826240101</v>
      </c>
      <c r="R90" s="305">
        <f t="shared" si="10"/>
        <v>10541.475826240101</v>
      </c>
      <c r="S90" s="305">
        <f t="shared" si="10"/>
        <v>10541.475826240101</v>
      </c>
      <c r="T90" s="305">
        <f t="shared" si="10"/>
        <v>10541.475826240101</v>
      </c>
      <c r="U90" s="305">
        <f t="shared" si="10"/>
        <v>10541.475826240101</v>
      </c>
      <c r="V90" s="305">
        <f t="shared" si="10"/>
        <v>10541.475826240101</v>
      </c>
    </row>
    <row r="91" spans="1:22" ht="13" x14ac:dyDescent="0.15">
      <c r="A91" s="132" t="s">
        <v>52</v>
      </c>
      <c r="B91" s="132" t="s">
        <v>53</v>
      </c>
      <c r="C91" s="133"/>
      <c r="D91" s="133"/>
      <c r="E91" s="133"/>
      <c r="F91" s="328">
        <f>((C38*VLOOKUP(Overview!B38, Database!A109:X130, 6, FALSE)*L19*(365/12)/1000)+(B47*365/12))*B48</f>
        <v>777.85967941274998</v>
      </c>
      <c r="G91" s="317">
        <f>I91/12</f>
        <v>1326.5393594127502</v>
      </c>
      <c r="H91" s="302">
        <f>F91*12</f>
        <v>9334.3161529530007</v>
      </c>
      <c r="I91" s="304">
        <f>metric_energy*electricity_price</f>
        <v>15918.472312953001</v>
      </c>
      <c r="J91" s="305">
        <f>I91</f>
        <v>15918.472312953001</v>
      </c>
      <c r="K91" s="305">
        <f t="shared" si="10"/>
        <v>15918.472312953001</v>
      </c>
      <c r="L91" s="305">
        <f t="shared" si="10"/>
        <v>15918.472312953001</v>
      </c>
      <c r="M91" s="305">
        <f t="shared" si="10"/>
        <v>15918.472312953001</v>
      </c>
      <c r="N91" s="305">
        <f t="shared" si="10"/>
        <v>15918.472312953001</v>
      </c>
      <c r="O91" s="305">
        <f t="shared" si="10"/>
        <v>15918.472312953001</v>
      </c>
      <c r="P91" s="305">
        <f t="shared" si="10"/>
        <v>15918.472312953001</v>
      </c>
      <c r="Q91" s="305">
        <f t="shared" si="10"/>
        <v>15918.472312953001</v>
      </c>
      <c r="R91" s="305">
        <f t="shared" si="10"/>
        <v>15918.472312953001</v>
      </c>
      <c r="S91" s="305">
        <f t="shared" si="10"/>
        <v>15918.472312953001</v>
      </c>
      <c r="T91" s="305">
        <f t="shared" si="10"/>
        <v>15918.472312953001</v>
      </c>
      <c r="U91" s="305">
        <f t="shared" si="10"/>
        <v>15918.472312953001</v>
      </c>
      <c r="V91" s="305">
        <f t="shared" si="10"/>
        <v>15918.472312953001</v>
      </c>
    </row>
    <row r="92" spans="1:22" ht="13" x14ac:dyDescent="0.15">
      <c r="A92" s="132" t="s">
        <v>54</v>
      </c>
      <c r="B92" s="132" t="s">
        <v>53</v>
      </c>
      <c r="C92" s="133"/>
      <c r="D92" s="133"/>
      <c r="E92" s="133"/>
      <c r="F92" s="328">
        <f>(G52*B46)/12</f>
        <v>4.0705283333333329</v>
      </c>
      <c r="G92" s="317">
        <f>I92/12</f>
        <v>8.1410566666666657</v>
      </c>
      <c r="H92" s="302">
        <f>F92*12</f>
        <v>48.846339999999998</v>
      </c>
      <c r="I92" s="304">
        <f>H92*B22</f>
        <v>97.692679999999996</v>
      </c>
      <c r="J92" s="305">
        <f>I92</f>
        <v>97.692679999999996</v>
      </c>
      <c r="K92" s="305">
        <f t="shared" si="10"/>
        <v>97.692679999999996</v>
      </c>
      <c r="L92" s="305">
        <f t="shared" si="10"/>
        <v>97.692679999999996</v>
      </c>
      <c r="M92" s="305">
        <f t="shared" si="10"/>
        <v>97.692679999999996</v>
      </c>
      <c r="N92" s="305">
        <f t="shared" si="10"/>
        <v>97.692679999999996</v>
      </c>
      <c r="O92" s="305">
        <f t="shared" si="10"/>
        <v>97.692679999999996</v>
      </c>
      <c r="P92" s="305">
        <f t="shared" si="10"/>
        <v>97.692679999999996</v>
      </c>
      <c r="Q92" s="305">
        <f t="shared" si="10"/>
        <v>97.692679999999996</v>
      </c>
      <c r="R92" s="305">
        <f t="shared" si="10"/>
        <v>97.692679999999996</v>
      </c>
      <c r="S92" s="305">
        <f t="shared" si="10"/>
        <v>97.692679999999996</v>
      </c>
      <c r="T92" s="305">
        <f t="shared" si="10"/>
        <v>97.692679999999996</v>
      </c>
      <c r="U92" s="305">
        <f t="shared" si="10"/>
        <v>97.692679999999996</v>
      </c>
      <c r="V92" s="305">
        <f t="shared" si="10"/>
        <v>97.692679999999996</v>
      </c>
    </row>
    <row r="93" spans="1:22" ht="13" x14ac:dyDescent="0.15">
      <c r="A93" s="20" t="s">
        <v>55</v>
      </c>
      <c r="B93" s="21"/>
      <c r="C93" s="21"/>
      <c r="D93" s="21"/>
      <c r="E93" s="21"/>
      <c r="F93" s="306">
        <f>SUM(F87:F92)</f>
        <v>4403.4524225677214</v>
      </c>
      <c r="G93" s="329">
        <f>SUM(G87:G92)</f>
        <v>7652.2373009073244</v>
      </c>
      <c r="H93" s="306">
        <f t="shared" ref="H93:V93" si="12">SUM(H87:H92)</f>
        <v>52841.429070812643</v>
      </c>
      <c r="I93" s="306">
        <f>SUM(I87:I92)</f>
        <v>91826.847610887882</v>
      </c>
      <c r="J93" s="306">
        <f t="shared" si="12"/>
        <v>90302.743880888025</v>
      </c>
      <c r="K93" s="306">
        <f t="shared" si="12"/>
        <v>88750.37947495062</v>
      </c>
      <c r="L93" s="306">
        <f t="shared" si="12"/>
        <v>87266.457233825698</v>
      </c>
      <c r="M93" s="306">
        <f t="shared" si="12"/>
        <v>85846.284518513276</v>
      </c>
      <c r="N93" s="306">
        <f t="shared" si="12"/>
        <v>84491.050125338341</v>
      </c>
      <c r="O93" s="306">
        <f t="shared" si="12"/>
        <v>83137.227512165889</v>
      </c>
      <c r="P93" s="306">
        <f t="shared" si="12"/>
        <v>81848.554968133321</v>
      </c>
      <c r="Q93" s="306">
        <f t="shared" si="12"/>
        <v>80624.033711133612</v>
      </c>
      <c r="R93" s="306">
        <f t="shared" si="12"/>
        <v>79457.209264874517</v>
      </c>
      <c r="S93" s="306">
        <f t="shared" si="12"/>
        <v>78347.455510169006</v>
      </c>
      <c r="T93" s="306">
        <f t="shared" si="12"/>
        <v>77294.318803873772</v>
      </c>
      <c r="U93" s="306">
        <f t="shared" si="12"/>
        <v>76291.862551712038</v>
      </c>
      <c r="V93" s="306">
        <f t="shared" si="12"/>
        <v>75337.129220724033</v>
      </c>
    </row>
    <row r="94" spans="1:22" s="84" customFormat="1" ht="13" x14ac:dyDescent="0.15">
      <c r="A94" s="111"/>
      <c r="B94" s="111"/>
      <c r="C94" s="133"/>
      <c r="D94" s="133"/>
      <c r="E94" s="133"/>
      <c r="F94" s="22"/>
      <c r="G94" s="133"/>
      <c r="H94" s="22"/>
      <c r="I94" s="22"/>
      <c r="J94" s="133"/>
      <c r="K94" s="133"/>
      <c r="L94" s="133"/>
      <c r="M94" s="133"/>
      <c r="N94" s="133"/>
      <c r="O94" s="133"/>
      <c r="P94" s="133"/>
      <c r="Q94" s="133"/>
      <c r="R94" s="133"/>
      <c r="S94" s="133"/>
      <c r="T94" s="133"/>
      <c r="U94" s="133"/>
      <c r="V94" s="133"/>
    </row>
    <row r="95" spans="1:22" ht="13" x14ac:dyDescent="0.15">
      <c r="A95" s="20" t="s">
        <v>56</v>
      </c>
      <c r="B95" s="20"/>
      <c r="C95" s="131"/>
      <c r="D95" s="131"/>
      <c r="E95" s="131"/>
      <c r="F95" s="330">
        <f>F84-F93</f>
        <v>3491.7148660706207</v>
      </c>
      <c r="G95" s="330">
        <f>G84-G93</f>
        <v>8122.5870677782432</v>
      </c>
      <c r="H95" s="330">
        <f>H84-H93</f>
        <v>41900.578392847463</v>
      </c>
      <c r="I95" s="330">
        <f t="shared" ref="I95:V95" si="13">I84-I93</f>
        <v>97471.044813338915</v>
      </c>
      <c r="J95" s="330">
        <f t="shared" si="13"/>
        <v>103323.26314729977</v>
      </c>
      <c r="K95" s="330">
        <f t="shared" si="13"/>
        <v>108343.53492483414</v>
      </c>
      <c r="L95" s="330">
        <f t="shared" si="13"/>
        <v>113241.3130910832</v>
      </c>
      <c r="M95" s="330">
        <f t="shared" si="13"/>
        <v>118042.71478504696</v>
      </c>
      <c r="N95" s="330">
        <f t="shared" si="13"/>
        <v>122814.94081794994</v>
      </c>
      <c r="O95" s="330">
        <f t="shared" si="13"/>
        <v>127190.46159140729</v>
      </c>
      <c r="P95" s="330">
        <f t="shared" si="13"/>
        <v>131663.13999331318</v>
      </c>
      <c r="Q95" s="330">
        <f t="shared" si="13"/>
        <v>136293.32210645263</v>
      </c>
      <c r="R95" s="330">
        <f t="shared" si="13"/>
        <v>141108.67901290665</v>
      </c>
      <c r="S95" s="330">
        <f t="shared" si="13"/>
        <v>146181.26871851014</v>
      </c>
      <c r="T95" s="330">
        <f t="shared" si="13"/>
        <v>151590.4101786103</v>
      </c>
      <c r="U95" s="330">
        <f t="shared" si="13"/>
        <v>157385.70230652764</v>
      </c>
      <c r="V95" s="330">
        <f t="shared" si="13"/>
        <v>163645.4713758381</v>
      </c>
    </row>
    <row r="96" spans="1:22" ht="13" x14ac:dyDescent="0.15">
      <c r="A96" s="111"/>
      <c r="B96" s="111"/>
      <c r="C96" s="133"/>
      <c r="D96" s="133"/>
      <c r="E96" s="133"/>
      <c r="F96" s="111"/>
      <c r="G96" s="133"/>
      <c r="H96" s="111"/>
      <c r="I96" s="111"/>
      <c r="J96" s="133"/>
      <c r="K96" s="133"/>
      <c r="L96" s="133"/>
      <c r="M96" s="133"/>
      <c r="N96" s="133"/>
      <c r="O96" s="133"/>
      <c r="P96" s="133"/>
      <c r="Q96" s="133"/>
      <c r="R96" s="133"/>
      <c r="S96" s="133"/>
      <c r="T96" s="133"/>
      <c r="U96" s="133"/>
      <c r="V96" s="133"/>
    </row>
    <row r="97" spans="1:22" ht="16" x14ac:dyDescent="0.2">
      <c r="A97" s="2" t="s">
        <v>292</v>
      </c>
      <c r="B97" s="111"/>
      <c r="C97" s="133"/>
      <c r="D97" s="133"/>
      <c r="E97" s="133"/>
      <c r="F97" s="111" t="s">
        <v>21</v>
      </c>
      <c r="G97" s="44" t="s">
        <v>494</v>
      </c>
      <c r="H97" s="111" t="s">
        <v>22</v>
      </c>
      <c r="I97" s="111" t="s">
        <v>23</v>
      </c>
      <c r="J97" s="111" t="s">
        <v>145</v>
      </c>
      <c r="K97" s="44" t="s">
        <v>146</v>
      </c>
      <c r="L97" s="44" t="s">
        <v>147</v>
      </c>
      <c r="M97" s="44" t="s">
        <v>148</v>
      </c>
      <c r="N97" s="44" t="s">
        <v>149</v>
      </c>
      <c r="O97" s="44" t="s">
        <v>150</v>
      </c>
      <c r="P97" s="44" t="s">
        <v>151</v>
      </c>
      <c r="Q97" s="44" t="s">
        <v>152</v>
      </c>
      <c r="R97" s="44" t="s">
        <v>153</v>
      </c>
      <c r="S97" s="44" t="s">
        <v>154</v>
      </c>
      <c r="T97" s="44" t="s">
        <v>155</v>
      </c>
      <c r="U97" s="44" t="s">
        <v>156</v>
      </c>
      <c r="V97" s="44" t="s">
        <v>157</v>
      </c>
    </row>
    <row r="98" spans="1:22" s="26" customFormat="1" ht="13" x14ac:dyDescent="0.15">
      <c r="A98" s="132" t="s">
        <v>57</v>
      </c>
      <c r="B98" s="132"/>
      <c r="C98" s="133"/>
      <c r="D98" s="133"/>
      <c r="E98" s="133"/>
      <c r="F98" s="314">
        <v>0</v>
      </c>
      <c r="G98" s="315">
        <f>I98/12</f>
        <v>0</v>
      </c>
      <c r="H98" s="302">
        <f>F98*12</f>
        <v>0</v>
      </c>
      <c r="I98" s="304">
        <f>H98*B22</f>
        <v>0</v>
      </c>
      <c r="J98" s="305">
        <f>I98</f>
        <v>0</v>
      </c>
      <c r="K98" s="305">
        <f t="shared" ref="K98:V98" si="14">J98</f>
        <v>0</v>
      </c>
      <c r="L98" s="305">
        <f t="shared" si="14"/>
        <v>0</v>
      </c>
      <c r="M98" s="305">
        <f t="shared" si="14"/>
        <v>0</v>
      </c>
      <c r="N98" s="305">
        <f t="shared" si="14"/>
        <v>0</v>
      </c>
      <c r="O98" s="305">
        <f t="shared" si="14"/>
        <v>0</v>
      </c>
      <c r="P98" s="305">
        <f t="shared" si="14"/>
        <v>0</v>
      </c>
      <c r="Q98" s="305">
        <f t="shared" si="14"/>
        <v>0</v>
      </c>
      <c r="R98" s="305">
        <f t="shared" si="14"/>
        <v>0</v>
      </c>
      <c r="S98" s="305">
        <f t="shared" si="14"/>
        <v>0</v>
      </c>
      <c r="T98" s="305">
        <f t="shared" si="14"/>
        <v>0</v>
      </c>
      <c r="U98" s="305">
        <f t="shared" si="14"/>
        <v>0</v>
      </c>
      <c r="V98" s="305">
        <f t="shared" si="14"/>
        <v>0</v>
      </c>
    </row>
    <row r="99" spans="1:22" s="26" customFormat="1" ht="13" x14ac:dyDescent="0.15">
      <c r="A99" s="134" t="s">
        <v>293</v>
      </c>
      <c r="B99" s="132" t="s">
        <v>45</v>
      </c>
      <c r="C99" s="132"/>
      <c r="D99" s="133"/>
      <c r="E99" s="133"/>
      <c r="F99" s="316">
        <f>F130</f>
        <v>3037.5</v>
      </c>
      <c r="G99" s="317">
        <f>I99/12</f>
        <v>5610</v>
      </c>
      <c r="H99" s="302">
        <f>H130</f>
        <v>36450</v>
      </c>
      <c r="I99" s="304">
        <f>I130</f>
        <v>67320</v>
      </c>
      <c r="J99" s="305">
        <f>I99</f>
        <v>67320</v>
      </c>
      <c r="K99" s="305">
        <f t="shared" ref="K99:V99" si="15">J99</f>
        <v>67320</v>
      </c>
      <c r="L99" s="305">
        <f t="shared" si="15"/>
        <v>67320</v>
      </c>
      <c r="M99" s="305">
        <f t="shared" si="15"/>
        <v>67320</v>
      </c>
      <c r="N99" s="305">
        <f t="shared" si="15"/>
        <v>67320</v>
      </c>
      <c r="O99" s="305">
        <f t="shared" si="15"/>
        <v>67320</v>
      </c>
      <c r="P99" s="305">
        <f t="shared" si="15"/>
        <v>67320</v>
      </c>
      <c r="Q99" s="305">
        <f t="shared" si="15"/>
        <v>67320</v>
      </c>
      <c r="R99" s="305">
        <f t="shared" si="15"/>
        <v>67320</v>
      </c>
      <c r="S99" s="305">
        <f t="shared" si="15"/>
        <v>67320</v>
      </c>
      <c r="T99" s="305">
        <f t="shared" si="15"/>
        <v>67320</v>
      </c>
      <c r="U99" s="305">
        <f t="shared" si="15"/>
        <v>67320</v>
      </c>
      <c r="V99" s="305">
        <f t="shared" si="15"/>
        <v>67320</v>
      </c>
    </row>
    <row r="100" spans="1:22" s="26" customFormat="1" ht="13" x14ac:dyDescent="0.15">
      <c r="A100" s="134" t="s">
        <v>294</v>
      </c>
      <c r="B100" s="134" t="s">
        <v>297</v>
      </c>
      <c r="C100" s="133"/>
      <c r="D100" s="133"/>
      <c r="E100" s="133"/>
      <c r="F100" s="302">
        <f>F130*$B$26</f>
        <v>60.75</v>
      </c>
      <c r="G100" s="317">
        <f>I100/12</f>
        <v>112.2</v>
      </c>
      <c r="H100" s="302">
        <f>H130*B$26</f>
        <v>729</v>
      </c>
      <c r="I100" s="304">
        <f>I130*C$26</f>
        <v>1346.4</v>
      </c>
      <c r="J100" s="305">
        <f>I100</f>
        <v>1346.4</v>
      </c>
      <c r="K100" s="305">
        <f t="shared" ref="K100:V102" si="16">J100</f>
        <v>1346.4</v>
      </c>
      <c r="L100" s="305">
        <f t="shared" si="16"/>
        <v>1346.4</v>
      </c>
      <c r="M100" s="305">
        <f t="shared" si="16"/>
        <v>1346.4</v>
      </c>
      <c r="N100" s="305">
        <f t="shared" si="16"/>
        <v>1346.4</v>
      </c>
      <c r="O100" s="305">
        <f t="shared" si="16"/>
        <v>1346.4</v>
      </c>
      <c r="P100" s="305">
        <f t="shared" si="16"/>
        <v>1346.4</v>
      </c>
      <c r="Q100" s="305">
        <f t="shared" si="16"/>
        <v>1346.4</v>
      </c>
      <c r="R100" s="305">
        <f t="shared" si="16"/>
        <v>1346.4</v>
      </c>
      <c r="S100" s="305">
        <f t="shared" si="16"/>
        <v>1346.4</v>
      </c>
      <c r="T100" s="305">
        <f t="shared" si="16"/>
        <v>1346.4</v>
      </c>
      <c r="U100" s="305">
        <f t="shared" si="16"/>
        <v>1346.4</v>
      </c>
      <c r="V100" s="305">
        <f>U100</f>
        <v>1346.4</v>
      </c>
    </row>
    <row r="101" spans="1:22" ht="13" x14ac:dyDescent="0.15">
      <c r="A101" s="134" t="s">
        <v>295</v>
      </c>
      <c r="B101" s="134" t="s">
        <v>101</v>
      </c>
      <c r="C101" s="133"/>
      <c r="D101" s="133"/>
      <c r="E101" s="133"/>
      <c r="F101" s="318">
        <v>129.25</v>
      </c>
      <c r="G101" s="315">
        <v>129.25</v>
      </c>
      <c r="H101" s="319">
        <f>F101*12</f>
        <v>1551</v>
      </c>
      <c r="I101" s="319">
        <f>G101*12</f>
        <v>1551</v>
      </c>
      <c r="J101" s="305">
        <f>I101</f>
        <v>1551</v>
      </c>
      <c r="K101" s="305">
        <f t="shared" si="16"/>
        <v>1551</v>
      </c>
      <c r="L101" s="305">
        <f t="shared" si="16"/>
        <v>1551</v>
      </c>
      <c r="M101" s="305">
        <f t="shared" si="16"/>
        <v>1551</v>
      </c>
      <c r="N101" s="305">
        <f t="shared" si="16"/>
        <v>1551</v>
      </c>
      <c r="O101" s="305">
        <f t="shared" si="16"/>
        <v>1551</v>
      </c>
      <c r="P101" s="305">
        <f t="shared" si="16"/>
        <v>1551</v>
      </c>
      <c r="Q101" s="305">
        <f t="shared" si="16"/>
        <v>1551</v>
      </c>
      <c r="R101" s="305">
        <f t="shared" si="16"/>
        <v>1551</v>
      </c>
      <c r="S101" s="305">
        <f t="shared" si="16"/>
        <v>1551</v>
      </c>
      <c r="T101" s="305">
        <f t="shared" si="16"/>
        <v>1551</v>
      </c>
      <c r="U101" s="305">
        <f t="shared" si="16"/>
        <v>1551</v>
      </c>
      <c r="V101" s="305">
        <f t="shared" si="16"/>
        <v>1551</v>
      </c>
    </row>
    <row r="102" spans="1:22" ht="13" x14ac:dyDescent="0.15">
      <c r="A102" s="134" t="s">
        <v>296</v>
      </c>
      <c r="B102" s="134" t="s">
        <v>101</v>
      </c>
      <c r="C102" s="133"/>
      <c r="D102" s="133"/>
      <c r="E102" s="133"/>
      <c r="F102" s="424">
        <f>(K44+J44+I44+H44)*delivery_pilot</f>
        <v>1934.7360063599231</v>
      </c>
      <c r="G102" s="425">
        <f>(SUM(H45:K45)*delivery_full)</f>
        <v>2964.9246970867771</v>
      </c>
      <c r="H102" s="319">
        <f>F102*12</f>
        <v>23216.832076319079</v>
      </c>
      <c r="I102" s="319">
        <f>G102*12</f>
        <v>35579.096365041325</v>
      </c>
      <c r="J102" s="305">
        <f>I102</f>
        <v>35579.096365041325</v>
      </c>
      <c r="K102" s="305">
        <f t="shared" si="16"/>
        <v>35579.096365041325</v>
      </c>
      <c r="L102" s="305">
        <f t="shared" si="16"/>
        <v>35579.096365041325</v>
      </c>
      <c r="M102" s="305">
        <f t="shared" si="16"/>
        <v>35579.096365041325</v>
      </c>
      <c r="N102" s="305">
        <f t="shared" si="16"/>
        <v>35579.096365041325</v>
      </c>
      <c r="O102" s="305">
        <f t="shared" si="16"/>
        <v>35579.096365041325</v>
      </c>
      <c r="P102" s="305">
        <f t="shared" si="16"/>
        <v>35579.096365041325</v>
      </c>
      <c r="Q102" s="305">
        <f t="shared" si="16"/>
        <v>35579.096365041325</v>
      </c>
      <c r="R102" s="305">
        <f t="shared" si="16"/>
        <v>35579.096365041325</v>
      </c>
      <c r="S102" s="305">
        <f t="shared" si="16"/>
        <v>35579.096365041325</v>
      </c>
      <c r="T102" s="305">
        <f t="shared" si="16"/>
        <v>35579.096365041325</v>
      </c>
      <c r="U102" s="305">
        <f t="shared" si="16"/>
        <v>35579.096365041325</v>
      </c>
      <c r="V102" s="305">
        <f t="shared" si="16"/>
        <v>35579.096365041325</v>
      </c>
    </row>
    <row r="103" spans="1:22" ht="13" x14ac:dyDescent="0.15">
      <c r="A103" s="20" t="s">
        <v>58</v>
      </c>
      <c r="B103" s="131"/>
      <c r="C103" s="131"/>
      <c r="D103" s="131"/>
      <c r="E103" s="131"/>
      <c r="F103" s="306">
        <f t="shared" ref="F103:V103" si="17">SUM(F98:F102)</f>
        <v>5162.2360063599226</v>
      </c>
      <c r="G103" s="306">
        <f t="shared" si="17"/>
        <v>8816.374697086776</v>
      </c>
      <c r="H103" s="306">
        <f t="shared" si="17"/>
        <v>61946.832076319079</v>
      </c>
      <c r="I103" s="306">
        <f t="shared" si="17"/>
        <v>105796.49636504133</v>
      </c>
      <c r="J103" s="306">
        <f>SUM(J98:J102)</f>
        <v>105796.49636504133</v>
      </c>
      <c r="K103" s="306">
        <f t="shared" si="17"/>
        <v>105796.49636504133</v>
      </c>
      <c r="L103" s="306">
        <f t="shared" si="17"/>
        <v>105796.49636504133</v>
      </c>
      <c r="M103" s="306">
        <f t="shared" si="17"/>
        <v>105796.49636504133</v>
      </c>
      <c r="N103" s="306">
        <f t="shared" si="17"/>
        <v>105796.49636504133</v>
      </c>
      <c r="O103" s="306">
        <f t="shared" si="17"/>
        <v>105796.49636504133</v>
      </c>
      <c r="P103" s="306">
        <f t="shared" si="17"/>
        <v>105796.49636504133</v>
      </c>
      <c r="Q103" s="306">
        <f t="shared" si="17"/>
        <v>105796.49636504133</v>
      </c>
      <c r="R103" s="306">
        <f t="shared" si="17"/>
        <v>105796.49636504133</v>
      </c>
      <c r="S103" s="306">
        <f t="shared" si="17"/>
        <v>105796.49636504133</v>
      </c>
      <c r="T103" s="306">
        <f t="shared" si="17"/>
        <v>105796.49636504133</v>
      </c>
      <c r="U103" s="306">
        <f t="shared" si="17"/>
        <v>105796.49636504133</v>
      </c>
      <c r="V103" s="306">
        <f t="shared" si="17"/>
        <v>105796.49636504133</v>
      </c>
    </row>
    <row r="104" spans="1:22" ht="13" x14ac:dyDescent="0.15">
      <c r="A104" s="111"/>
      <c r="B104" s="111"/>
      <c r="C104" s="111"/>
      <c r="D104" s="133"/>
      <c r="E104" s="133"/>
      <c r="F104" s="36"/>
      <c r="G104" s="133"/>
      <c r="H104" s="36"/>
      <c r="I104" s="36"/>
      <c r="J104" s="133"/>
      <c r="K104" s="133"/>
      <c r="L104" s="133"/>
      <c r="M104" s="133"/>
      <c r="N104" s="133"/>
      <c r="O104" s="133"/>
      <c r="P104" s="133"/>
      <c r="Q104" s="133"/>
      <c r="R104" s="133"/>
      <c r="S104" s="133"/>
      <c r="T104" s="133"/>
      <c r="U104" s="133"/>
      <c r="V104" s="133"/>
    </row>
    <row r="105" spans="1:22" ht="13" x14ac:dyDescent="0.15">
      <c r="A105" s="20" t="s">
        <v>205</v>
      </c>
      <c r="B105" s="130"/>
      <c r="C105" s="131"/>
      <c r="D105" s="131"/>
      <c r="E105" s="131"/>
      <c r="F105" s="320">
        <f>F95-F103</f>
        <v>-1670.5211402893019</v>
      </c>
      <c r="G105" s="320">
        <f>G95-G103</f>
        <v>-693.78762930853281</v>
      </c>
      <c r="H105" s="320">
        <f>H95-H103</f>
        <v>-20046.253683471616</v>
      </c>
      <c r="I105" s="320">
        <f>I95-I103</f>
        <v>-8325.451551702412</v>
      </c>
      <c r="J105" s="320">
        <f t="shared" ref="J105:V105" si="18">J95-J103</f>
        <v>-2473.2332177415519</v>
      </c>
      <c r="K105" s="320">
        <f t="shared" si="18"/>
        <v>2547.0385597928107</v>
      </c>
      <c r="L105" s="320">
        <f t="shared" si="18"/>
        <v>7444.8167260418704</v>
      </c>
      <c r="M105" s="320">
        <f t="shared" si="18"/>
        <v>12246.218420005636</v>
      </c>
      <c r="N105" s="320">
        <f t="shared" si="18"/>
        <v>17018.444452908618</v>
      </c>
      <c r="O105" s="320">
        <f t="shared" si="18"/>
        <v>21393.965226365966</v>
      </c>
      <c r="P105" s="320">
        <f t="shared" si="18"/>
        <v>25866.64362827185</v>
      </c>
      <c r="Q105" s="320">
        <f t="shared" si="18"/>
        <v>30496.825741411303</v>
      </c>
      <c r="R105" s="320">
        <f t="shared" si="18"/>
        <v>35312.182647865324</v>
      </c>
      <c r="S105" s="320">
        <f t="shared" si="18"/>
        <v>40384.772353468812</v>
      </c>
      <c r="T105" s="320">
        <f t="shared" si="18"/>
        <v>45793.913813568972</v>
      </c>
      <c r="U105" s="320">
        <f t="shared" si="18"/>
        <v>51589.205941486318</v>
      </c>
      <c r="V105" s="320">
        <f t="shared" si="18"/>
        <v>57848.97501079677</v>
      </c>
    </row>
    <row r="106" spans="1:22" ht="13" x14ac:dyDescent="0.15">
      <c r="A106" s="133"/>
      <c r="B106" s="111"/>
      <c r="C106" s="111"/>
      <c r="D106" s="133"/>
      <c r="E106" s="133"/>
      <c r="F106" s="36"/>
      <c r="G106" s="133"/>
      <c r="H106" s="36"/>
      <c r="I106" s="36"/>
      <c r="J106" s="133"/>
      <c r="K106" s="133"/>
      <c r="L106" s="133"/>
      <c r="M106" s="133"/>
      <c r="N106" s="133"/>
      <c r="O106" s="133"/>
      <c r="P106" s="133"/>
      <c r="Q106" s="133"/>
      <c r="R106" s="133"/>
      <c r="S106" s="133"/>
      <c r="T106" s="133"/>
      <c r="U106" s="133"/>
      <c r="V106" s="133"/>
    </row>
    <row r="107" spans="1:22" ht="13" x14ac:dyDescent="0.15">
      <c r="A107" s="66" t="s">
        <v>212</v>
      </c>
      <c r="B107" s="67"/>
      <c r="C107" s="133"/>
      <c r="D107" s="133"/>
      <c r="E107" s="133"/>
      <c r="F107" s="305">
        <f>H107/12</f>
        <v>1555.3783660155361</v>
      </c>
      <c r="G107" s="305">
        <f>I107/12</f>
        <v>1555.3783660155361</v>
      </c>
      <c r="H107" s="311">
        <f>IF($B$60/H76&gt;=1,  (Overview!$B$59*Overview!$B$57)/(1-(1+Overview!$B$59)^(-Overview!$B$60)), 0)</f>
        <v>18664.540392186434</v>
      </c>
      <c r="I107" s="311">
        <f t="shared" ref="I107:V107" si="19">IF($B$60/I76&gt;=1, H107, 0)</f>
        <v>18664.540392186434</v>
      </c>
      <c r="J107" s="311">
        <f t="shared" si="19"/>
        <v>18664.540392186434</v>
      </c>
      <c r="K107" s="311">
        <f t="shared" si="19"/>
        <v>18664.540392186434</v>
      </c>
      <c r="L107" s="311">
        <f t="shared" si="19"/>
        <v>18664.540392186434</v>
      </c>
      <c r="M107" s="311">
        <f t="shared" si="19"/>
        <v>18664.540392186434</v>
      </c>
      <c r="N107" s="311">
        <f t="shared" si="19"/>
        <v>18664.540392186434</v>
      </c>
      <c r="O107" s="311">
        <f t="shared" si="19"/>
        <v>0</v>
      </c>
      <c r="P107" s="311">
        <f t="shared" si="19"/>
        <v>0</v>
      </c>
      <c r="Q107" s="311">
        <f t="shared" si="19"/>
        <v>0</v>
      </c>
      <c r="R107" s="311">
        <f t="shared" si="19"/>
        <v>0</v>
      </c>
      <c r="S107" s="311">
        <f t="shared" si="19"/>
        <v>0</v>
      </c>
      <c r="T107" s="311">
        <f t="shared" si="19"/>
        <v>0</v>
      </c>
      <c r="U107" s="311">
        <f t="shared" si="19"/>
        <v>0</v>
      </c>
      <c r="V107" s="311">
        <f t="shared" si="19"/>
        <v>0</v>
      </c>
    </row>
    <row r="108" spans="1:22" ht="13" x14ac:dyDescent="0.15">
      <c r="A108" s="69" t="s">
        <v>213</v>
      </c>
      <c r="B108" s="70"/>
      <c r="C108" s="133"/>
      <c r="D108" s="133"/>
      <c r="E108" s="133"/>
      <c r="F108" s="312">
        <f>-(Overview!$B$57)</f>
        <v>-108000</v>
      </c>
      <c r="G108" s="313">
        <f>H108</f>
        <v>-94735.459607813566</v>
      </c>
      <c r="H108" s="312">
        <f>F108+H107+(F108*$B$59)</f>
        <v>-94735.459607813566</v>
      </c>
      <c r="I108" s="312">
        <f t="shared" ref="I108:V108" si="20">H108+I107+(H108*$B$59)</f>
        <v>-80807.692196017815</v>
      </c>
      <c r="J108" s="312">
        <f t="shared" si="20"/>
        <v>-66183.536413632275</v>
      </c>
      <c r="K108" s="312">
        <f t="shared" si="20"/>
        <v>-50828.172842127453</v>
      </c>
      <c r="L108" s="312">
        <f t="shared" si="20"/>
        <v>-34705.041092047395</v>
      </c>
      <c r="M108" s="312">
        <f t="shared" si="20"/>
        <v>-17775.75275446333</v>
      </c>
      <c r="N108" s="312">
        <f t="shared" si="20"/>
        <v>-6.24140739091672E-11</v>
      </c>
      <c r="O108" s="312">
        <f t="shared" si="20"/>
        <v>-6.5534777604625566E-11</v>
      </c>
      <c r="P108" s="312">
        <f t="shared" si="20"/>
        <v>-6.8811516484856842E-11</v>
      </c>
      <c r="Q108" s="312">
        <f t="shared" si="20"/>
        <v>-7.225209230909969E-11</v>
      </c>
      <c r="R108" s="312">
        <f t="shared" si="20"/>
        <v>-7.5864696924554679E-11</v>
      </c>
      <c r="S108" s="312">
        <f t="shared" si="20"/>
        <v>-7.9657931770782418E-11</v>
      </c>
      <c r="T108" s="312">
        <f t="shared" si="20"/>
        <v>-8.364082835932154E-11</v>
      </c>
      <c r="U108" s="312">
        <f t="shared" si="20"/>
        <v>-8.782286977728762E-11</v>
      </c>
      <c r="V108" s="312">
        <f t="shared" si="20"/>
        <v>-9.2214013266151999E-11</v>
      </c>
    </row>
    <row r="109" spans="1:22" ht="13" x14ac:dyDescent="0.15">
      <c r="A109" s="74" t="s">
        <v>218</v>
      </c>
      <c r="B109" s="75"/>
      <c r="C109" s="64"/>
      <c r="D109" s="64"/>
      <c r="E109" s="64"/>
      <c r="F109" s="75"/>
      <c r="G109" s="133"/>
      <c r="H109" s="323">
        <f t="shared" ref="H109:V109" si="21">$B$58*H105</f>
        <v>0</v>
      </c>
      <c r="I109" s="323">
        <f t="shared" si="21"/>
        <v>0</v>
      </c>
      <c r="J109" s="323">
        <f t="shared" si="21"/>
        <v>0</v>
      </c>
      <c r="K109" s="323">
        <f t="shared" si="21"/>
        <v>0</v>
      </c>
      <c r="L109" s="323">
        <f t="shared" si="21"/>
        <v>0</v>
      </c>
      <c r="M109" s="323">
        <f t="shared" si="21"/>
        <v>0</v>
      </c>
      <c r="N109" s="323">
        <f t="shared" si="21"/>
        <v>0</v>
      </c>
      <c r="O109" s="323">
        <f t="shared" si="21"/>
        <v>0</v>
      </c>
      <c r="P109" s="323">
        <f t="shared" si="21"/>
        <v>0</v>
      </c>
      <c r="Q109" s="323">
        <f t="shared" si="21"/>
        <v>0</v>
      </c>
      <c r="R109" s="323">
        <f t="shared" si="21"/>
        <v>0</v>
      </c>
      <c r="S109" s="323">
        <f t="shared" si="21"/>
        <v>0</v>
      </c>
      <c r="T109" s="323">
        <f t="shared" si="21"/>
        <v>0</v>
      </c>
      <c r="U109" s="323">
        <f t="shared" si="21"/>
        <v>0</v>
      </c>
      <c r="V109" s="323">
        <f t="shared" si="21"/>
        <v>0</v>
      </c>
    </row>
    <row r="110" spans="1:22" ht="13" x14ac:dyDescent="0.15">
      <c r="A110" s="38" t="s">
        <v>290</v>
      </c>
      <c r="B110" s="111"/>
      <c r="C110" s="111"/>
      <c r="D110" s="133"/>
      <c r="E110" s="133"/>
      <c r="F110" s="310">
        <f ca="1">(H110/12)</f>
        <v>799.99795833333326</v>
      </c>
      <c r="G110" s="321">
        <f ca="1">I110/12</f>
        <v>1599.9959166666665</v>
      </c>
      <c r="H110" s="322">
        <f ca="1">('CapEx Breakdown'!$I$38)/B22</f>
        <v>9599.9754999999986</v>
      </c>
      <c r="I110" s="322">
        <f ca="1">'CapEx Breakdown'!$I$38</f>
        <v>19199.950999999997</v>
      </c>
      <c r="J110" s="322">
        <f ca="1">'CapEx Breakdown'!$I$38</f>
        <v>19199.950999999997</v>
      </c>
      <c r="K110" s="322">
        <f ca="1">'CapEx Breakdown'!$I$38</f>
        <v>19199.950999999997</v>
      </c>
      <c r="L110" s="322">
        <f ca="1">'CapEx Breakdown'!$I$38</f>
        <v>19199.950999999997</v>
      </c>
      <c r="M110" s="322">
        <f ca="1">'CapEx Breakdown'!$I$38</f>
        <v>19199.950999999997</v>
      </c>
      <c r="N110" s="322">
        <f ca="1">'CapEx Breakdown'!$I$38</f>
        <v>19199.950999999997</v>
      </c>
      <c r="O110" s="322">
        <f ca="1">'CapEx Breakdown'!$I$38</f>
        <v>19199.950999999997</v>
      </c>
      <c r="P110" s="322">
        <f ca="1">'CapEx Breakdown'!$I$38</f>
        <v>19199.950999999997</v>
      </c>
      <c r="Q110" s="322">
        <f ca="1">'CapEx Breakdown'!$I$38</f>
        <v>19199.950999999997</v>
      </c>
      <c r="R110" s="322">
        <f ca="1">'CapEx Breakdown'!$I$38</f>
        <v>19199.950999999997</v>
      </c>
      <c r="S110" s="322">
        <f ca="1">'CapEx Breakdown'!$I$38</f>
        <v>19199.950999999997</v>
      </c>
      <c r="T110" s="322">
        <f ca="1">'CapEx Breakdown'!$I$38</f>
        <v>19199.950999999997</v>
      </c>
      <c r="U110" s="322">
        <f ca="1">'CapEx Breakdown'!$I$38</f>
        <v>19199.950999999997</v>
      </c>
      <c r="V110" s="322">
        <f ca="1">'CapEx Breakdown'!$I$38</f>
        <v>19199.950999999997</v>
      </c>
    </row>
    <row r="111" spans="1:22" ht="13" x14ac:dyDescent="0.15">
      <c r="A111" s="111"/>
      <c r="B111" s="111"/>
      <c r="C111" s="111"/>
      <c r="D111" s="133"/>
      <c r="E111" s="133"/>
      <c r="F111" s="36"/>
      <c r="G111" s="133"/>
      <c r="H111" s="36"/>
      <c r="I111" s="36"/>
      <c r="J111" s="133"/>
      <c r="K111" s="133"/>
      <c r="L111" s="133"/>
      <c r="M111" s="133"/>
      <c r="N111" s="133"/>
      <c r="O111" s="133"/>
      <c r="P111" s="133"/>
      <c r="Q111" s="133"/>
      <c r="R111" s="133"/>
      <c r="S111" s="133"/>
      <c r="T111" s="133"/>
      <c r="U111" s="133"/>
      <c r="V111" s="133"/>
    </row>
    <row r="112" spans="1:22" ht="13" x14ac:dyDescent="0.15">
      <c r="A112" s="111" t="s">
        <v>204</v>
      </c>
      <c r="B112" s="111"/>
      <c r="C112" s="111"/>
      <c r="D112" s="133"/>
      <c r="E112" s="133"/>
      <c r="F112" s="310">
        <f>F105</f>
        <v>-1670.5211402893019</v>
      </c>
      <c r="G112" s="310">
        <f>G105</f>
        <v>-693.78762930853281</v>
      </c>
      <c r="H112" s="310">
        <f t="shared" ref="H112:V112" ca="1" si="22">H105-H109-H107-H110</f>
        <v>-48310.769575658051</v>
      </c>
      <c r="I112" s="310">
        <f t="shared" ca="1" si="22"/>
        <v>-46189.942943888847</v>
      </c>
      <c r="J112" s="310">
        <f t="shared" ca="1" si="22"/>
        <v>-40337.724609927987</v>
      </c>
      <c r="K112" s="310">
        <f t="shared" ca="1" si="22"/>
        <v>-35317.452832393625</v>
      </c>
      <c r="L112" s="310">
        <f t="shared" ca="1" si="22"/>
        <v>-30419.674666144561</v>
      </c>
      <c r="M112" s="310">
        <f t="shared" ca="1" si="22"/>
        <v>-25618.272972180795</v>
      </c>
      <c r="N112" s="310">
        <f t="shared" ca="1" si="22"/>
        <v>-20846.046939277814</v>
      </c>
      <c r="O112" s="310">
        <f t="shared" ca="1" si="22"/>
        <v>2194.0142263659691</v>
      </c>
      <c r="P112" s="310">
        <f t="shared" ca="1" si="22"/>
        <v>6666.6926282718523</v>
      </c>
      <c r="Q112" s="310">
        <f t="shared" ca="1" si="22"/>
        <v>11296.874741411306</v>
      </c>
      <c r="R112" s="310">
        <f t="shared" ca="1" si="22"/>
        <v>16112.231647865327</v>
      </c>
      <c r="S112" s="310">
        <f t="shared" ca="1" si="22"/>
        <v>21184.821353468815</v>
      </c>
      <c r="T112" s="310">
        <f t="shared" ca="1" si="22"/>
        <v>26593.962813568975</v>
      </c>
      <c r="U112" s="310">
        <f t="shared" ca="1" si="22"/>
        <v>32389.254941486321</v>
      </c>
      <c r="V112" s="310">
        <f t="shared" ca="1" si="22"/>
        <v>38649.024010796769</v>
      </c>
    </row>
    <row r="113" spans="1:22" ht="13" x14ac:dyDescent="0.15">
      <c r="A113" s="111"/>
      <c r="B113" s="111"/>
      <c r="C113" s="111"/>
      <c r="D113" s="133"/>
      <c r="E113" s="133"/>
      <c r="F113" s="111"/>
      <c r="G113" s="133"/>
      <c r="H113" s="111"/>
      <c r="I113" s="111"/>
      <c r="J113" s="133"/>
      <c r="K113" s="133"/>
      <c r="L113" s="133"/>
      <c r="M113" s="133"/>
      <c r="N113" s="133"/>
      <c r="O113" s="133"/>
      <c r="P113" s="133"/>
      <c r="Q113" s="133"/>
      <c r="R113" s="133"/>
      <c r="S113" s="133"/>
      <c r="T113" s="133"/>
      <c r="U113" s="133"/>
      <c r="V113" s="133"/>
    </row>
    <row r="114" spans="1:22" ht="13" x14ac:dyDescent="0.15">
      <c r="A114" s="23" t="s">
        <v>59</v>
      </c>
      <c r="B114" s="23"/>
      <c r="C114" s="23"/>
      <c r="D114" s="24"/>
      <c r="E114" s="24"/>
      <c r="F114" s="23"/>
      <c r="G114" s="23"/>
      <c r="H114" s="23"/>
      <c r="I114" s="23"/>
      <c r="J114" s="133"/>
      <c r="K114" s="133"/>
      <c r="L114" s="133"/>
      <c r="M114" s="133"/>
      <c r="N114" s="133"/>
      <c r="O114" s="133"/>
      <c r="P114" s="133"/>
      <c r="Q114" s="133"/>
      <c r="R114" s="133"/>
      <c r="S114" s="133"/>
      <c r="T114" s="133"/>
      <c r="U114" s="133"/>
      <c r="V114" s="133"/>
    </row>
    <row r="115" spans="1:22" ht="13" x14ac:dyDescent="0.15">
      <c r="A115" s="111"/>
      <c r="B115" s="111"/>
      <c r="C115" s="111"/>
      <c r="D115" s="133"/>
      <c r="E115" s="133"/>
      <c r="F115" s="111"/>
      <c r="G115" s="133"/>
      <c r="H115" s="111"/>
      <c r="I115" s="111"/>
      <c r="J115" s="133"/>
      <c r="K115" s="133"/>
      <c r="L115" s="133"/>
      <c r="M115" s="133"/>
      <c r="N115" s="133"/>
      <c r="O115" s="133"/>
      <c r="P115" s="133"/>
      <c r="Q115" s="133"/>
      <c r="R115" s="133"/>
      <c r="S115" s="133"/>
      <c r="T115" s="133"/>
      <c r="U115" s="133"/>
      <c r="V115" s="133"/>
    </row>
    <row r="116" spans="1:22" ht="13" x14ac:dyDescent="0.15">
      <c r="A116" s="111" t="s">
        <v>496</v>
      </c>
      <c r="B116" s="111" t="s">
        <v>60</v>
      </c>
      <c r="C116" s="111" t="s">
        <v>61</v>
      </c>
      <c r="D116" s="133"/>
      <c r="E116" s="133"/>
      <c r="F116" s="111" t="s">
        <v>21</v>
      </c>
      <c r="G116" s="111" t="s">
        <v>494</v>
      </c>
      <c r="H116" s="111" t="s">
        <v>22</v>
      </c>
      <c r="I116" s="111" t="s">
        <v>23</v>
      </c>
      <c r="J116" s="111" t="s">
        <v>145</v>
      </c>
      <c r="K116" s="44" t="s">
        <v>146</v>
      </c>
      <c r="L116" s="44" t="s">
        <v>147</v>
      </c>
      <c r="M116" s="44" t="s">
        <v>148</v>
      </c>
      <c r="N116" s="44" t="s">
        <v>149</v>
      </c>
      <c r="O116" s="44" t="s">
        <v>150</v>
      </c>
      <c r="P116" s="44" t="s">
        <v>151</v>
      </c>
      <c r="Q116" s="44" t="s">
        <v>152</v>
      </c>
      <c r="R116" s="44" t="s">
        <v>153</v>
      </c>
      <c r="S116" s="44" t="s">
        <v>154</v>
      </c>
      <c r="T116" s="44" t="s">
        <v>155</v>
      </c>
      <c r="U116" s="44" t="s">
        <v>156</v>
      </c>
      <c r="V116" s="44" t="s">
        <v>157</v>
      </c>
    </row>
    <row r="117" spans="1:22" ht="13" x14ac:dyDescent="0.15">
      <c r="A117" s="132" t="s">
        <v>62</v>
      </c>
      <c r="B117" s="309">
        <v>1500</v>
      </c>
      <c r="C117" s="302">
        <f>B117*12</f>
        <v>18000</v>
      </c>
      <c r="D117" s="35"/>
      <c r="E117" s="35"/>
      <c r="F117" s="302">
        <f>F139*B117</f>
        <v>0</v>
      </c>
      <c r="G117" s="303">
        <f>G139*B117</f>
        <v>0</v>
      </c>
      <c r="H117" s="302">
        <f>F139*$C117</f>
        <v>0</v>
      </c>
      <c r="I117" s="304">
        <f>G139*$C117</f>
        <v>0</v>
      </c>
      <c r="J117" s="305">
        <f>I117</f>
        <v>0</v>
      </c>
      <c r="K117" s="305">
        <f t="shared" ref="K117:Q117" si="23">J117</f>
        <v>0</v>
      </c>
      <c r="L117" s="305">
        <f t="shared" si="23"/>
        <v>0</v>
      </c>
      <c r="M117" s="305">
        <f t="shared" si="23"/>
        <v>0</v>
      </c>
      <c r="N117" s="305">
        <f t="shared" si="23"/>
        <v>0</v>
      </c>
      <c r="O117" s="305">
        <f t="shared" si="23"/>
        <v>0</v>
      </c>
      <c r="P117" s="305">
        <f t="shared" si="23"/>
        <v>0</v>
      </c>
      <c r="Q117" s="305">
        <f t="shared" si="23"/>
        <v>0</v>
      </c>
      <c r="R117" s="305">
        <f t="shared" ref="R117:V118" si="24">Q117</f>
        <v>0</v>
      </c>
      <c r="S117" s="305">
        <f t="shared" si="24"/>
        <v>0</v>
      </c>
      <c r="T117" s="305">
        <f t="shared" si="24"/>
        <v>0</v>
      </c>
      <c r="U117" s="305">
        <f t="shared" si="24"/>
        <v>0</v>
      </c>
      <c r="V117" s="305">
        <f t="shared" si="24"/>
        <v>0</v>
      </c>
    </row>
    <row r="118" spans="1:22" ht="15.75" customHeight="1" x14ac:dyDescent="0.15">
      <c r="A118" s="132" t="s">
        <v>63</v>
      </c>
      <c r="B118" s="309">
        <v>1500</v>
      </c>
      <c r="C118" s="302">
        <f>B118*12</f>
        <v>18000</v>
      </c>
      <c r="D118" s="35"/>
      <c r="E118" s="35"/>
      <c r="F118" s="302">
        <f>F140*B118</f>
        <v>0</v>
      </c>
      <c r="G118" s="303">
        <f>G140*B118</f>
        <v>0</v>
      </c>
      <c r="H118" s="302">
        <f>F140*$C118</f>
        <v>0</v>
      </c>
      <c r="I118" s="304">
        <f>G140*$C118</f>
        <v>0</v>
      </c>
      <c r="J118" s="305">
        <f>I118</f>
        <v>0</v>
      </c>
      <c r="K118" s="305">
        <f t="shared" ref="K118:Q118" si="25">J118</f>
        <v>0</v>
      </c>
      <c r="L118" s="305">
        <f t="shared" si="25"/>
        <v>0</v>
      </c>
      <c r="M118" s="305">
        <f t="shared" si="25"/>
        <v>0</v>
      </c>
      <c r="N118" s="305">
        <f t="shared" si="25"/>
        <v>0</v>
      </c>
      <c r="O118" s="305">
        <f t="shared" si="25"/>
        <v>0</v>
      </c>
      <c r="P118" s="305">
        <f t="shared" si="25"/>
        <v>0</v>
      </c>
      <c r="Q118" s="305">
        <f t="shared" si="25"/>
        <v>0</v>
      </c>
      <c r="R118" s="305">
        <f t="shared" si="24"/>
        <v>0</v>
      </c>
      <c r="S118" s="305">
        <f t="shared" si="24"/>
        <v>0</v>
      </c>
      <c r="T118" s="305">
        <f t="shared" si="24"/>
        <v>0</v>
      </c>
      <c r="U118" s="305">
        <f t="shared" si="24"/>
        <v>0</v>
      </c>
      <c r="V118" s="305">
        <f t="shared" si="24"/>
        <v>0</v>
      </c>
    </row>
    <row r="119" spans="1:22" s="188" customFormat="1" ht="15.75" customHeight="1" x14ac:dyDescent="0.15">
      <c r="A119" s="134" t="s">
        <v>991</v>
      </c>
      <c r="B119" s="420">
        <v>9.5</v>
      </c>
      <c r="C119" s="302"/>
      <c r="D119" s="35"/>
      <c r="E119" s="35"/>
      <c r="F119" s="302">
        <f>F142*part</f>
        <v>1646.54</v>
      </c>
      <c r="G119" s="303">
        <f>parttime_count_y2*part</f>
        <v>3293.08</v>
      </c>
      <c r="H119" s="302">
        <f>F119*12</f>
        <v>19758.48</v>
      </c>
      <c r="I119" s="304">
        <f>G119*12</f>
        <v>39516.959999999999</v>
      </c>
      <c r="J119" s="305">
        <f t="shared" ref="J119:V119" si="26">I119*(1-labour_improvement)</f>
        <v>37541.112000000001</v>
      </c>
      <c r="K119" s="305">
        <f t="shared" si="26"/>
        <v>35664.056400000001</v>
      </c>
      <c r="L119" s="305">
        <f t="shared" si="26"/>
        <v>33880.853580000003</v>
      </c>
      <c r="M119" s="305">
        <f t="shared" si="26"/>
        <v>32186.810901000001</v>
      </c>
      <c r="N119" s="305">
        <f t="shared" si="26"/>
        <v>30577.470355949998</v>
      </c>
      <c r="O119" s="305">
        <f t="shared" si="26"/>
        <v>29048.596838152498</v>
      </c>
      <c r="P119" s="305">
        <f t="shared" si="26"/>
        <v>27596.166996244872</v>
      </c>
      <c r="Q119" s="305">
        <f t="shared" si="26"/>
        <v>26216.358646432629</v>
      </c>
      <c r="R119" s="305">
        <f t="shared" si="26"/>
        <v>24905.540714110997</v>
      </c>
      <c r="S119" s="305">
        <f t="shared" si="26"/>
        <v>23660.263678405445</v>
      </c>
      <c r="T119" s="305">
        <f t="shared" si="26"/>
        <v>22477.250494485172</v>
      </c>
      <c r="U119" s="305">
        <f t="shared" si="26"/>
        <v>21353.387969760912</v>
      </c>
      <c r="V119" s="305">
        <f t="shared" si="26"/>
        <v>20285.718571272864</v>
      </c>
    </row>
    <row r="120" spans="1:22" ht="13" x14ac:dyDescent="0.15">
      <c r="A120" s="20" t="s">
        <v>64</v>
      </c>
      <c r="B120" s="37"/>
      <c r="C120" s="37"/>
      <c r="D120" s="37"/>
      <c r="E120" s="37"/>
      <c r="F120" s="306">
        <f>H120/12</f>
        <v>1646.54</v>
      </c>
      <c r="G120" s="306">
        <f>I120/12</f>
        <v>3293.08</v>
      </c>
      <c r="H120" s="306">
        <f>SUM(H116:H119)</f>
        <v>19758.48</v>
      </c>
      <c r="I120" s="307">
        <f>SUM(I116:I119)</f>
        <v>39516.959999999999</v>
      </c>
      <c r="J120" s="308">
        <f>SUM(J116:J119)</f>
        <v>37541.112000000001</v>
      </c>
      <c r="K120" s="308">
        <f t="shared" ref="K120:V120" si="27">SUM(K116:K119)</f>
        <v>35664.056400000001</v>
      </c>
      <c r="L120" s="308">
        <f t="shared" si="27"/>
        <v>33880.853580000003</v>
      </c>
      <c r="M120" s="308">
        <f t="shared" si="27"/>
        <v>32186.810901000001</v>
      </c>
      <c r="N120" s="308">
        <f t="shared" si="27"/>
        <v>30577.470355949998</v>
      </c>
      <c r="O120" s="308">
        <f t="shared" si="27"/>
        <v>29048.596838152498</v>
      </c>
      <c r="P120" s="308">
        <f t="shared" si="27"/>
        <v>27596.166996244872</v>
      </c>
      <c r="Q120" s="308">
        <f t="shared" si="27"/>
        <v>26216.358646432629</v>
      </c>
      <c r="R120" s="308">
        <f t="shared" si="27"/>
        <v>24905.540714110997</v>
      </c>
      <c r="S120" s="308">
        <f t="shared" si="27"/>
        <v>23660.263678405445</v>
      </c>
      <c r="T120" s="308">
        <f t="shared" si="27"/>
        <v>22477.250494485172</v>
      </c>
      <c r="U120" s="308">
        <f t="shared" si="27"/>
        <v>21353.387969760912</v>
      </c>
      <c r="V120" s="308">
        <f t="shared" si="27"/>
        <v>20285.718571272864</v>
      </c>
    </row>
    <row r="121" spans="1:22" ht="13" x14ac:dyDescent="0.15">
      <c r="A121" s="111"/>
      <c r="B121" s="111"/>
      <c r="C121" s="111"/>
      <c r="D121" s="133"/>
      <c r="E121" s="133"/>
      <c r="F121" s="111"/>
      <c r="G121" s="133"/>
      <c r="H121" s="111"/>
      <c r="I121" s="111"/>
      <c r="J121" s="133"/>
      <c r="K121" s="133"/>
      <c r="L121" s="133"/>
      <c r="M121" s="133"/>
      <c r="N121" s="133"/>
      <c r="O121" s="133"/>
      <c r="P121" s="133"/>
      <c r="Q121" s="133"/>
      <c r="R121" s="133"/>
      <c r="S121" s="133"/>
      <c r="T121" s="133"/>
      <c r="U121" s="133"/>
      <c r="V121" s="133"/>
    </row>
    <row r="122" spans="1:22" ht="13" x14ac:dyDescent="0.15">
      <c r="A122" s="111" t="s">
        <v>497</v>
      </c>
      <c r="B122" s="111" t="s">
        <v>60</v>
      </c>
      <c r="C122" s="111" t="s">
        <v>61</v>
      </c>
      <c r="D122" s="133"/>
      <c r="E122" s="133"/>
      <c r="F122" s="111"/>
      <c r="G122" s="111"/>
      <c r="H122" s="111" t="s">
        <v>22</v>
      </c>
      <c r="I122" s="111" t="s">
        <v>23</v>
      </c>
      <c r="J122" s="111" t="s">
        <v>145</v>
      </c>
      <c r="K122" s="44" t="s">
        <v>146</v>
      </c>
      <c r="L122" s="44" t="s">
        <v>147</v>
      </c>
      <c r="M122" s="44" t="s">
        <v>148</v>
      </c>
      <c r="N122" s="44" t="s">
        <v>149</v>
      </c>
      <c r="O122" s="44" t="s">
        <v>150</v>
      </c>
      <c r="P122" s="44" t="s">
        <v>151</v>
      </c>
      <c r="Q122" s="44" t="s">
        <v>152</v>
      </c>
      <c r="R122" s="44" t="s">
        <v>153</v>
      </c>
      <c r="S122" s="44" t="s">
        <v>154</v>
      </c>
      <c r="T122" s="44" t="s">
        <v>155</v>
      </c>
      <c r="U122" s="44" t="s">
        <v>156</v>
      </c>
      <c r="V122" s="44" t="s">
        <v>157</v>
      </c>
    </row>
    <row r="123" spans="1:22" ht="13" x14ac:dyDescent="0.15">
      <c r="A123" s="134" t="s">
        <v>65</v>
      </c>
      <c r="B123" s="309">
        <v>2025</v>
      </c>
      <c r="C123" s="302">
        <f>B123*12</f>
        <v>24300</v>
      </c>
      <c r="D123" s="35"/>
      <c r="E123" s="35"/>
      <c r="F123" s="129" t="s">
        <v>101</v>
      </c>
      <c r="G123" s="129" t="s">
        <v>101</v>
      </c>
      <c r="H123" s="302">
        <f t="shared" ref="H123:I128" si="28">F133*$C123</f>
        <v>0</v>
      </c>
      <c r="I123" s="304">
        <f t="shared" si="28"/>
        <v>0</v>
      </c>
      <c r="J123" s="305">
        <f>I123</f>
        <v>0</v>
      </c>
      <c r="K123" s="305">
        <f t="shared" ref="K123:Q123" si="29">J123</f>
        <v>0</v>
      </c>
      <c r="L123" s="305">
        <f t="shared" si="29"/>
        <v>0</v>
      </c>
      <c r="M123" s="305">
        <f t="shared" si="29"/>
        <v>0</v>
      </c>
      <c r="N123" s="305">
        <f t="shared" si="29"/>
        <v>0</v>
      </c>
      <c r="O123" s="305">
        <f t="shared" si="29"/>
        <v>0</v>
      </c>
      <c r="P123" s="305">
        <f t="shared" si="29"/>
        <v>0</v>
      </c>
      <c r="Q123" s="305">
        <f t="shared" si="29"/>
        <v>0</v>
      </c>
      <c r="R123" s="305">
        <f t="shared" ref="R123:V129" si="30">Q123</f>
        <v>0</v>
      </c>
      <c r="S123" s="305">
        <f t="shared" si="30"/>
        <v>0</v>
      </c>
      <c r="T123" s="305">
        <f t="shared" si="30"/>
        <v>0</v>
      </c>
      <c r="U123" s="305">
        <f t="shared" si="30"/>
        <v>0</v>
      </c>
      <c r="V123" s="305">
        <f t="shared" si="30"/>
        <v>0</v>
      </c>
    </row>
    <row r="124" spans="1:22" ht="13" x14ac:dyDescent="0.15">
      <c r="A124" s="132" t="s">
        <v>66</v>
      </c>
      <c r="B124" s="309">
        <v>1560</v>
      </c>
      <c r="C124" s="302">
        <f t="shared" ref="C124:C129" si="31">B124*12</f>
        <v>18720</v>
      </c>
      <c r="D124" s="35"/>
      <c r="E124" s="35"/>
      <c r="F124" s="129" t="s">
        <v>101</v>
      </c>
      <c r="G124" s="129" t="s">
        <v>101</v>
      </c>
      <c r="H124" s="302">
        <f t="shared" si="28"/>
        <v>0</v>
      </c>
      <c r="I124" s="304">
        <f t="shared" si="28"/>
        <v>18720</v>
      </c>
      <c r="J124" s="305">
        <f t="shared" ref="J124:Q129" si="32">I124</f>
        <v>18720</v>
      </c>
      <c r="K124" s="305">
        <f t="shared" si="32"/>
        <v>18720</v>
      </c>
      <c r="L124" s="305">
        <f t="shared" si="32"/>
        <v>18720</v>
      </c>
      <c r="M124" s="305">
        <f t="shared" si="32"/>
        <v>18720</v>
      </c>
      <c r="N124" s="305">
        <f t="shared" si="32"/>
        <v>18720</v>
      </c>
      <c r="O124" s="305">
        <f t="shared" si="32"/>
        <v>18720</v>
      </c>
      <c r="P124" s="305">
        <f t="shared" si="32"/>
        <v>18720</v>
      </c>
      <c r="Q124" s="305">
        <f t="shared" si="32"/>
        <v>18720</v>
      </c>
      <c r="R124" s="305">
        <f t="shared" si="30"/>
        <v>18720</v>
      </c>
      <c r="S124" s="305">
        <f t="shared" si="30"/>
        <v>18720</v>
      </c>
      <c r="T124" s="305">
        <f t="shared" si="30"/>
        <v>18720</v>
      </c>
      <c r="U124" s="305">
        <f t="shared" si="30"/>
        <v>18720</v>
      </c>
      <c r="V124" s="305">
        <f t="shared" si="30"/>
        <v>18720</v>
      </c>
    </row>
    <row r="125" spans="1:22" ht="13" x14ac:dyDescent="0.15">
      <c r="A125" s="134" t="s">
        <v>67</v>
      </c>
      <c r="B125" s="309">
        <v>2025</v>
      </c>
      <c r="C125" s="302">
        <f t="shared" si="31"/>
        <v>24300</v>
      </c>
      <c r="D125" s="35"/>
      <c r="E125" s="35"/>
      <c r="F125" s="129" t="s">
        <v>101</v>
      </c>
      <c r="G125" s="129" t="s">
        <v>101</v>
      </c>
      <c r="H125" s="302">
        <f t="shared" si="28"/>
        <v>12150</v>
      </c>
      <c r="I125" s="304">
        <f t="shared" si="28"/>
        <v>24300</v>
      </c>
      <c r="J125" s="305">
        <f t="shared" si="32"/>
        <v>24300</v>
      </c>
      <c r="K125" s="305">
        <f t="shared" si="32"/>
        <v>24300</v>
      </c>
      <c r="L125" s="305">
        <f t="shared" si="32"/>
        <v>24300</v>
      </c>
      <c r="M125" s="305">
        <f t="shared" si="32"/>
        <v>24300</v>
      </c>
      <c r="N125" s="305">
        <f t="shared" si="32"/>
        <v>24300</v>
      </c>
      <c r="O125" s="305">
        <f t="shared" si="32"/>
        <v>24300</v>
      </c>
      <c r="P125" s="305">
        <f t="shared" si="32"/>
        <v>24300</v>
      </c>
      <c r="Q125" s="305">
        <f t="shared" si="32"/>
        <v>24300</v>
      </c>
      <c r="R125" s="305">
        <f t="shared" si="30"/>
        <v>24300</v>
      </c>
      <c r="S125" s="305">
        <f t="shared" si="30"/>
        <v>24300</v>
      </c>
      <c r="T125" s="305">
        <f t="shared" si="30"/>
        <v>24300</v>
      </c>
      <c r="U125" s="305">
        <f t="shared" si="30"/>
        <v>24300</v>
      </c>
      <c r="V125" s="305">
        <f t="shared" si="30"/>
        <v>24300</v>
      </c>
    </row>
    <row r="126" spans="1:22" ht="13" x14ac:dyDescent="0.15">
      <c r="A126" s="132" t="s">
        <v>68</v>
      </c>
      <c r="B126" s="309">
        <v>2025</v>
      </c>
      <c r="C126" s="302">
        <f>B126*12</f>
        <v>24300</v>
      </c>
      <c r="D126" s="35"/>
      <c r="E126" s="35"/>
      <c r="F126" s="129" t="s">
        <v>101</v>
      </c>
      <c r="G126" s="129" t="s">
        <v>101</v>
      </c>
      <c r="H126" s="302">
        <f t="shared" si="28"/>
        <v>0</v>
      </c>
      <c r="I126" s="304">
        <f t="shared" si="28"/>
        <v>0</v>
      </c>
      <c r="J126" s="305">
        <f t="shared" si="32"/>
        <v>0</v>
      </c>
      <c r="K126" s="305">
        <f t="shared" si="32"/>
        <v>0</v>
      </c>
      <c r="L126" s="305">
        <f t="shared" si="32"/>
        <v>0</v>
      </c>
      <c r="M126" s="305">
        <f t="shared" si="32"/>
        <v>0</v>
      </c>
      <c r="N126" s="305">
        <f t="shared" si="32"/>
        <v>0</v>
      </c>
      <c r="O126" s="305">
        <f t="shared" si="32"/>
        <v>0</v>
      </c>
      <c r="P126" s="305">
        <f t="shared" si="32"/>
        <v>0</v>
      </c>
      <c r="Q126" s="305">
        <f t="shared" si="32"/>
        <v>0</v>
      </c>
      <c r="R126" s="305">
        <f t="shared" si="30"/>
        <v>0</v>
      </c>
      <c r="S126" s="305">
        <f t="shared" si="30"/>
        <v>0</v>
      </c>
      <c r="T126" s="305">
        <f t="shared" si="30"/>
        <v>0</v>
      </c>
      <c r="U126" s="305">
        <f t="shared" si="30"/>
        <v>0</v>
      </c>
      <c r="V126" s="305">
        <f t="shared" si="30"/>
        <v>0</v>
      </c>
    </row>
    <row r="127" spans="1:22" ht="13" x14ac:dyDescent="0.15">
      <c r="A127" s="132" t="s">
        <v>69</v>
      </c>
      <c r="B127" s="309">
        <v>1560</v>
      </c>
      <c r="C127" s="302">
        <f t="shared" si="31"/>
        <v>18720</v>
      </c>
      <c r="D127" s="35"/>
      <c r="E127" s="35"/>
      <c r="F127" s="129" t="s">
        <v>101</v>
      </c>
      <c r="G127" s="129" t="s">
        <v>101</v>
      </c>
      <c r="H127" s="302">
        <f t="shared" si="28"/>
        <v>0</v>
      </c>
      <c r="I127" s="304">
        <f t="shared" si="28"/>
        <v>0</v>
      </c>
      <c r="J127" s="305">
        <f t="shared" si="32"/>
        <v>0</v>
      </c>
      <c r="K127" s="305">
        <f t="shared" si="32"/>
        <v>0</v>
      </c>
      <c r="L127" s="305">
        <f t="shared" si="32"/>
        <v>0</v>
      </c>
      <c r="M127" s="305">
        <f t="shared" si="32"/>
        <v>0</v>
      </c>
      <c r="N127" s="305">
        <f t="shared" si="32"/>
        <v>0</v>
      </c>
      <c r="O127" s="305">
        <f t="shared" si="32"/>
        <v>0</v>
      </c>
      <c r="P127" s="305">
        <f t="shared" si="32"/>
        <v>0</v>
      </c>
      <c r="Q127" s="305">
        <f t="shared" si="32"/>
        <v>0</v>
      </c>
      <c r="R127" s="305">
        <f t="shared" si="30"/>
        <v>0</v>
      </c>
      <c r="S127" s="305">
        <f t="shared" si="30"/>
        <v>0</v>
      </c>
      <c r="T127" s="305">
        <f t="shared" si="30"/>
        <v>0</v>
      </c>
      <c r="U127" s="305">
        <f t="shared" si="30"/>
        <v>0</v>
      </c>
      <c r="V127" s="305">
        <f t="shared" si="30"/>
        <v>0</v>
      </c>
    </row>
    <row r="128" spans="1:22" s="138" customFormat="1" ht="13" x14ac:dyDescent="0.15">
      <c r="A128" s="134" t="s">
        <v>517</v>
      </c>
      <c r="B128" s="309">
        <v>2025</v>
      </c>
      <c r="C128" s="302">
        <f t="shared" si="31"/>
        <v>24300</v>
      </c>
      <c r="D128" s="35"/>
      <c r="E128" s="35"/>
      <c r="F128" s="129" t="s">
        <v>101</v>
      </c>
      <c r="G128" s="129" t="s">
        <v>101</v>
      </c>
      <c r="H128" s="302">
        <f t="shared" si="28"/>
        <v>24300</v>
      </c>
      <c r="I128" s="304">
        <f t="shared" si="28"/>
        <v>24300</v>
      </c>
      <c r="J128" s="305">
        <f>I128</f>
        <v>24300</v>
      </c>
      <c r="K128" s="305">
        <f t="shared" si="32"/>
        <v>24300</v>
      </c>
      <c r="L128" s="305">
        <f t="shared" si="32"/>
        <v>24300</v>
      </c>
      <c r="M128" s="305">
        <f t="shared" si="32"/>
        <v>24300</v>
      </c>
      <c r="N128" s="305">
        <f t="shared" si="32"/>
        <v>24300</v>
      </c>
      <c r="O128" s="305">
        <f t="shared" si="32"/>
        <v>24300</v>
      </c>
      <c r="P128" s="305">
        <f t="shared" si="32"/>
        <v>24300</v>
      </c>
      <c r="Q128" s="305">
        <f t="shared" si="32"/>
        <v>24300</v>
      </c>
      <c r="R128" s="305">
        <f t="shared" si="30"/>
        <v>24300</v>
      </c>
      <c r="S128" s="305">
        <f t="shared" si="30"/>
        <v>24300</v>
      </c>
      <c r="T128" s="305">
        <f t="shared" si="30"/>
        <v>24300</v>
      </c>
      <c r="U128" s="305">
        <f t="shared" si="30"/>
        <v>24300</v>
      </c>
      <c r="V128" s="305">
        <f t="shared" si="30"/>
        <v>24300</v>
      </c>
    </row>
    <row r="129" spans="1:22" ht="13" x14ac:dyDescent="0.15">
      <c r="A129" s="134" t="s">
        <v>516</v>
      </c>
      <c r="B129" s="309">
        <v>624</v>
      </c>
      <c r="C129" s="302">
        <f t="shared" si="31"/>
        <v>7488</v>
      </c>
      <c r="D129" s="35"/>
      <c r="E129" s="35"/>
      <c r="F129" s="129" t="s">
        <v>101</v>
      </c>
      <c r="G129" s="129" t="s">
        <v>101</v>
      </c>
      <c r="H129" s="302">
        <f>F141*$C129</f>
        <v>0</v>
      </c>
      <c r="I129" s="304">
        <f>G141*$C129</f>
        <v>0</v>
      </c>
      <c r="J129" s="305">
        <f t="shared" si="32"/>
        <v>0</v>
      </c>
      <c r="K129" s="305">
        <f t="shared" si="32"/>
        <v>0</v>
      </c>
      <c r="L129" s="305">
        <f t="shared" si="32"/>
        <v>0</v>
      </c>
      <c r="M129" s="305">
        <f t="shared" si="32"/>
        <v>0</v>
      </c>
      <c r="N129" s="305">
        <f t="shared" si="32"/>
        <v>0</v>
      </c>
      <c r="O129" s="305">
        <f t="shared" si="32"/>
        <v>0</v>
      </c>
      <c r="P129" s="305">
        <f t="shared" si="32"/>
        <v>0</v>
      </c>
      <c r="Q129" s="305">
        <f t="shared" si="32"/>
        <v>0</v>
      </c>
      <c r="R129" s="305">
        <f t="shared" si="30"/>
        <v>0</v>
      </c>
      <c r="S129" s="305">
        <f t="shared" si="30"/>
        <v>0</v>
      </c>
      <c r="T129" s="305">
        <f t="shared" si="30"/>
        <v>0</v>
      </c>
      <c r="U129" s="305">
        <f t="shared" si="30"/>
        <v>0</v>
      </c>
      <c r="V129" s="305">
        <f t="shared" si="30"/>
        <v>0</v>
      </c>
    </row>
    <row r="130" spans="1:22" ht="13" x14ac:dyDescent="0.15">
      <c r="A130" s="20" t="s">
        <v>64</v>
      </c>
      <c r="B130" s="37"/>
      <c r="C130" s="37"/>
      <c r="D130" s="37"/>
      <c r="E130" s="37"/>
      <c r="F130" s="306">
        <f>H130/12</f>
        <v>3037.5</v>
      </c>
      <c r="G130" s="306">
        <f>I130/12</f>
        <v>5610</v>
      </c>
      <c r="H130" s="306">
        <f t="shared" ref="H130:V130" si="33">SUM(H123:H129)</f>
        <v>36450</v>
      </c>
      <c r="I130" s="307">
        <f t="shared" si="33"/>
        <v>67320</v>
      </c>
      <c r="J130" s="308">
        <f t="shared" si="33"/>
        <v>67320</v>
      </c>
      <c r="K130" s="308">
        <f t="shared" si="33"/>
        <v>67320</v>
      </c>
      <c r="L130" s="308">
        <f t="shared" si="33"/>
        <v>67320</v>
      </c>
      <c r="M130" s="308">
        <f t="shared" si="33"/>
        <v>67320</v>
      </c>
      <c r="N130" s="308">
        <f t="shared" si="33"/>
        <v>67320</v>
      </c>
      <c r="O130" s="308">
        <f t="shared" si="33"/>
        <v>67320</v>
      </c>
      <c r="P130" s="308">
        <f t="shared" si="33"/>
        <v>67320</v>
      </c>
      <c r="Q130" s="308">
        <f t="shared" si="33"/>
        <v>67320</v>
      </c>
      <c r="R130" s="308">
        <f t="shared" si="33"/>
        <v>67320</v>
      </c>
      <c r="S130" s="308">
        <f t="shared" si="33"/>
        <v>67320</v>
      </c>
      <c r="T130" s="308">
        <f t="shared" si="33"/>
        <v>67320</v>
      </c>
      <c r="U130" s="308">
        <f t="shared" si="33"/>
        <v>67320</v>
      </c>
      <c r="V130" s="308">
        <f t="shared" si="33"/>
        <v>67320</v>
      </c>
    </row>
    <row r="131" spans="1:22" ht="15.75" customHeight="1" x14ac:dyDescent="0.1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row>
    <row r="132" spans="1:22" ht="15.75" customHeight="1" x14ac:dyDescent="0.15">
      <c r="A132" s="111" t="s">
        <v>495</v>
      </c>
      <c r="B132" s="111"/>
      <c r="C132" s="133"/>
      <c r="D132" s="133"/>
      <c r="E132" s="133"/>
      <c r="F132" s="111" t="s">
        <v>22</v>
      </c>
      <c r="G132" s="111" t="s">
        <v>23</v>
      </c>
      <c r="H132" s="111" t="s">
        <v>145</v>
      </c>
      <c r="I132" s="44" t="s">
        <v>146</v>
      </c>
      <c r="J132" s="44" t="s">
        <v>147</v>
      </c>
      <c r="K132" s="44" t="s">
        <v>148</v>
      </c>
      <c r="L132" s="44" t="s">
        <v>149</v>
      </c>
      <c r="M132" s="44" t="s">
        <v>150</v>
      </c>
      <c r="N132" s="44" t="s">
        <v>151</v>
      </c>
      <c r="O132" s="44" t="s">
        <v>152</v>
      </c>
      <c r="P132" s="44" t="s">
        <v>153</v>
      </c>
      <c r="Q132" s="44" t="s">
        <v>154</v>
      </c>
      <c r="R132" s="44" t="s">
        <v>155</v>
      </c>
      <c r="S132" s="44" t="s">
        <v>156</v>
      </c>
      <c r="T132" s="44" t="s">
        <v>157</v>
      </c>
      <c r="U132" s="133"/>
      <c r="V132" s="133"/>
    </row>
    <row r="133" spans="1:22" ht="15.75" customHeight="1" x14ac:dyDescent="0.15">
      <c r="A133" s="132" t="s">
        <v>65</v>
      </c>
      <c r="B133" s="133"/>
      <c r="C133" s="133"/>
      <c r="D133" s="133"/>
      <c r="E133" s="133"/>
      <c r="F133" s="102">
        <v>0</v>
      </c>
      <c r="G133" s="27">
        <v>0</v>
      </c>
      <c r="H133" s="133">
        <f>G133</f>
        <v>0</v>
      </c>
      <c r="I133" s="133">
        <f t="shared" ref="I133:O133" si="34">H133</f>
        <v>0</v>
      </c>
      <c r="J133" s="133">
        <f t="shared" si="34"/>
        <v>0</v>
      </c>
      <c r="K133" s="133">
        <f t="shared" si="34"/>
        <v>0</v>
      </c>
      <c r="L133" s="133">
        <f t="shared" si="34"/>
        <v>0</v>
      </c>
      <c r="M133" s="133">
        <f t="shared" si="34"/>
        <v>0</v>
      </c>
      <c r="N133" s="133">
        <f t="shared" si="34"/>
        <v>0</v>
      </c>
      <c r="O133" s="133">
        <f t="shared" si="34"/>
        <v>0</v>
      </c>
      <c r="P133" s="133">
        <f t="shared" ref="P133:T142" si="35">O133</f>
        <v>0</v>
      </c>
      <c r="Q133" s="133">
        <f t="shared" si="35"/>
        <v>0</v>
      </c>
      <c r="R133" s="133">
        <f t="shared" si="35"/>
        <v>0</v>
      </c>
      <c r="S133" s="133">
        <f t="shared" si="35"/>
        <v>0</v>
      </c>
      <c r="T133" s="133">
        <f t="shared" si="35"/>
        <v>0</v>
      </c>
      <c r="U133" s="133"/>
      <c r="V133" s="133"/>
    </row>
    <row r="134" spans="1:22" ht="15.75" customHeight="1" x14ac:dyDescent="0.15">
      <c r="A134" s="134" t="s">
        <v>66</v>
      </c>
      <c r="B134" s="133"/>
      <c r="C134" s="133"/>
      <c r="D134" s="133"/>
      <c r="E134" s="133"/>
      <c r="F134" s="102">
        <v>0</v>
      </c>
      <c r="G134" s="27">
        <v>1</v>
      </c>
      <c r="H134" s="133">
        <f t="shared" ref="H134:O142" si="36">G134</f>
        <v>1</v>
      </c>
      <c r="I134" s="133">
        <f t="shared" si="36"/>
        <v>1</v>
      </c>
      <c r="J134" s="133">
        <f t="shared" si="36"/>
        <v>1</v>
      </c>
      <c r="K134" s="133">
        <f t="shared" si="36"/>
        <v>1</v>
      </c>
      <c r="L134" s="133">
        <f t="shared" si="36"/>
        <v>1</v>
      </c>
      <c r="M134" s="133">
        <f t="shared" si="36"/>
        <v>1</v>
      </c>
      <c r="N134" s="133">
        <f t="shared" si="36"/>
        <v>1</v>
      </c>
      <c r="O134" s="133">
        <f t="shared" si="36"/>
        <v>1</v>
      </c>
      <c r="P134" s="133">
        <f t="shared" si="35"/>
        <v>1</v>
      </c>
      <c r="Q134" s="133">
        <f t="shared" si="35"/>
        <v>1</v>
      </c>
      <c r="R134" s="133">
        <f t="shared" si="35"/>
        <v>1</v>
      </c>
      <c r="S134" s="133">
        <f t="shared" si="35"/>
        <v>1</v>
      </c>
      <c r="T134" s="133">
        <f t="shared" si="35"/>
        <v>1</v>
      </c>
      <c r="U134" s="133"/>
      <c r="V134" s="133"/>
    </row>
    <row r="135" spans="1:22" ht="15.75" customHeight="1" x14ac:dyDescent="0.15">
      <c r="A135" s="134" t="s">
        <v>67</v>
      </c>
      <c r="B135" s="133"/>
      <c r="C135" s="133"/>
      <c r="D135" s="133"/>
      <c r="E135" s="133"/>
      <c r="F135" s="102">
        <v>0.5</v>
      </c>
      <c r="G135" s="27">
        <v>1</v>
      </c>
      <c r="H135" s="133">
        <f t="shared" si="36"/>
        <v>1</v>
      </c>
      <c r="I135" s="133">
        <f t="shared" si="36"/>
        <v>1</v>
      </c>
      <c r="J135" s="133">
        <f t="shared" si="36"/>
        <v>1</v>
      </c>
      <c r="K135" s="133">
        <f t="shared" si="36"/>
        <v>1</v>
      </c>
      <c r="L135" s="133">
        <f t="shared" si="36"/>
        <v>1</v>
      </c>
      <c r="M135" s="133">
        <f t="shared" si="36"/>
        <v>1</v>
      </c>
      <c r="N135" s="133">
        <f t="shared" si="36"/>
        <v>1</v>
      </c>
      <c r="O135" s="133">
        <f t="shared" si="36"/>
        <v>1</v>
      </c>
      <c r="P135" s="133">
        <f t="shared" si="35"/>
        <v>1</v>
      </c>
      <c r="Q135" s="133">
        <f t="shared" si="35"/>
        <v>1</v>
      </c>
      <c r="R135" s="133">
        <f t="shared" si="35"/>
        <v>1</v>
      </c>
      <c r="S135" s="133">
        <f t="shared" si="35"/>
        <v>1</v>
      </c>
      <c r="T135" s="133">
        <f t="shared" si="35"/>
        <v>1</v>
      </c>
      <c r="U135" s="133"/>
      <c r="V135" s="133"/>
    </row>
    <row r="136" spans="1:22" ht="15.75" customHeight="1" x14ac:dyDescent="0.15">
      <c r="A136" s="134" t="s">
        <v>68</v>
      </c>
      <c r="B136" s="133"/>
      <c r="C136" s="133"/>
      <c r="D136" s="133"/>
      <c r="E136" s="133"/>
      <c r="F136" s="102">
        <v>0</v>
      </c>
      <c r="G136" s="27">
        <v>0</v>
      </c>
      <c r="H136" s="133">
        <f t="shared" si="36"/>
        <v>0</v>
      </c>
      <c r="I136" s="133">
        <f t="shared" si="36"/>
        <v>0</v>
      </c>
      <c r="J136" s="133">
        <f t="shared" si="36"/>
        <v>0</v>
      </c>
      <c r="K136" s="133">
        <f t="shared" si="36"/>
        <v>0</v>
      </c>
      <c r="L136" s="133">
        <f t="shared" si="36"/>
        <v>0</v>
      </c>
      <c r="M136" s="133">
        <f t="shared" si="36"/>
        <v>0</v>
      </c>
      <c r="N136" s="133">
        <f t="shared" si="36"/>
        <v>0</v>
      </c>
      <c r="O136" s="133">
        <f t="shared" si="36"/>
        <v>0</v>
      </c>
      <c r="P136" s="133">
        <f t="shared" si="35"/>
        <v>0</v>
      </c>
      <c r="Q136" s="133">
        <f t="shared" si="35"/>
        <v>0</v>
      </c>
      <c r="R136" s="133">
        <f t="shared" si="35"/>
        <v>0</v>
      </c>
      <c r="S136" s="133">
        <f t="shared" si="35"/>
        <v>0</v>
      </c>
      <c r="T136" s="133">
        <f t="shared" si="35"/>
        <v>0</v>
      </c>
      <c r="U136" s="133"/>
      <c r="V136" s="133"/>
    </row>
    <row r="137" spans="1:22" ht="15.75" customHeight="1" x14ac:dyDescent="0.15">
      <c r="A137" s="134" t="s">
        <v>69</v>
      </c>
      <c r="B137" s="133"/>
      <c r="C137" s="133"/>
      <c r="D137" s="133"/>
      <c r="E137" s="133"/>
      <c r="F137" s="102">
        <v>0</v>
      </c>
      <c r="G137" s="27">
        <v>0</v>
      </c>
      <c r="H137" s="133">
        <f t="shared" si="36"/>
        <v>0</v>
      </c>
      <c r="I137" s="133">
        <f t="shared" si="36"/>
        <v>0</v>
      </c>
      <c r="J137" s="133">
        <f t="shared" si="36"/>
        <v>0</v>
      </c>
      <c r="K137" s="133">
        <f t="shared" si="36"/>
        <v>0</v>
      </c>
      <c r="L137" s="133">
        <f t="shared" si="36"/>
        <v>0</v>
      </c>
      <c r="M137" s="133">
        <f t="shared" si="36"/>
        <v>0</v>
      </c>
      <c r="N137" s="133">
        <f t="shared" si="36"/>
        <v>0</v>
      </c>
      <c r="O137" s="133">
        <f t="shared" si="36"/>
        <v>0</v>
      </c>
      <c r="P137" s="133">
        <f t="shared" si="35"/>
        <v>0</v>
      </c>
      <c r="Q137" s="133">
        <f t="shared" si="35"/>
        <v>0</v>
      </c>
      <c r="R137" s="133">
        <f t="shared" si="35"/>
        <v>0</v>
      </c>
      <c r="S137" s="133">
        <f t="shared" si="35"/>
        <v>0</v>
      </c>
      <c r="T137" s="133">
        <f t="shared" si="35"/>
        <v>0</v>
      </c>
      <c r="U137" s="133"/>
      <c r="V137" s="133"/>
    </row>
    <row r="138" spans="1:22" s="138" customFormat="1" ht="15.75" customHeight="1" x14ac:dyDescent="0.15">
      <c r="A138" s="134" t="s">
        <v>517</v>
      </c>
      <c r="F138" s="102">
        <v>1</v>
      </c>
      <c r="G138" s="27">
        <v>1</v>
      </c>
      <c r="H138" s="138">
        <f t="shared" si="36"/>
        <v>1</v>
      </c>
      <c r="I138" s="138">
        <f t="shared" si="36"/>
        <v>1</v>
      </c>
      <c r="J138" s="138">
        <f t="shared" si="36"/>
        <v>1</v>
      </c>
      <c r="K138" s="138">
        <f t="shared" si="36"/>
        <v>1</v>
      </c>
      <c r="L138" s="138">
        <f t="shared" si="36"/>
        <v>1</v>
      </c>
      <c r="M138" s="138">
        <f t="shared" si="36"/>
        <v>1</v>
      </c>
      <c r="N138" s="138">
        <f t="shared" si="36"/>
        <v>1</v>
      </c>
      <c r="O138" s="138">
        <f t="shared" si="36"/>
        <v>1</v>
      </c>
      <c r="P138" s="138">
        <f t="shared" si="35"/>
        <v>1</v>
      </c>
      <c r="Q138" s="138">
        <f t="shared" si="35"/>
        <v>1</v>
      </c>
      <c r="R138" s="138">
        <f t="shared" si="35"/>
        <v>1</v>
      </c>
      <c r="S138" s="138">
        <f t="shared" si="35"/>
        <v>1</v>
      </c>
      <c r="T138" s="138">
        <f t="shared" si="35"/>
        <v>1</v>
      </c>
    </row>
    <row r="139" spans="1:22" ht="15.75" customHeight="1" x14ac:dyDescent="0.15">
      <c r="A139" s="132" t="s">
        <v>62</v>
      </c>
      <c r="B139" s="133"/>
      <c r="C139" s="133"/>
      <c r="D139" s="133"/>
      <c r="E139" s="133"/>
      <c r="F139" s="102">
        <v>0</v>
      </c>
      <c r="G139" s="27">
        <v>0</v>
      </c>
      <c r="H139" s="133">
        <f t="shared" si="36"/>
        <v>0</v>
      </c>
      <c r="I139" s="133">
        <f t="shared" si="36"/>
        <v>0</v>
      </c>
      <c r="J139" s="133">
        <f t="shared" si="36"/>
        <v>0</v>
      </c>
      <c r="K139" s="133">
        <f t="shared" si="36"/>
        <v>0</v>
      </c>
      <c r="L139" s="133">
        <f t="shared" si="36"/>
        <v>0</v>
      </c>
      <c r="M139" s="133">
        <f t="shared" si="36"/>
        <v>0</v>
      </c>
      <c r="N139" s="133">
        <f t="shared" si="36"/>
        <v>0</v>
      </c>
      <c r="O139" s="133">
        <f t="shared" si="36"/>
        <v>0</v>
      </c>
      <c r="P139" s="133">
        <f t="shared" si="35"/>
        <v>0</v>
      </c>
      <c r="Q139" s="133">
        <f t="shared" si="35"/>
        <v>0</v>
      </c>
      <c r="R139" s="133">
        <f t="shared" si="35"/>
        <v>0</v>
      </c>
      <c r="S139" s="133">
        <f t="shared" si="35"/>
        <v>0</v>
      </c>
      <c r="T139" s="133">
        <f t="shared" si="35"/>
        <v>0</v>
      </c>
      <c r="U139" s="133"/>
      <c r="V139" s="133"/>
    </row>
    <row r="140" spans="1:22" ht="15.75" customHeight="1" x14ac:dyDescent="0.15">
      <c r="A140" s="134" t="s">
        <v>63</v>
      </c>
      <c r="B140" s="133"/>
      <c r="C140" s="133"/>
      <c r="D140" s="133"/>
      <c r="E140" s="133"/>
      <c r="F140" s="102">
        <v>0</v>
      </c>
      <c r="G140" s="27">
        <v>0</v>
      </c>
      <c r="H140" s="133">
        <f t="shared" si="36"/>
        <v>0</v>
      </c>
      <c r="I140" s="133">
        <f t="shared" si="36"/>
        <v>0</v>
      </c>
      <c r="J140" s="133">
        <f t="shared" si="36"/>
        <v>0</v>
      </c>
      <c r="K140" s="133">
        <f t="shared" si="36"/>
        <v>0</v>
      </c>
      <c r="L140" s="133">
        <f t="shared" si="36"/>
        <v>0</v>
      </c>
      <c r="M140" s="133">
        <f t="shared" si="36"/>
        <v>0</v>
      </c>
      <c r="N140" s="133">
        <f t="shared" si="36"/>
        <v>0</v>
      </c>
      <c r="O140" s="133">
        <f t="shared" si="36"/>
        <v>0</v>
      </c>
      <c r="P140" s="133">
        <f t="shared" si="35"/>
        <v>0</v>
      </c>
      <c r="Q140" s="133">
        <f t="shared" si="35"/>
        <v>0</v>
      </c>
      <c r="R140" s="133">
        <f t="shared" si="35"/>
        <v>0</v>
      </c>
      <c r="S140" s="133">
        <f t="shared" si="35"/>
        <v>0</v>
      </c>
      <c r="T140" s="133">
        <f t="shared" si="35"/>
        <v>0</v>
      </c>
      <c r="U140" s="133"/>
      <c r="V140" s="133"/>
    </row>
    <row r="141" spans="1:22" ht="15.75" customHeight="1" x14ac:dyDescent="0.15">
      <c r="A141" s="134" t="s">
        <v>516</v>
      </c>
      <c r="B141" s="133"/>
      <c r="C141" s="133"/>
      <c r="D141" s="133"/>
      <c r="E141" s="133"/>
      <c r="F141" s="102">
        <v>0</v>
      </c>
      <c r="G141" s="27">
        <v>0</v>
      </c>
      <c r="H141" s="133">
        <f t="shared" si="36"/>
        <v>0</v>
      </c>
      <c r="I141" s="133">
        <f t="shared" si="36"/>
        <v>0</v>
      </c>
      <c r="J141" s="133">
        <f t="shared" si="36"/>
        <v>0</v>
      </c>
      <c r="K141" s="133">
        <f t="shared" si="36"/>
        <v>0</v>
      </c>
      <c r="L141" s="133">
        <f t="shared" si="36"/>
        <v>0</v>
      </c>
      <c r="M141" s="133">
        <f t="shared" si="36"/>
        <v>0</v>
      </c>
      <c r="N141" s="133">
        <f t="shared" si="36"/>
        <v>0</v>
      </c>
      <c r="O141" s="133">
        <f t="shared" si="36"/>
        <v>0</v>
      </c>
      <c r="P141" s="133">
        <f t="shared" si="35"/>
        <v>0</v>
      </c>
      <c r="Q141" s="133">
        <f t="shared" si="35"/>
        <v>0</v>
      </c>
      <c r="R141" s="133">
        <f t="shared" si="35"/>
        <v>0</v>
      </c>
      <c r="S141" s="133">
        <f t="shared" si="35"/>
        <v>0</v>
      </c>
      <c r="T141" s="133">
        <f t="shared" si="35"/>
        <v>0</v>
      </c>
      <c r="U141" s="133"/>
      <c r="V141" s="133"/>
    </row>
    <row r="142" spans="1:22" s="188" customFormat="1" ht="15.75" customHeight="1" x14ac:dyDescent="0.15">
      <c r="A142" s="134" t="s">
        <v>1006</v>
      </c>
      <c r="F142" s="102">
        <f>40*4.333</f>
        <v>173.32</v>
      </c>
      <c r="G142" s="27">
        <f>parttime_count_y1*growing_area_mulitplier</f>
        <v>346.64</v>
      </c>
      <c r="H142" s="188">
        <f t="shared" si="36"/>
        <v>346.64</v>
      </c>
      <c r="I142" s="188">
        <f t="shared" si="36"/>
        <v>346.64</v>
      </c>
      <c r="J142" s="188">
        <f t="shared" si="36"/>
        <v>346.64</v>
      </c>
      <c r="K142" s="188">
        <f t="shared" si="36"/>
        <v>346.64</v>
      </c>
      <c r="L142" s="188">
        <f t="shared" si="36"/>
        <v>346.64</v>
      </c>
      <c r="M142" s="188">
        <f t="shared" si="36"/>
        <v>346.64</v>
      </c>
      <c r="N142" s="188">
        <f t="shared" si="36"/>
        <v>346.64</v>
      </c>
      <c r="O142" s="188">
        <f t="shared" si="36"/>
        <v>346.64</v>
      </c>
      <c r="P142" s="188">
        <f t="shared" si="35"/>
        <v>346.64</v>
      </c>
      <c r="Q142" s="188">
        <f t="shared" si="35"/>
        <v>346.64</v>
      </c>
      <c r="R142" s="188">
        <f t="shared" si="35"/>
        <v>346.64</v>
      </c>
      <c r="S142" s="188">
        <f t="shared" si="35"/>
        <v>346.64</v>
      </c>
      <c r="T142" s="188">
        <f t="shared" si="35"/>
        <v>346.64</v>
      </c>
    </row>
    <row r="143" spans="1:22" ht="15.75" customHeight="1" x14ac:dyDescent="0.15">
      <c r="A143" s="20" t="s">
        <v>70</v>
      </c>
      <c r="B143" s="131"/>
      <c r="C143" s="131"/>
      <c r="D143" s="131"/>
      <c r="E143" s="131"/>
      <c r="F143" s="131">
        <f>SUM(F133:F141)</f>
        <v>1.5</v>
      </c>
      <c r="G143" s="25">
        <f>SUM(G133:G141)</f>
        <v>3</v>
      </c>
      <c r="H143" s="71">
        <f>SUM(H133:H141)</f>
        <v>3</v>
      </c>
      <c r="I143" s="71">
        <f t="shared" ref="I143:T143" si="37">SUM(I133:I141)</f>
        <v>3</v>
      </c>
      <c r="J143" s="71">
        <f t="shared" si="37"/>
        <v>3</v>
      </c>
      <c r="K143" s="71">
        <f t="shared" si="37"/>
        <v>3</v>
      </c>
      <c r="L143" s="71">
        <f t="shared" si="37"/>
        <v>3</v>
      </c>
      <c r="M143" s="71">
        <f t="shared" si="37"/>
        <v>3</v>
      </c>
      <c r="N143" s="71">
        <f t="shared" si="37"/>
        <v>3</v>
      </c>
      <c r="O143" s="71">
        <f t="shared" si="37"/>
        <v>3</v>
      </c>
      <c r="P143" s="71">
        <f t="shared" si="37"/>
        <v>3</v>
      </c>
      <c r="Q143" s="71">
        <f t="shared" si="37"/>
        <v>3</v>
      </c>
      <c r="R143" s="71">
        <f t="shared" si="37"/>
        <v>3</v>
      </c>
      <c r="S143" s="71">
        <f t="shared" si="37"/>
        <v>3</v>
      </c>
      <c r="T143" s="71">
        <f t="shared" si="37"/>
        <v>3</v>
      </c>
      <c r="U143" s="133"/>
      <c r="V143" s="133"/>
    </row>
    <row r="146" spans="16:17" ht="15.75" customHeight="1" x14ac:dyDescent="0.15">
      <c r="P146" s="38" t="s">
        <v>671</v>
      </c>
    </row>
    <row r="147" spans="16:17" ht="15.75" customHeight="1" x14ac:dyDescent="0.15">
      <c r="P147" s="38" t="s">
        <v>679</v>
      </c>
      <c r="Q147" s="38" t="s">
        <v>559</v>
      </c>
    </row>
    <row r="148" spans="16:17" ht="15.75" customHeight="1" x14ac:dyDescent="0.15">
      <c r="P148" s="38" t="s">
        <v>565</v>
      </c>
      <c r="Q148" s="140">
        <v>3</v>
      </c>
    </row>
    <row r="149" spans="16:17" ht="15.75" customHeight="1" x14ac:dyDescent="0.15">
      <c r="P149" s="38" t="s">
        <v>672</v>
      </c>
      <c r="Q149" s="140">
        <v>7</v>
      </c>
    </row>
    <row r="150" spans="16:17" ht="15.75" customHeight="1" x14ac:dyDescent="0.15">
      <c r="P150" s="38" t="s">
        <v>673</v>
      </c>
      <c r="Q150" s="140">
        <v>21</v>
      </c>
    </row>
    <row r="151" spans="16:17" ht="15.75" customHeight="1" x14ac:dyDescent="0.15">
      <c r="P151" s="38" t="s">
        <v>674</v>
      </c>
      <c r="Q151" s="140">
        <v>38</v>
      </c>
    </row>
    <row r="152" spans="16:17" ht="15.75" customHeight="1" x14ac:dyDescent="0.15">
      <c r="P152" s="38" t="s">
        <v>675</v>
      </c>
      <c r="Q152" s="140">
        <v>12</v>
      </c>
    </row>
    <row r="153" spans="16:17" ht="15.75" customHeight="1" x14ac:dyDescent="0.15">
      <c r="P153" s="38" t="s">
        <v>676</v>
      </c>
      <c r="Q153" s="140">
        <v>6</v>
      </c>
    </row>
    <row r="154" spans="16:17" ht="15.75" customHeight="1" x14ac:dyDescent="0.15">
      <c r="P154" s="38" t="s">
        <v>677</v>
      </c>
      <c r="Q154" s="140">
        <v>6</v>
      </c>
    </row>
    <row r="155" spans="16:17" ht="15.75" customHeight="1" x14ac:dyDescent="0.15">
      <c r="P155" s="38" t="s">
        <v>678</v>
      </c>
      <c r="Q155" s="140">
        <v>7</v>
      </c>
    </row>
    <row r="156" spans="16:17" ht="15.75" customHeight="1" x14ac:dyDescent="0.15">
      <c r="P156" s="38" t="s">
        <v>64</v>
      </c>
      <c r="Q156">
        <f>SUM(Q148:Q155)</f>
        <v>100</v>
      </c>
    </row>
  </sheetData>
  <mergeCells count="16">
    <mergeCell ref="G46:I46"/>
    <mergeCell ref="F42:F43"/>
    <mergeCell ref="F35:F39"/>
    <mergeCell ref="F19:F20"/>
    <mergeCell ref="F32:F33"/>
    <mergeCell ref="F40:F41"/>
    <mergeCell ref="F28:F29"/>
    <mergeCell ref="F26:F27"/>
    <mergeCell ref="F24:F25"/>
    <mergeCell ref="F30:F31"/>
    <mergeCell ref="F44:F45"/>
    <mergeCell ref="T14:U14"/>
    <mergeCell ref="A1:H2"/>
    <mergeCell ref="A4:H4"/>
    <mergeCell ref="A5:H5"/>
    <mergeCell ref="A7:H7"/>
  </mergeCells>
  <phoneticPr fontId="32"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5">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34:K34 H28:L29 B24:C24 B28:C28 B46 B57 B65:B68 B117:B119 B123:C129 C117:C118 F75:V75 F98:V103 F105:V105 F107:V110 F112:V112 F123:V130 C25 F78:V84 F117:V120 F87:V93 B48">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5:V95">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1"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1"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2:B53"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Database!$A$97:$A$107</xm:f>
          </x14:formula1>
          <xm:sqref>B37</xm:sqref>
        </x14:dataValidation>
        <x14:dataValidation type="list" allowBlank="1" showInputMessage="1" showErrorMessage="1" xr:uid="{86EA2E2C-A4D5-9B4E-A9D2-704975BB8049}">
          <x14:formula1>
            <xm:f>Database!$A$8:$A$93</xm:f>
          </x14:formula1>
          <xm:sqref>H16:K16</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Consumables!$A$23:$A$26</xm:f>
          </x14:formula1>
          <xm:sqref>B40</xm:sqref>
        </x14:dataValidation>
        <x14:dataValidation type="list" allowBlank="1" showInputMessage="1" showErrorMessage="1" xr:uid="{AFF2748E-6DC2-3442-B8E8-9748F213AD6C}">
          <x14:formula1>
            <xm:f>Database!$A$110:$A$129</xm:f>
          </x14:formula1>
          <xm:sqref>B38</xm:sqref>
        </x14:dataValidation>
        <x14:dataValidation type="list" allowBlank="1" showInputMessage="1" showErrorMessage="1" xr:uid="{4B10787A-800B-9D42-B419-A06AEEE02813}">
          <x14:formula1>
            <xm:f>Database!$A$152:$A$153</xm:f>
          </x14:formula1>
          <xm:sqref>B44</xm:sqref>
        </x14:dataValidation>
        <x14:dataValidation type="list" allowBlank="1" showInputMessage="1" showErrorMessage="1" xr:uid="{E38F3D01-73D8-FD42-9DA6-591B867B7CB5}">
          <x14:formula1>
            <xm:f>Database!$A$149:$A$151</xm:f>
          </x14:formula1>
          <xm:sqref>B34:B36</xm:sqref>
        </x14:dataValidation>
        <x14:dataValidation type="list" allowBlank="1" showInputMessage="1" showErrorMessage="1" xr:uid="{52CC3C23-990D-0842-AC90-8ED684E8D11C}">
          <x14:formula1>
            <xm:f>Database!$C$160:$S$160</xm:f>
          </x14:formula1>
          <xm:sqref>B54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zoomScale="92" workbookViewId="0">
      <selection activeCell="I38" sqref="I38"/>
    </sheetView>
  </sheetViews>
  <sheetFormatPr baseColWidth="10" defaultRowHeight="13" x14ac:dyDescent="0.15"/>
  <cols>
    <col min="1" max="1" width="34.83203125" customWidth="1"/>
    <col min="2" max="2" width="27.5" style="81" customWidth="1"/>
    <col min="3" max="3" width="32.83203125" customWidth="1"/>
    <col min="4" max="4" width="24.83203125" style="81" customWidth="1"/>
    <col min="5" max="5" width="25.33203125" style="81" bestFit="1" customWidth="1"/>
    <col min="6" max="6" width="22.5" style="81"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0" t="s">
        <v>167</v>
      </c>
      <c r="B1" s="50"/>
      <c r="C1" s="81"/>
      <c r="G1" s="81"/>
      <c r="H1" s="81"/>
      <c r="I1" s="81"/>
      <c r="J1" s="81"/>
      <c r="K1" s="81"/>
    </row>
    <row r="2" spans="1:11" x14ac:dyDescent="0.15">
      <c r="A2" s="465" t="s">
        <v>160</v>
      </c>
      <c r="B2" s="465"/>
      <c r="C2" s="464"/>
      <c r="D2" s="464"/>
      <c r="E2" s="464"/>
      <c r="F2" s="464"/>
      <c r="G2" s="464"/>
      <c r="H2" s="464"/>
      <c r="I2" s="464"/>
      <c r="J2" s="464"/>
      <c r="K2" s="464"/>
    </row>
    <row r="3" spans="1:11" s="81" customFormat="1" x14ac:dyDescent="0.15">
      <c r="A3" s="466" t="s">
        <v>159</v>
      </c>
      <c r="B3" s="466"/>
      <c r="C3" s="464"/>
      <c r="D3" s="464"/>
      <c r="E3" s="464"/>
      <c r="F3" s="464"/>
      <c r="G3" s="464"/>
      <c r="H3" s="464"/>
      <c r="I3" s="464"/>
      <c r="J3" s="464"/>
      <c r="K3" s="464"/>
    </row>
    <row r="4" spans="1:11" s="81" customFormat="1" x14ac:dyDescent="0.15">
      <c r="A4" s="77" t="s">
        <v>222</v>
      </c>
      <c r="B4" s="77"/>
      <c r="C4" s="78"/>
      <c r="D4" s="78"/>
      <c r="E4" s="78"/>
      <c r="F4" s="78"/>
      <c r="G4" s="78"/>
      <c r="H4" s="78"/>
      <c r="I4" s="78"/>
      <c r="J4" s="78"/>
      <c r="K4" s="78"/>
    </row>
    <row r="5" spans="1:11" x14ac:dyDescent="0.15">
      <c r="A5" s="467" t="s">
        <v>161</v>
      </c>
      <c r="B5" s="467"/>
      <c r="C5" s="464"/>
      <c r="D5" s="464"/>
      <c r="E5" s="464"/>
      <c r="F5" s="464"/>
      <c r="G5" s="464"/>
      <c r="H5" s="464"/>
      <c r="I5" s="464"/>
      <c r="J5" s="464"/>
      <c r="K5" s="464"/>
    </row>
    <row r="6" spans="1:11" x14ac:dyDescent="0.15">
      <c r="A6" s="79" t="s">
        <v>223</v>
      </c>
      <c r="B6" s="79"/>
      <c r="C6" s="80"/>
      <c r="D6" s="80"/>
      <c r="E6" s="80"/>
      <c r="F6" s="80"/>
      <c r="G6" s="80"/>
      <c r="H6" s="80"/>
      <c r="I6" s="80"/>
      <c r="J6" s="80"/>
      <c r="K6" s="80"/>
    </row>
    <row r="7" spans="1:11" x14ac:dyDescent="0.15">
      <c r="A7" s="72" t="s">
        <v>214</v>
      </c>
      <c r="B7" s="72"/>
      <c r="C7" s="81"/>
      <c r="G7" s="81"/>
      <c r="H7" s="81"/>
      <c r="I7" s="81"/>
      <c r="J7" s="81"/>
      <c r="K7" s="81"/>
    </row>
    <row r="8" spans="1:11" s="81" customFormat="1" x14ac:dyDescent="0.15">
      <c r="A8" s="47" t="s">
        <v>166</v>
      </c>
      <c r="B8" s="47"/>
      <c r="C8" s="47"/>
      <c r="D8" s="47"/>
      <c r="E8" s="47"/>
      <c r="F8" s="47"/>
      <c r="G8" s="47"/>
      <c r="H8" s="47"/>
      <c r="I8" s="47"/>
      <c r="J8" s="47"/>
      <c r="K8" s="47"/>
    </row>
    <row r="9" spans="1:11" s="81" customFormat="1" x14ac:dyDescent="0.15">
      <c r="A9"/>
      <c r="C9"/>
      <c r="G9"/>
      <c r="H9"/>
      <c r="I9"/>
      <c r="J9"/>
      <c r="K9"/>
    </row>
    <row r="10" spans="1:11" s="81" customFormat="1" ht="16" x14ac:dyDescent="0.2">
      <c r="A10" s="2" t="s">
        <v>219</v>
      </c>
      <c r="B10" s="2"/>
      <c r="C10" s="83"/>
      <c r="D10" s="83"/>
      <c r="E10" s="83"/>
      <c r="F10" s="83"/>
      <c r="H10"/>
      <c r="I10"/>
      <c r="J10"/>
      <c r="K10"/>
    </row>
    <row r="11" spans="1:11" s="97" customFormat="1" ht="16" x14ac:dyDescent="0.2">
      <c r="A11" s="2"/>
      <c r="B11" s="167" t="s">
        <v>912</v>
      </c>
      <c r="C11" s="167" t="s">
        <v>913</v>
      </c>
      <c r="D11" s="98"/>
      <c r="E11" s="98"/>
      <c r="F11" s="98"/>
    </row>
    <row r="12" spans="1:11" s="97" customFormat="1" ht="16" x14ac:dyDescent="0.2">
      <c r="A12" s="167" t="s">
        <v>239</v>
      </c>
      <c r="B12" s="369">
        <f>facility_size_pilot</f>
        <v>220</v>
      </c>
      <c r="C12" s="381">
        <f>facility_size_pilot*percent_production_area_pilot</f>
        <v>59.400000000000006</v>
      </c>
      <c r="D12" s="98"/>
      <c r="E12" s="98"/>
      <c r="F12" s="98"/>
    </row>
    <row r="13" spans="1:11" s="97" customFormat="1" ht="16" x14ac:dyDescent="0.2">
      <c r="A13" s="167" t="s">
        <v>451</v>
      </c>
      <c r="B13" s="369">
        <f>facility_size_full</f>
        <v>220</v>
      </c>
      <c r="C13" s="381">
        <f>facility_size_full*percent_production_area_full</f>
        <v>59.400000000000006</v>
      </c>
      <c r="D13" s="98"/>
      <c r="E13" s="98"/>
      <c r="F13" s="98"/>
    </row>
    <row r="14" spans="1:11" ht="16" x14ac:dyDescent="0.2">
      <c r="A14" s="2"/>
      <c r="B14" s="2"/>
      <c r="C14" s="83"/>
      <c r="D14" s="83"/>
      <c r="E14" s="83"/>
      <c r="F14" s="481" t="s">
        <v>256</v>
      </c>
      <c r="G14" s="481"/>
      <c r="H14" s="481"/>
      <c r="I14" s="481"/>
      <c r="J14" s="81"/>
      <c r="K14" s="81"/>
    </row>
    <row r="15" spans="1:11" ht="17" x14ac:dyDescent="0.2">
      <c r="A15" s="253" t="s">
        <v>238</v>
      </c>
      <c r="B15" s="167" t="s">
        <v>243</v>
      </c>
      <c r="C15" s="167" t="s">
        <v>239</v>
      </c>
      <c r="D15" s="167" t="s">
        <v>452</v>
      </c>
      <c r="E15" s="167" t="s">
        <v>257</v>
      </c>
      <c r="F15" s="254" t="s">
        <v>241</v>
      </c>
      <c r="G15" s="255" t="s">
        <v>240</v>
      </c>
      <c r="H15" s="166" t="s">
        <v>236</v>
      </c>
      <c r="I15" s="166" t="s">
        <v>237</v>
      </c>
      <c r="J15" s="81"/>
      <c r="K15" s="38"/>
    </row>
    <row r="16" spans="1:11" s="81" customFormat="1" ht="16" x14ac:dyDescent="0.2">
      <c r="A16" s="167" t="s">
        <v>264</v>
      </c>
      <c r="B16" s="367">
        <v>0</v>
      </c>
      <c r="C16" s="343">
        <v>0</v>
      </c>
      <c r="D16" s="343">
        <v>0</v>
      </c>
      <c r="E16" s="257">
        <f ca="1">D16/$D$38</f>
        <v>0</v>
      </c>
      <c r="F16" s="258"/>
      <c r="G16" s="166">
        <v>15</v>
      </c>
      <c r="H16" s="259">
        <f>1/G16</f>
        <v>6.6666666666666666E-2</v>
      </c>
      <c r="I16" s="340">
        <f t="shared" ref="I16:I20" si="0">H16*(D16+C16)</f>
        <v>0</v>
      </c>
      <c r="J16"/>
      <c r="K16" s="38"/>
    </row>
    <row r="17" spans="1:11" s="81" customFormat="1" ht="16" x14ac:dyDescent="0.2">
      <c r="A17" s="167" t="s">
        <v>265</v>
      </c>
      <c r="B17" s="367">
        <v>0</v>
      </c>
      <c r="C17" s="343">
        <v>5500</v>
      </c>
      <c r="D17" s="343">
        <v>3500</v>
      </c>
      <c r="E17" s="257">
        <f ca="1">D17/$D$38</f>
        <v>3.5073303203695727E-2</v>
      </c>
      <c r="F17" s="258"/>
      <c r="G17" s="167">
        <v>15</v>
      </c>
      <c r="H17" s="259">
        <f>1/G17</f>
        <v>6.6666666666666666E-2</v>
      </c>
      <c r="I17" s="340">
        <f t="shared" si="0"/>
        <v>600</v>
      </c>
      <c r="J17"/>
      <c r="K17"/>
    </row>
    <row r="18" spans="1:11" s="81" customFormat="1" ht="16" x14ac:dyDescent="0.2">
      <c r="A18" s="167" t="s">
        <v>266</v>
      </c>
      <c r="B18" s="367">
        <v>0</v>
      </c>
      <c r="C18" s="343">
        <f>B18*$B$12</f>
        <v>0</v>
      </c>
      <c r="D18" s="343">
        <f>6892+2000</f>
        <v>8892</v>
      </c>
      <c r="E18" s="257">
        <f ca="1">D18/$D$38</f>
        <v>8.9106232024932105E-2</v>
      </c>
      <c r="F18" s="258"/>
      <c r="G18" s="166">
        <v>15</v>
      </c>
      <c r="H18" s="259">
        <f>1/G18</f>
        <v>6.6666666666666666E-2</v>
      </c>
      <c r="I18" s="340">
        <f>H18*(D18+C18)</f>
        <v>592.79999999999995</v>
      </c>
      <c r="J18"/>
      <c r="K18"/>
    </row>
    <row r="19" spans="1:11" s="81" customFormat="1" ht="16" x14ac:dyDescent="0.2">
      <c r="A19" s="167" t="s">
        <v>263</v>
      </c>
      <c r="B19" s="367">
        <v>0</v>
      </c>
      <c r="C19" s="343">
        <v>19181.3</v>
      </c>
      <c r="D19" s="343">
        <v>0</v>
      </c>
      <c r="E19" s="257">
        <f ca="1">D19/$D$38</f>
        <v>0</v>
      </c>
      <c r="F19" s="258"/>
      <c r="G19" s="260"/>
      <c r="H19" s="261"/>
      <c r="I19" s="340">
        <f t="shared" si="0"/>
        <v>0</v>
      </c>
    </row>
    <row r="20" spans="1:11" s="81" customFormat="1" ht="16" x14ac:dyDescent="0.2">
      <c r="A20" s="167" t="s">
        <v>245</v>
      </c>
      <c r="B20" s="343">
        <v>0</v>
      </c>
      <c r="C20" s="343">
        <f>B20*$B$12</f>
        <v>0</v>
      </c>
      <c r="D20" s="343">
        <v>8500</v>
      </c>
      <c r="E20" s="257">
        <f ca="1">D20/$D$38</f>
        <v>8.5178022066118186E-2</v>
      </c>
      <c r="F20" s="258"/>
      <c r="G20" s="260"/>
      <c r="H20" s="261"/>
      <c r="I20" s="340">
        <f t="shared" si="0"/>
        <v>0</v>
      </c>
    </row>
    <row r="21" spans="1:11" s="81" customFormat="1" ht="16" x14ac:dyDescent="0.2">
      <c r="A21" s="253" t="s">
        <v>235</v>
      </c>
      <c r="B21" s="343">
        <f>SUM(B16:B20)</f>
        <v>0</v>
      </c>
      <c r="C21" s="343">
        <f>SUM(C16:C20)</f>
        <v>24681.3</v>
      </c>
      <c r="D21" s="343">
        <f>SUM(D16:D20)</f>
        <v>20892</v>
      </c>
      <c r="E21" s="257">
        <f ca="1">D21/D38</f>
        <v>0.20935755729474603</v>
      </c>
      <c r="F21" s="258"/>
      <c r="G21" s="260"/>
      <c r="H21" s="261"/>
      <c r="I21" s="341">
        <f>SUM(I16:I20)</f>
        <v>1192.8</v>
      </c>
    </row>
    <row r="22" spans="1:11" s="81" customFormat="1" x14ac:dyDescent="0.15">
      <c r="A22" s="11"/>
      <c r="B22" s="11"/>
      <c r="C22" s="82"/>
      <c r="D22" s="82"/>
      <c r="E22" s="88"/>
      <c r="F22" s="82"/>
      <c r="I22" s="87"/>
    </row>
    <row r="23" spans="1:11" s="81" customFormat="1" ht="17" x14ac:dyDescent="0.2">
      <c r="A23" s="253" t="s">
        <v>244</v>
      </c>
      <c r="B23" s="167" t="s">
        <v>243</v>
      </c>
      <c r="C23" s="167" t="s">
        <v>239</v>
      </c>
      <c r="D23" s="167" t="s">
        <v>452</v>
      </c>
      <c r="E23" s="167" t="s">
        <v>257</v>
      </c>
      <c r="F23" s="254" t="s">
        <v>241</v>
      </c>
      <c r="G23" s="255" t="s">
        <v>240</v>
      </c>
      <c r="H23" s="166" t="s">
        <v>236</v>
      </c>
      <c r="I23" s="166" t="s">
        <v>237</v>
      </c>
    </row>
    <row r="24" spans="1:11" s="81" customFormat="1" ht="16" x14ac:dyDescent="0.2">
      <c r="A24" s="167" t="s">
        <v>258</v>
      </c>
      <c r="B24" s="367">
        <v>0</v>
      </c>
      <c r="C24" s="343">
        <v>0</v>
      </c>
      <c r="D24" s="343">
        <f ca="1">D39*$B$77</f>
        <v>0</v>
      </c>
      <c r="E24" s="257">
        <f t="shared" ref="E24:E34" ca="1" si="1">D24/$D$38</f>
        <v>0</v>
      </c>
      <c r="F24" s="167">
        <f>G24*365*24</f>
        <v>87600</v>
      </c>
      <c r="G24" s="167">
        <v>10</v>
      </c>
      <c r="H24" s="259">
        <f>1/G24</f>
        <v>0.1</v>
      </c>
      <c r="I24" s="340">
        <f t="shared" ref="I24" ca="1" si="2">H24*D24</f>
        <v>0</v>
      </c>
    </row>
    <row r="25" spans="1:11" s="81" customFormat="1" ht="16" x14ac:dyDescent="0.2">
      <c r="A25" s="167" t="s">
        <v>259</v>
      </c>
      <c r="B25" s="367">
        <v>0</v>
      </c>
      <c r="C25" s="343">
        <f>33000</f>
        <v>33000</v>
      </c>
      <c r="D25" s="343">
        <v>33000</v>
      </c>
      <c r="E25" s="257">
        <f t="shared" ca="1" si="1"/>
        <v>0.33069114449198828</v>
      </c>
      <c r="F25" s="351">
        <f>VLOOKUP(Overview!B38, Database!A109:Y130, 16, FALSE)*0.8</f>
        <v>48000</v>
      </c>
      <c r="G25" s="166">
        <f>(F25/Overview!L19)/365</f>
        <v>8.2191780821917817</v>
      </c>
      <c r="H25" s="259">
        <f>1/G25</f>
        <v>0.12166666666666666</v>
      </c>
      <c r="I25" s="340">
        <f>(C25+D25)*H25</f>
        <v>8029.9999999999991</v>
      </c>
      <c r="J25"/>
      <c r="K25"/>
    </row>
    <row r="26" spans="1:11" s="81" customFormat="1" ht="16" x14ac:dyDescent="0.2">
      <c r="A26" s="167" t="s">
        <v>260</v>
      </c>
      <c r="B26" s="367">
        <v>0</v>
      </c>
      <c r="C26" s="343">
        <v>33000</v>
      </c>
      <c r="D26" s="343">
        <v>0</v>
      </c>
      <c r="E26" s="257">
        <f t="shared" ca="1" si="1"/>
        <v>0</v>
      </c>
      <c r="F26" s="352">
        <f>G26*365*24</f>
        <v>87600</v>
      </c>
      <c r="G26" s="167">
        <v>10</v>
      </c>
      <c r="H26" s="259">
        <f>1/G26</f>
        <v>0.1</v>
      </c>
      <c r="I26" s="340">
        <f t="shared" ref="I26:I30" si="3">H26*(D26+C26)</f>
        <v>3300</v>
      </c>
    </row>
    <row r="27" spans="1:11" s="81" customFormat="1" ht="16" x14ac:dyDescent="0.2">
      <c r="A27" s="167" t="s">
        <v>261</v>
      </c>
      <c r="B27" s="367">
        <v>0</v>
      </c>
      <c r="C27" s="343">
        <v>4400</v>
      </c>
      <c r="D27" s="343">
        <v>4400</v>
      </c>
      <c r="E27" s="257">
        <f t="shared" ca="1" si="1"/>
        <v>4.4092152598931768E-2</v>
      </c>
      <c r="F27" s="352">
        <f t="shared" ref="F27:F32" si="4">G27*365*24</f>
        <v>87600</v>
      </c>
      <c r="G27" s="167">
        <v>10</v>
      </c>
      <c r="H27" s="259">
        <f t="shared" ref="H27:H34" si="5">1/G27</f>
        <v>0.1</v>
      </c>
      <c r="I27" s="340">
        <f t="shared" si="3"/>
        <v>880</v>
      </c>
      <c r="J27"/>
      <c r="K27"/>
    </row>
    <row r="28" spans="1:11" s="81" customFormat="1" ht="16" x14ac:dyDescent="0.2">
      <c r="A28" s="167" t="s">
        <v>262</v>
      </c>
      <c r="B28" s="367">
        <v>0</v>
      </c>
      <c r="C28" s="343">
        <v>4400</v>
      </c>
      <c r="D28" s="343">
        <v>4400</v>
      </c>
      <c r="E28" s="257">
        <f t="shared" ca="1" si="1"/>
        <v>4.4092152598931768E-2</v>
      </c>
      <c r="F28" s="352">
        <f t="shared" si="4"/>
        <v>87600</v>
      </c>
      <c r="G28" s="167">
        <v>10</v>
      </c>
      <c r="H28" s="259">
        <f t="shared" si="5"/>
        <v>0.1</v>
      </c>
      <c r="I28" s="340">
        <f t="shared" si="3"/>
        <v>880</v>
      </c>
    </row>
    <row r="29" spans="1:11" ht="16" x14ac:dyDescent="0.2">
      <c r="A29" s="167" t="s">
        <v>230</v>
      </c>
      <c r="B29" s="343">
        <v>0</v>
      </c>
      <c r="C29" s="343">
        <v>2877.19</v>
      </c>
      <c r="D29" s="343">
        <v>10246</v>
      </c>
      <c r="E29" s="257">
        <f t="shared" ca="1" si="1"/>
        <v>0.10267458989287612</v>
      </c>
      <c r="F29" s="352">
        <f t="shared" si="4"/>
        <v>87600</v>
      </c>
      <c r="G29" s="167">
        <v>10</v>
      </c>
      <c r="H29" s="259">
        <f t="shared" si="5"/>
        <v>0.1</v>
      </c>
      <c r="I29" s="340">
        <f t="shared" si="3"/>
        <v>1312.3190000000002</v>
      </c>
      <c r="J29" s="81"/>
      <c r="K29" s="81"/>
    </row>
    <row r="30" spans="1:11" ht="16" x14ac:dyDescent="0.2">
      <c r="A30" s="167" t="s">
        <v>242</v>
      </c>
      <c r="B30" s="343">
        <v>0</v>
      </c>
      <c r="C30" s="343">
        <v>4400</v>
      </c>
      <c r="D30" s="343">
        <v>4400</v>
      </c>
      <c r="E30" s="257">
        <f t="shared" ca="1" si="1"/>
        <v>4.4092152598931768E-2</v>
      </c>
      <c r="F30" s="352">
        <f t="shared" si="4"/>
        <v>87600</v>
      </c>
      <c r="G30" s="167">
        <v>10</v>
      </c>
      <c r="H30" s="259">
        <f t="shared" si="5"/>
        <v>0.1</v>
      </c>
      <c r="I30" s="340">
        <f t="shared" si="3"/>
        <v>880</v>
      </c>
      <c r="J30" s="81"/>
      <c r="K30" s="81"/>
    </row>
    <row r="31" spans="1:11" ht="16" x14ac:dyDescent="0.2">
      <c r="A31" s="167" t="s">
        <v>231</v>
      </c>
      <c r="B31" s="343">
        <v>0</v>
      </c>
      <c r="C31" s="343">
        <v>4795.32</v>
      </c>
      <c r="D31" s="343">
        <v>4353</v>
      </c>
      <c r="E31" s="257">
        <f t="shared" ca="1" si="1"/>
        <v>4.3621168241625E-2</v>
      </c>
      <c r="F31" s="352">
        <f t="shared" si="4"/>
        <v>87600</v>
      </c>
      <c r="G31" s="167">
        <v>10</v>
      </c>
      <c r="H31" s="259">
        <f t="shared" si="5"/>
        <v>0.1</v>
      </c>
      <c r="I31" s="340">
        <f>H31*(D31+C31)</f>
        <v>914.83199999999999</v>
      </c>
      <c r="J31" s="81"/>
      <c r="K31" s="81"/>
    </row>
    <row r="32" spans="1:11" ht="16" x14ac:dyDescent="0.2">
      <c r="A32" s="167" t="s">
        <v>232</v>
      </c>
      <c r="B32" s="367">
        <v>0</v>
      </c>
      <c r="C32" s="343">
        <v>0</v>
      </c>
      <c r="D32" s="343">
        <f t="shared" ref="C32:D33" si="6">C32*$B$12</f>
        <v>0</v>
      </c>
      <c r="E32" s="257">
        <f t="shared" ca="1" si="1"/>
        <v>0</v>
      </c>
      <c r="F32" s="352">
        <f t="shared" si="4"/>
        <v>87600</v>
      </c>
      <c r="G32" s="167">
        <v>10</v>
      </c>
      <c r="H32" s="259">
        <f t="shared" si="5"/>
        <v>0.1</v>
      </c>
      <c r="I32" s="340">
        <f>H32*(D32+C32)</f>
        <v>0</v>
      </c>
      <c r="J32" s="81"/>
      <c r="K32" s="81"/>
    </row>
    <row r="33" spans="1:11" ht="16" x14ac:dyDescent="0.2">
      <c r="A33" s="167" t="s">
        <v>233</v>
      </c>
      <c r="B33" s="367">
        <v>0</v>
      </c>
      <c r="C33" s="343">
        <f t="shared" si="6"/>
        <v>0</v>
      </c>
      <c r="D33" s="343">
        <f t="shared" si="6"/>
        <v>0</v>
      </c>
      <c r="E33" s="257">
        <f t="shared" ca="1" si="1"/>
        <v>0</v>
      </c>
      <c r="F33" s="352">
        <f>G33*365*24</f>
        <v>87600</v>
      </c>
      <c r="G33" s="167">
        <v>10</v>
      </c>
      <c r="H33" s="259">
        <f t="shared" si="5"/>
        <v>0.1</v>
      </c>
      <c r="I33" s="340">
        <f>H33*(D33+C33)</f>
        <v>0</v>
      </c>
      <c r="J33" s="81"/>
      <c r="K33" s="81"/>
    </row>
    <row r="34" spans="1:11" s="419" customFormat="1" ht="16" x14ac:dyDescent="0.2">
      <c r="A34" s="167" t="s">
        <v>992</v>
      </c>
      <c r="B34" s="367">
        <v>0</v>
      </c>
      <c r="C34" s="343">
        <v>0</v>
      </c>
      <c r="D34" s="343">
        <f>12100+6000</f>
        <v>18100</v>
      </c>
      <c r="E34" s="257">
        <f t="shared" ca="1" si="1"/>
        <v>0.18137908228196931</v>
      </c>
      <c r="F34" s="352">
        <f>G34*365*24</f>
        <v>87600</v>
      </c>
      <c r="G34" s="167">
        <v>10</v>
      </c>
      <c r="H34" s="259">
        <f t="shared" si="5"/>
        <v>0.1</v>
      </c>
      <c r="I34" s="340">
        <f>H34*(D34+C34)</f>
        <v>1810</v>
      </c>
    </row>
    <row r="35" spans="1:11" ht="16" x14ac:dyDescent="0.2">
      <c r="A35" s="253" t="s">
        <v>843</v>
      </c>
      <c r="B35" s="368">
        <v>0</v>
      </c>
      <c r="C35" s="343">
        <f>SUM(C24:C34)</f>
        <v>86872.510000000009</v>
      </c>
      <c r="D35" s="343">
        <f ca="1">SUM(D24:D34)</f>
        <v>78899</v>
      </c>
      <c r="E35" s="257">
        <f ca="1">D35/$D$38</f>
        <v>0.79064244270525397</v>
      </c>
      <c r="F35" s="256"/>
      <c r="G35" s="166"/>
      <c r="H35" s="259"/>
      <c r="I35" s="340">
        <f ca="1">SUM(I24:I34)</f>
        <v>18007.150999999998</v>
      </c>
      <c r="J35" s="81"/>
      <c r="K35" s="81"/>
    </row>
    <row r="36" spans="1:11" x14ac:dyDescent="0.15">
      <c r="A36" s="82"/>
      <c r="B36" s="82"/>
      <c r="C36" s="82"/>
      <c r="D36" s="82"/>
      <c r="E36" s="82"/>
      <c r="F36" s="82"/>
      <c r="G36" s="81"/>
      <c r="H36" s="81"/>
      <c r="I36" s="81"/>
      <c r="J36" s="81"/>
      <c r="K36" s="81"/>
    </row>
    <row r="37" spans="1:11" ht="16" x14ac:dyDescent="0.2">
      <c r="A37" s="48"/>
      <c r="B37" s="48"/>
      <c r="C37" s="48" t="s">
        <v>287</v>
      </c>
      <c r="D37" s="48" t="s">
        <v>286</v>
      </c>
      <c r="E37" s="48" t="s">
        <v>288</v>
      </c>
      <c r="F37" s="48"/>
      <c r="G37" s="58"/>
      <c r="H37" s="58"/>
      <c r="I37" s="58" t="s">
        <v>289</v>
      </c>
      <c r="J37" s="81"/>
      <c r="K37" s="81"/>
    </row>
    <row r="38" spans="1:11" ht="16" x14ac:dyDescent="0.2">
      <c r="A38" s="353" t="s">
        <v>234</v>
      </c>
      <c r="B38" s="353"/>
      <c r="C38" s="364">
        <f>C35+C21</f>
        <v>111553.81000000001</v>
      </c>
      <c r="D38" s="364">
        <f ca="1">D35+D21</f>
        <v>99791</v>
      </c>
      <c r="E38" s="364">
        <f ca="1">D38+C38</f>
        <v>211344.81</v>
      </c>
      <c r="F38" s="354"/>
      <c r="G38" s="355"/>
      <c r="H38" s="355"/>
      <c r="I38" s="354">
        <f ca="1">I35+I21</f>
        <v>19199.950999999997</v>
      </c>
    </row>
    <row r="39" spans="1:11" ht="16" x14ac:dyDescent="0.2">
      <c r="A39" s="365" t="s">
        <v>848</v>
      </c>
      <c r="C39" s="366">
        <f ca="1">LOOKUP(Overview!$B$12, 'CapEx Breakdown'!$D$45:$H$45, 'CapEx Breakdown'!$D$52:$G$52)*C12</f>
        <v>127584.73728000002</v>
      </c>
      <c r="D39" s="366">
        <f ca="1">(LOOKUP(Overview!$B$12, 'CapEx Breakdown'!$D$45:$H$45, 'CapEx Breakdown'!$D$52:$G$52)*C13)-C39</f>
        <v>0</v>
      </c>
      <c r="E39" s="366">
        <f ca="1">SUM(C39:D39)</f>
        <v>127584.73728000002</v>
      </c>
    </row>
    <row r="41" spans="1:11" x14ac:dyDescent="0.15">
      <c r="C41" s="305"/>
    </row>
    <row r="42" spans="1:11" ht="16" x14ac:dyDescent="0.2">
      <c r="A42" s="60" t="s">
        <v>841</v>
      </c>
    </row>
    <row r="44" spans="1:11" s="81" customFormat="1" ht="16" x14ac:dyDescent="0.2">
      <c r="A44" s="60" t="s">
        <v>246</v>
      </c>
      <c r="B44" s="58"/>
      <c r="C44" s="58"/>
      <c r="D44" s="58"/>
      <c r="E44" s="38"/>
    </row>
    <row r="45" spans="1:11" ht="16" x14ac:dyDescent="0.2">
      <c r="A45" s="215" t="s">
        <v>248</v>
      </c>
      <c r="B45" s="166" t="s">
        <v>254</v>
      </c>
      <c r="C45" s="166" t="s">
        <v>255</v>
      </c>
      <c r="D45" s="166" t="s">
        <v>844</v>
      </c>
      <c r="E45" s="166" t="s">
        <v>845</v>
      </c>
      <c r="F45" s="166" t="s">
        <v>840</v>
      </c>
      <c r="G45" s="166" t="s">
        <v>849</v>
      </c>
      <c r="H45" s="166" t="s">
        <v>850</v>
      </c>
      <c r="J45" s="357" t="s">
        <v>846</v>
      </c>
      <c r="K45" s="166" t="s">
        <v>847</v>
      </c>
    </row>
    <row r="46" spans="1:11" ht="16" x14ac:dyDescent="0.2">
      <c r="A46" s="345" t="s">
        <v>247</v>
      </c>
      <c r="B46" s="166"/>
      <c r="C46" s="166"/>
      <c r="D46" s="166"/>
      <c r="E46" s="166"/>
      <c r="F46" s="166"/>
      <c r="G46" s="166"/>
      <c r="H46" s="181"/>
      <c r="J46" s="166" t="e" vm="1">
        <v>#VALUE!</v>
      </c>
      <c r="K46" s="359" cm="1">
        <f t="array" ref="K46">_FV(J46,"Price")</f>
        <v>0.8397</v>
      </c>
    </row>
    <row r="47" spans="1:11" ht="16" x14ac:dyDescent="0.2">
      <c r="A47" s="166" t="s">
        <v>249</v>
      </c>
      <c r="B47" s="358">
        <v>795</v>
      </c>
      <c r="C47" s="358">
        <v>798</v>
      </c>
      <c r="D47" s="361">
        <f t="shared" ref="D47:D57" si="7">$K$47*C47</f>
        <v>575.19839999999999</v>
      </c>
      <c r="E47" s="362">
        <f>$K$46*C47</f>
        <v>670.0806</v>
      </c>
      <c r="F47" s="340">
        <f t="shared" ref="F47:F57" si="8">$K$48*C47</f>
        <v>1030.0583999999999</v>
      </c>
      <c r="G47" s="363">
        <f t="shared" ref="G47:G57" si="9">$K$49*C47</f>
        <v>86894.22</v>
      </c>
      <c r="H47" s="358">
        <f>C47</f>
        <v>798</v>
      </c>
      <c r="J47" s="346" t="e" vm="2">
        <v>#VALUE!</v>
      </c>
      <c r="K47" s="182" cm="1">
        <f t="array" ref="K47">_FV(J47,"Price")</f>
        <v>0.7208</v>
      </c>
    </row>
    <row r="48" spans="1:11" ht="16" x14ac:dyDescent="0.2">
      <c r="A48" s="166" t="s">
        <v>250</v>
      </c>
      <c r="B48" s="358">
        <v>437</v>
      </c>
      <c r="C48" s="358">
        <v>478</v>
      </c>
      <c r="D48" s="361">
        <f t="shared" si="7"/>
        <v>344.54239999999999</v>
      </c>
      <c r="E48" s="362">
        <f t="shared" ref="E48:E57" si="10">$K$46*C48</f>
        <v>401.3766</v>
      </c>
      <c r="F48" s="340">
        <f t="shared" si="8"/>
        <v>617.00239999999997</v>
      </c>
      <c r="G48" s="363">
        <f t="shared" si="9"/>
        <v>52049.42</v>
      </c>
      <c r="H48" s="358">
        <f t="shared" ref="H48:H57" si="11">C48</f>
        <v>478</v>
      </c>
      <c r="J48" s="346" t="e" vm="3">
        <v>#VALUE!</v>
      </c>
      <c r="K48" s="342" cm="1">
        <f t="array" ref="K48">_FV(J48,"Price")</f>
        <v>1.2907999999999999</v>
      </c>
    </row>
    <row r="49" spans="1:11" ht="16" x14ac:dyDescent="0.2">
      <c r="A49" s="166" t="s">
        <v>251</v>
      </c>
      <c r="B49" s="358">
        <v>995</v>
      </c>
      <c r="C49" s="358">
        <v>886</v>
      </c>
      <c r="D49" s="361">
        <f t="shared" si="7"/>
        <v>638.62879999999996</v>
      </c>
      <c r="E49" s="362">
        <f t="shared" si="10"/>
        <v>743.9742</v>
      </c>
      <c r="F49" s="340">
        <f t="shared" si="8"/>
        <v>1143.6487999999999</v>
      </c>
      <c r="G49" s="363">
        <f t="shared" si="9"/>
        <v>96476.54</v>
      </c>
      <c r="H49" s="358">
        <f t="shared" si="11"/>
        <v>886</v>
      </c>
      <c r="J49" s="346" t="e" vm="4">
        <v>#VALUE!</v>
      </c>
      <c r="K49" s="360" cm="1">
        <f t="array" ref="K49">_FV(J49,"Price")</f>
        <v>108.89</v>
      </c>
    </row>
    <row r="50" spans="1:11" ht="16" x14ac:dyDescent="0.2">
      <c r="A50" s="345" t="s">
        <v>252</v>
      </c>
      <c r="B50" s="358"/>
      <c r="C50" s="358"/>
      <c r="D50" s="361">
        <f t="shared" si="7"/>
        <v>0</v>
      </c>
      <c r="E50" s="362">
        <f t="shared" si="10"/>
        <v>0</v>
      </c>
      <c r="F50" s="340">
        <f t="shared" si="8"/>
        <v>0</v>
      </c>
      <c r="G50" s="363">
        <f t="shared" si="9"/>
        <v>0</v>
      </c>
      <c r="H50" s="358">
        <f t="shared" si="11"/>
        <v>0</v>
      </c>
      <c r="I50" s="356"/>
    </row>
    <row r="51" spans="1:11" ht="16" x14ac:dyDescent="0.2">
      <c r="A51" s="166" t="s">
        <v>249</v>
      </c>
      <c r="B51" s="358">
        <v>2490</v>
      </c>
      <c r="C51" s="358">
        <v>2534</v>
      </c>
      <c r="D51" s="361">
        <f t="shared" si="7"/>
        <v>1826.5072</v>
      </c>
      <c r="E51" s="362">
        <f t="shared" si="10"/>
        <v>2127.7998000000002</v>
      </c>
      <c r="F51" s="340">
        <f t="shared" si="8"/>
        <v>3270.8871999999997</v>
      </c>
      <c r="G51" s="363">
        <f t="shared" si="9"/>
        <v>275927.26</v>
      </c>
      <c r="H51" s="358">
        <f t="shared" si="11"/>
        <v>2534</v>
      </c>
      <c r="I51" s="356"/>
    </row>
    <row r="52" spans="1:11" ht="16" x14ac:dyDescent="0.2">
      <c r="A52" s="166" t="s">
        <v>250</v>
      </c>
      <c r="B52" s="358">
        <v>1328</v>
      </c>
      <c r="C52" s="358">
        <v>1664</v>
      </c>
      <c r="D52" s="361">
        <f t="shared" si="7"/>
        <v>1199.4112</v>
      </c>
      <c r="E52" s="362">
        <f t="shared" si="10"/>
        <v>1397.2608</v>
      </c>
      <c r="F52" s="340">
        <f t="shared" si="8"/>
        <v>2147.8912</v>
      </c>
      <c r="G52" s="363">
        <f t="shared" si="9"/>
        <v>181192.95999999999</v>
      </c>
      <c r="H52" s="358">
        <f t="shared" si="11"/>
        <v>1664</v>
      </c>
      <c r="I52" s="356"/>
    </row>
    <row r="53" spans="1:11" ht="16" x14ac:dyDescent="0.2">
      <c r="A53" s="166" t="s">
        <v>251</v>
      </c>
      <c r="B53" s="358">
        <v>2490</v>
      </c>
      <c r="C53" s="358">
        <v>2878</v>
      </c>
      <c r="D53" s="361">
        <f t="shared" si="7"/>
        <v>2074.4623999999999</v>
      </c>
      <c r="E53" s="362">
        <f t="shared" si="10"/>
        <v>2416.6565999999998</v>
      </c>
      <c r="F53" s="340">
        <f t="shared" si="8"/>
        <v>3714.9223999999999</v>
      </c>
      <c r="G53" s="363">
        <f t="shared" si="9"/>
        <v>313385.42</v>
      </c>
      <c r="H53" s="358">
        <f t="shared" si="11"/>
        <v>2878</v>
      </c>
      <c r="I53" s="356"/>
    </row>
    <row r="54" spans="1:11" ht="16" x14ac:dyDescent="0.2">
      <c r="A54" s="345" t="s">
        <v>253</v>
      </c>
      <c r="B54" s="358"/>
      <c r="C54" s="358"/>
      <c r="D54" s="361">
        <f t="shared" si="7"/>
        <v>0</v>
      </c>
      <c r="E54" s="362">
        <f t="shared" si="10"/>
        <v>0</v>
      </c>
      <c r="F54" s="340">
        <f t="shared" si="8"/>
        <v>0</v>
      </c>
      <c r="G54" s="363">
        <f t="shared" si="9"/>
        <v>0</v>
      </c>
      <c r="H54" s="358">
        <f t="shared" si="11"/>
        <v>0</v>
      </c>
      <c r="I54" s="356"/>
    </row>
    <row r="55" spans="1:11" ht="16" x14ac:dyDescent="0.2">
      <c r="A55" s="166" t="s">
        <v>249</v>
      </c>
      <c r="B55" s="358">
        <v>1936</v>
      </c>
      <c r="C55" s="358">
        <v>1946</v>
      </c>
      <c r="D55" s="361">
        <f t="shared" si="7"/>
        <v>1402.6768</v>
      </c>
      <c r="E55" s="362">
        <f t="shared" si="10"/>
        <v>1634.0562</v>
      </c>
      <c r="F55" s="340">
        <f t="shared" si="8"/>
        <v>2511.8968</v>
      </c>
      <c r="G55" s="363">
        <f t="shared" si="9"/>
        <v>211899.94</v>
      </c>
      <c r="H55" s="358">
        <f t="shared" si="11"/>
        <v>1946</v>
      </c>
      <c r="I55" s="356"/>
    </row>
    <row r="56" spans="1:11" ht="16" x14ac:dyDescent="0.2">
      <c r="A56" s="166" t="s">
        <v>250</v>
      </c>
      <c r="B56" s="358">
        <v>883</v>
      </c>
      <c r="C56" s="358">
        <v>1173</v>
      </c>
      <c r="D56" s="361">
        <f t="shared" si="7"/>
        <v>845.49839999999995</v>
      </c>
      <c r="E56" s="362">
        <f t="shared" si="10"/>
        <v>984.96810000000005</v>
      </c>
      <c r="F56" s="340">
        <f t="shared" si="8"/>
        <v>1514.1083999999998</v>
      </c>
      <c r="G56" s="363">
        <f t="shared" si="9"/>
        <v>127727.97</v>
      </c>
      <c r="H56" s="358">
        <f t="shared" si="11"/>
        <v>1173</v>
      </c>
      <c r="I56" s="356"/>
    </row>
    <row r="57" spans="1:11" ht="16" x14ac:dyDescent="0.2">
      <c r="A57" s="166" t="s">
        <v>251</v>
      </c>
      <c r="B57" s="358">
        <v>1787</v>
      </c>
      <c r="C57" s="358">
        <v>2173</v>
      </c>
      <c r="D57" s="361">
        <f t="shared" si="7"/>
        <v>1566.2983999999999</v>
      </c>
      <c r="E57" s="362">
        <f t="shared" si="10"/>
        <v>1824.6681000000001</v>
      </c>
      <c r="F57" s="340">
        <f t="shared" si="8"/>
        <v>2804.9083999999998</v>
      </c>
      <c r="G57" s="363">
        <f t="shared" si="9"/>
        <v>236617.97</v>
      </c>
      <c r="H57" s="358">
        <f t="shared" si="11"/>
        <v>2173</v>
      </c>
      <c r="I57" s="356"/>
    </row>
    <row r="58" spans="1:11" ht="16" x14ac:dyDescent="0.2">
      <c r="A58" s="58"/>
      <c r="B58" s="58"/>
      <c r="C58" s="58"/>
      <c r="D58" s="58"/>
    </row>
    <row r="59" spans="1:11" ht="16" x14ac:dyDescent="0.2">
      <c r="A59" s="215" t="s">
        <v>550</v>
      </c>
      <c r="B59" s="166" t="s">
        <v>559</v>
      </c>
      <c r="C59" s="166" t="s">
        <v>842</v>
      </c>
      <c r="D59" s="166" t="s">
        <v>560</v>
      </c>
    </row>
    <row r="60" spans="1:11" ht="16" x14ac:dyDescent="0.2">
      <c r="A60" s="166" t="s">
        <v>551</v>
      </c>
      <c r="B60" s="347">
        <f>SUM(B61:B65)</f>
        <v>1</v>
      </c>
      <c r="C60" s="347">
        <f>SUM(C61:C67)</f>
        <v>1</v>
      </c>
      <c r="D60" s="166">
        <f>B13</f>
        <v>220</v>
      </c>
    </row>
    <row r="61" spans="1:11" ht="16" x14ac:dyDescent="0.2">
      <c r="A61" s="166" t="s">
        <v>552</v>
      </c>
      <c r="B61" s="166">
        <f>50/1000</f>
        <v>0.05</v>
      </c>
      <c r="C61" s="166">
        <f>50/1000</f>
        <v>0.05</v>
      </c>
      <c r="D61" s="166">
        <f t="shared" ref="D61:D67" si="12">$D$60*C61</f>
        <v>11</v>
      </c>
    </row>
    <row r="62" spans="1:11" ht="16" x14ac:dyDescent="0.2">
      <c r="A62" s="166" t="s">
        <v>553</v>
      </c>
      <c r="B62" s="166">
        <f>250/1000</f>
        <v>0.25</v>
      </c>
      <c r="C62" s="166">
        <f>280/1000</f>
        <v>0.28000000000000003</v>
      </c>
      <c r="D62" s="166">
        <f t="shared" si="12"/>
        <v>61.600000000000009</v>
      </c>
    </row>
    <row r="63" spans="1:11" ht="16" x14ac:dyDescent="0.2">
      <c r="A63" s="166" t="s">
        <v>554</v>
      </c>
      <c r="B63" s="166">
        <f>124/1000</f>
        <v>0.124</v>
      </c>
      <c r="C63" s="166">
        <f>100/1000</f>
        <v>0.1</v>
      </c>
      <c r="D63" s="166">
        <f t="shared" si="12"/>
        <v>22</v>
      </c>
    </row>
    <row r="64" spans="1:11" ht="16" x14ac:dyDescent="0.2">
      <c r="A64" s="166" t="s">
        <v>555</v>
      </c>
      <c r="B64" s="166">
        <f>150/1000</f>
        <v>0.15</v>
      </c>
      <c r="C64" s="166">
        <f>150/1000</f>
        <v>0.15</v>
      </c>
      <c r="D64" s="166">
        <f t="shared" si="12"/>
        <v>33</v>
      </c>
    </row>
    <row r="65" spans="1:4" ht="16" x14ac:dyDescent="0.2">
      <c r="A65" s="166" t="s">
        <v>556</v>
      </c>
      <c r="B65" s="166">
        <f>426/1000</f>
        <v>0.42599999999999999</v>
      </c>
      <c r="C65" s="166">
        <f>300/1000</f>
        <v>0.3</v>
      </c>
      <c r="D65" s="166">
        <f t="shared" si="12"/>
        <v>66</v>
      </c>
    </row>
    <row r="66" spans="1:4" ht="16" x14ac:dyDescent="0.2">
      <c r="A66" s="166" t="s">
        <v>557</v>
      </c>
      <c r="B66" s="166"/>
      <c r="C66" s="166">
        <f>100/1000</f>
        <v>0.1</v>
      </c>
      <c r="D66" s="166">
        <f t="shared" si="12"/>
        <v>22</v>
      </c>
    </row>
    <row r="67" spans="1:4" ht="16" x14ac:dyDescent="0.2">
      <c r="A67" s="166" t="s">
        <v>558</v>
      </c>
      <c r="B67" s="166"/>
      <c r="C67" s="166">
        <f>20/1000</f>
        <v>0.02</v>
      </c>
      <c r="D67" s="166">
        <f t="shared" si="12"/>
        <v>4.4000000000000004</v>
      </c>
    </row>
    <row r="68" spans="1:4" ht="16" x14ac:dyDescent="0.2">
      <c r="A68" s="58"/>
      <c r="B68" s="58"/>
      <c r="C68" s="58"/>
      <c r="D68" s="58"/>
    </row>
    <row r="69" spans="1:4" ht="16" x14ac:dyDescent="0.2">
      <c r="A69" s="215" t="s">
        <v>561</v>
      </c>
      <c r="B69" s="348" t="s">
        <v>837</v>
      </c>
      <c r="C69" s="58"/>
      <c r="D69" s="58"/>
    </row>
    <row r="70" spans="1:4" ht="16" x14ac:dyDescent="0.2">
      <c r="A70" s="166" t="s">
        <v>562</v>
      </c>
      <c r="B70" s="349">
        <v>0.1181</v>
      </c>
      <c r="C70" s="58"/>
      <c r="D70" s="58"/>
    </row>
    <row r="71" spans="1:4" ht="16" x14ac:dyDescent="0.2">
      <c r="A71" s="166" t="s">
        <v>563</v>
      </c>
      <c r="B71" s="349">
        <v>0.54390000000000005</v>
      </c>
      <c r="C71" s="58"/>
      <c r="D71" s="58"/>
    </row>
    <row r="72" spans="1:4" ht="16" x14ac:dyDescent="0.2">
      <c r="A72" s="166" t="s">
        <v>564</v>
      </c>
      <c r="B72" s="349">
        <v>0.14649999999999999</v>
      </c>
      <c r="C72" s="58"/>
      <c r="D72" s="58"/>
    </row>
    <row r="73" spans="1:4" ht="16" x14ac:dyDescent="0.2">
      <c r="A73" s="166" t="s">
        <v>262</v>
      </c>
      <c r="B73" s="349">
        <v>9.1800000000000007E-2</v>
      </c>
      <c r="C73" s="58"/>
      <c r="D73" s="58"/>
    </row>
    <row r="74" spans="1:4" ht="16" x14ac:dyDescent="0.2">
      <c r="A74" s="166" t="s">
        <v>565</v>
      </c>
      <c r="B74" s="349">
        <v>1.9300000000000001E-2</v>
      </c>
      <c r="C74" s="58"/>
      <c r="D74" s="58"/>
    </row>
    <row r="75" spans="1:4" ht="16" x14ac:dyDescent="0.2">
      <c r="A75" s="166" t="s">
        <v>506</v>
      </c>
      <c r="B75" s="349">
        <v>1.1999999999999999E-3</v>
      </c>
      <c r="C75" s="58"/>
      <c r="D75" s="58"/>
    </row>
    <row r="76" spans="1:4" ht="16" x14ac:dyDescent="0.2">
      <c r="A76" s="166" t="s">
        <v>557</v>
      </c>
      <c r="B76" s="349">
        <v>3.5999999999999997E-2</v>
      </c>
      <c r="C76" s="58"/>
      <c r="D76" s="58"/>
    </row>
    <row r="77" spans="1:4" ht="16" x14ac:dyDescent="0.2">
      <c r="A77" s="166" t="s">
        <v>558</v>
      </c>
      <c r="B77" s="349">
        <v>8.9999999999999993E-3</v>
      </c>
      <c r="C77" s="58"/>
      <c r="D77" s="58"/>
    </row>
    <row r="78" spans="1:4" ht="16" x14ac:dyDescent="0.2">
      <c r="A78" s="166" t="s">
        <v>566</v>
      </c>
      <c r="B78" s="347">
        <v>0</v>
      </c>
      <c r="C78" s="58"/>
      <c r="D78" s="58"/>
    </row>
    <row r="79" spans="1:4" ht="16" x14ac:dyDescent="0.2">
      <c r="A79" s="166" t="s">
        <v>567</v>
      </c>
      <c r="B79" s="349">
        <v>3.4200000000000001E-2</v>
      </c>
      <c r="C79" s="58"/>
      <c r="D79" s="58"/>
    </row>
    <row r="80" spans="1:4" ht="16" x14ac:dyDescent="0.2">
      <c r="A80" s="350" t="s">
        <v>64</v>
      </c>
      <c r="B80" s="191">
        <f>SUM(B70:B79)</f>
        <v>1</v>
      </c>
    </row>
  </sheetData>
  <mergeCells count="4">
    <mergeCell ref="F14:I14"/>
    <mergeCell ref="A2:K2"/>
    <mergeCell ref="A3:K3"/>
    <mergeCell ref="A5:K5"/>
  </mergeCells>
  <conditionalFormatting sqref="B16:D21 I16:I21 B24:D35 C38:E39 I38 I24:I35">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2"/>
  <sheetViews>
    <sheetView workbookViewId="0">
      <selection activeCell="B24" sqref="B24"/>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4" t="s">
        <v>172</v>
      </c>
    </row>
    <row r="2" spans="1:13" s="26" customFormat="1" ht="15.75" customHeight="1" x14ac:dyDescent="0.15">
      <c r="A2" s="55" t="s">
        <v>170</v>
      </c>
      <c r="B2" s="56"/>
      <c r="C2" s="56"/>
      <c r="D2" s="56"/>
      <c r="E2" s="56"/>
      <c r="F2" s="56"/>
      <c r="G2" s="56"/>
      <c r="H2" s="56"/>
      <c r="I2" s="56"/>
      <c r="J2" s="56"/>
      <c r="K2" s="56"/>
      <c r="L2" s="56"/>
      <c r="M2" s="56"/>
    </row>
    <row r="3" spans="1:13" s="26" customFormat="1" ht="15.75" customHeight="1" x14ac:dyDescent="0.15">
      <c r="A3" s="53" t="s">
        <v>132</v>
      </c>
      <c r="B3" s="54"/>
      <c r="C3" s="54"/>
      <c r="D3" s="54"/>
      <c r="E3" s="54"/>
      <c r="F3" s="54"/>
      <c r="G3" s="54"/>
      <c r="H3" s="54"/>
      <c r="I3" s="54"/>
      <c r="J3" s="54"/>
      <c r="K3" s="54"/>
      <c r="L3" s="54"/>
      <c r="M3" s="54"/>
    </row>
    <row r="4" spans="1:13" s="26" customFormat="1" ht="15.75" customHeight="1" x14ac:dyDescent="0.15">
      <c r="A4" s="49" t="s">
        <v>48</v>
      </c>
      <c r="B4" s="52"/>
      <c r="C4" s="52"/>
      <c r="D4" s="52"/>
      <c r="E4" s="52"/>
      <c r="F4" s="52"/>
      <c r="G4" s="52"/>
      <c r="H4" s="52"/>
      <c r="I4" s="52"/>
      <c r="J4" s="52"/>
      <c r="K4" s="52"/>
      <c r="L4" s="52"/>
      <c r="M4" s="52"/>
    </row>
    <row r="5" spans="1:13" s="26" customFormat="1" ht="15.75" customHeight="1" x14ac:dyDescent="0.15">
      <c r="A5" s="11" t="s">
        <v>468</v>
      </c>
      <c r="B5" s="46"/>
      <c r="C5" s="46"/>
      <c r="D5" s="46"/>
      <c r="E5" s="46"/>
      <c r="F5" s="46"/>
      <c r="G5" s="46"/>
      <c r="H5" s="46"/>
      <c r="I5" s="46"/>
      <c r="J5" s="46"/>
      <c r="K5" s="46"/>
      <c r="L5" s="46"/>
      <c r="M5" s="46"/>
    </row>
    <row r="6" spans="1:13" ht="15.75" customHeight="1" x14ac:dyDescent="0.15">
      <c r="A6" s="83" t="s">
        <v>0</v>
      </c>
      <c r="B6" s="83" t="s">
        <v>4</v>
      </c>
      <c r="C6" s="83" t="s">
        <v>5</v>
      </c>
      <c r="D6" s="83" t="s">
        <v>6</v>
      </c>
      <c r="E6" s="83" t="s">
        <v>7</v>
      </c>
      <c r="F6" s="83" t="s">
        <v>8</v>
      </c>
      <c r="G6" s="83" t="s">
        <v>9</v>
      </c>
      <c r="H6" s="83" t="s">
        <v>10</v>
      </c>
      <c r="I6" s="83" t="s">
        <v>11</v>
      </c>
      <c r="J6" s="5" t="s">
        <v>12</v>
      </c>
      <c r="K6" s="29" t="s">
        <v>224</v>
      </c>
      <c r="L6" s="29" t="s">
        <v>225</v>
      </c>
    </row>
    <row r="7" spans="1:13" ht="15.75" customHeight="1" x14ac:dyDescent="0.15">
      <c r="A7" s="11" t="s">
        <v>13</v>
      </c>
      <c r="B7" s="89" t="s">
        <v>267</v>
      </c>
      <c r="C7" s="89" t="s">
        <v>267</v>
      </c>
      <c r="D7" s="89" t="s">
        <v>268</v>
      </c>
      <c r="E7" s="89" t="s">
        <v>268</v>
      </c>
      <c r="F7" s="89" t="s">
        <v>269</v>
      </c>
      <c r="G7" s="89" t="s">
        <v>270</v>
      </c>
      <c r="H7" s="89" t="s">
        <v>271</v>
      </c>
      <c r="I7" s="89" t="s">
        <v>272</v>
      </c>
      <c r="J7" s="89" t="s">
        <v>273</v>
      </c>
      <c r="K7" s="89" t="s">
        <v>101</v>
      </c>
      <c r="L7" s="89" t="s">
        <v>101</v>
      </c>
    </row>
    <row r="8" spans="1:13" ht="15.75" customHeight="1" x14ac:dyDescent="0.15">
      <c r="A8" s="11" t="s">
        <v>14</v>
      </c>
      <c r="B8" s="89" t="s">
        <v>267</v>
      </c>
      <c r="C8" s="89" t="s">
        <v>267</v>
      </c>
      <c r="D8" s="89" t="s">
        <v>274</v>
      </c>
      <c r="E8" s="89" t="s">
        <v>274</v>
      </c>
      <c r="F8" s="89" t="s">
        <v>275</v>
      </c>
      <c r="G8" s="89" t="s">
        <v>276</v>
      </c>
      <c r="H8" s="89" t="s">
        <v>277</v>
      </c>
      <c r="I8" s="89" t="s">
        <v>278</v>
      </c>
      <c r="J8" s="89" t="s">
        <v>279</v>
      </c>
      <c r="K8" s="89" t="s">
        <v>101</v>
      </c>
      <c r="L8" s="89" t="s">
        <v>101</v>
      </c>
    </row>
    <row r="9" spans="1:13" ht="15.75" customHeight="1" x14ac:dyDescent="0.15">
      <c r="A9" s="11" t="s">
        <v>15</v>
      </c>
      <c r="B9" s="89" t="s">
        <v>268</v>
      </c>
      <c r="C9" s="89" t="s">
        <v>268</v>
      </c>
      <c r="D9" s="89" t="s">
        <v>268</v>
      </c>
      <c r="E9" s="89" t="s">
        <v>268</v>
      </c>
      <c r="F9" s="89" t="s">
        <v>280</v>
      </c>
      <c r="G9" s="89" t="s">
        <v>281</v>
      </c>
      <c r="H9" s="89" t="s">
        <v>282</v>
      </c>
      <c r="I9" s="89" t="s">
        <v>268</v>
      </c>
      <c r="J9" s="89" t="s">
        <v>267</v>
      </c>
      <c r="K9" s="89" t="s">
        <v>101</v>
      </c>
      <c r="L9" s="89" t="s">
        <v>101</v>
      </c>
    </row>
    <row r="10" spans="1:13" ht="15.75" customHeight="1" x14ac:dyDescent="0.15">
      <c r="A10" s="11" t="s">
        <v>16</v>
      </c>
      <c r="B10" s="89" t="s">
        <v>274</v>
      </c>
      <c r="C10" s="89" t="s">
        <v>274</v>
      </c>
      <c r="D10" s="89" t="s">
        <v>274</v>
      </c>
      <c r="E10" s="89" t="s">
        <v>274</v>
      </c>
      <c r="F10" s="89" t="s">
        <v>283</v>
      </c>
      <c r="G10" s="89" t="s">
        <v>284</v>
      </c>
      <c r="H10" s="89" t="s">
        <v>285</v>
      </c>
      <c r="I10" s="89" t="s">
        <v>274</v>
      </c>
      <c r="J10" s="89" t="s">
        <v>267</v>
      </c>
      <c r="K10" s="89" t="s">
        <v>101</v>
      </c>
      <c r="L10" s="89" t="s">
        <v>101</v>
      </c>
    </row>
    <row r="11" spans="1:13" ht="15.75" customHeight="1" x14ac:dyDescent="0.15">
      <c r="A11" s="38"/>
      <c r="B11" s="38"/>
      <c r="C11" s="38"/>
      <c r="D11" s="38"/>
      <c r="E11" s="38"/>
      <c r="F11" s="38"/>
      <c r="G11" s="38"/>
      <c r="H11" s="38"/>
      <c r="I11" s="38"/>
      <c r="J11" s="38"/>
    </row>
    <row r="12" spans="1:13" ht="15.75" customHeight="1" x14ac:dyDescent="0.15">
      <c r="A12" s="83" t="s">
        <v>0</v>
      </c>
      <c r="B12" s="83" t="s">
        <v>126</v>
      </c>
      <c r="C12" s="83" t="s">
        <v>125</v>
      </c>
      <c r="D12" s="83" t="s">
        <v>127</v>
      </c>
      <c r="E12" s="83" t="s">
        <v>128</v>
      </c>
      <c r="F12" s="83" t="s">
        <v>129</v>
      </c>
      <c r="G12" s="83" t="s">
        <v>130</v>
      </c>
      <c r="H12" s="83" t="s">
        <v>131</v>
      </c>
      <c r="I12" s="83" t="s">
        <v>11</v>
      </c>
      <c r="J12" s="5" t="s">
        <v>12</v>
      </c>
      <c r="K12" s="29" t="s">
        <v>224</v>
      </c>
      <c r="L12" s="29" t="s">
        <v>225</v>
      </c>
    </row>
    <row r="13" spans="1:13" ht="15.75" customHeight="1" x14ac:dyDescent="0.15">
      <c r="A13" s="11" t="s">
        <v>13</v>
      </c>
      <c r="B13" s="90" t="s">
        <v>267</v>
      </c>
      <c r="C13" s="90" t="s">
        <v>267</v>
      </c>
      <c r="D13" s="90">
        <v>0.05</v>
      </c>
      <c r="E13" s="90">
        <v>0.05</v>
      </c>
      <c r="F13" s="90">
        <v>0.06</v>
      </c>
      <c r="G13" s="90">
        <v>0.13</v>
      </c>
      <c r="H13" s="90">
        <v>0.25</v>
      </c>
      <c r="I13" s="90">
        <v>0.02</v>
      </c>
      <c r="J13" s="90">
        <v>2</v>
      </c>
      <c r="K13" s="371" t="s">
        <v>101</v>
      </c>
      <c r="L13" s="371" t="s">
        <v>101</v>
      </c>
    </row>
    <row r="14" spans="1:13" ht="15.75" customHeight="1" x14ac:dyDescent="0.15">
      <c r="A14" s="11" t="s">
        <v>14</v>
      </c>
      <c r="B14" s="90" t="s">
        <v>267</v>
      </c>
      <c r="C14" s="90" t="s">
        <v>267</v>
      </c>
      <c r="D14" s="90">
        <v>0.15</v>
      </c>
      <c r="E14" s="90">
        <v>0.15</v>
      </c>
      <c r="F14" s="90">
        <v>0.14000000000000001</v>
      </c>
      <c r="G14" s="90">
        <v>0.28000000000000003</v>
      </c>
      <c r="H14" s="90">
        <v>0.55000000000000004</v>
      </c>
      <c r="I14" s="90">
        <v>0.1</v>
      </c>
      <c r="J14" s="90">
        <v>4</v>
      </c>
      <c r="K14" s="38" t="s">
        <v>101</v>
      </c>
      <c r="L14" s="38" t="s">
        <v>101</v>
      </c>
    </row>
    <row r="15" spans="1:13" ht="15.75" customHeight="1" x14ac:dyDescent="0.15">
      <c r="A15" s="11" t="s">
        <v>15</v>
      </c>
      <c r="B15" s="90">
        <v>0.05</v>
      </c>
      <c r="C15" s="90">
        <v>0.05</v>
      </c>
      <c r="D15" s="90">
        <v>0.05</v>
      </c>
      <c r="E15" s="90">
        <v>0.05</v>
      </c>
      <c r="F15" s="90">
        <v>0.09</v>
      </c>
      <c r="G15" s="90">
        <v>0.18</v>
      </c>
      <c r="H15" s="90">
        <v>0.35</v>
      </c>
      <c r="I15" s="90">
        <v>0.05</v>
      </c>
      <c r="J15" s="90" t="s">
        <v>267</v>
      </c>
      <c r="K15" s="99">
        <v>1.25</v>
      </c>
      <c r="L15" s="103">
        <v>2</v>
      </c>
    </row>
    <row r="16" spans="1:13" ht="15.75" customHeight="1" x14ac:dyDescent="0.15">
      <c r="A16" s="11" t="s">
        <v>16</v>
      </c>
      <c r="B16" s="90">
        <v>0.15</v>
      </c>
      <c r="C16" s="90">
        <v>0.15</v>
      </c>
      <c r="D16" s="90">
        <v>0.15</v>
      </c>
      <c r="E16" s="90">
        <v>0.15</v>
      </c>
      <c r="F16" s="90">
        <v>0.19</v>
      </c>
      <c r="G16" s="90">
        <v>0.38</v>
      </c>
      <c r="H16" s="90">
        <v>0.75</v>
      </c>
      <c r="I16" s="90">
        <v>0.15</v>
      </c>
      <c r="J16" s="90" t="s">
        <v>267</v>
      </c>
      <c r="K16" s="99">
        <v>1.25</v>
      </c>
      <c r="L16" s="103">
        <v>2</v>
      </c>
    </row>
    <row r="17" spans="1:13" ht="15.75" customHeight="1" x14ac:dyDescent="0.15">
      <c r="A17" s="4" t="s">
        <v>17</v>
      </c>
    </row>
    <row r="18" spans="1:13" ht="15.75" customHeight="1" x14ac:dyDescent="0.15">
      <c r="A18" s="11" t="s">
        <v>132</v>
      </c>
    </row>
    <row r="19" spans="1:13" s="112" customFormat="1" ht="15.75" customHeight="1" x14ac:dyDescent="0.15">
      <c r="A19" s="113"/>
    </row>
    <row r="20" spans="1:13" s="112" customFormat="1" ht="15.75" customHeight="1" x14ac:dyDescent="0.15">
      <c r="A20" s="49" t="s">
        <v>381</v>
      </c>
      <c r="B20" s="52"/>
      <c r="C20" s="52"/>
      <c r="D20" s="52"/>
      <c r="E20" s="52"/>
      <c r="F20" s="52"/>
      <c r="G20" s="52"/>
      <c r="H20" s="52"/>
      <c r="I20" s="52"/>
      <c r="J20" s="52"/>
      <c r="K20" s="52"/>
      <c r="L20" s="52"/>
      <c r="M20" s="52"/>
    </row>
    <row r="21" spans="1:13" s="112" customFormat="1" ht="15.75" customHeight="1" x14ac:dyDescent="0.15">
      <c r="A21" s="106"/>
      <c r="B21" s="482" t="s">
        <v>473</v>
      </c>
      <c r="C21" s="482"/>
      <c r="D21" s="482"/>
      <c r="E21" s="482"/>
      <c r="F21" s="482"/>
      <c r="G21" s="46"/>
      <c r="H21" s="46"/>
      <c r="I21" s="46"/>
      <c r="J21" s="46"/>
      <c r="K21" s="46"/>
      <c r="L21" s="46"/>
      <c r="M21" s="46"/>
    </row>
    <row r="22" spans="1:13" ht="15.75" customHeight="1" x14ac:dyDescent="0.2">
      <c r="A22" s="58" t="s">
        <v>382</v>
      </c>
      <c r="B22" s="38"/>
      <c r="C22" s="38"/>
      <c r="D22" s="38"/>
      <c r="E22" s="38"/>
      <c r="F22" s="38"/>
      <c r="G22" s="112"/>
      <c r="H22" s="112"/>
      <c r="I22" s="112"/>
      <c r="J22" s="112"/>
      <c r="K22" s="112"/>
      <c r="L22" s="112"/>
      <c r="M22" s="112"/>
    </row>
    <row r="23" spans="1:13" s="412" customFormat="1" ht="15.75" customHeight="1" x14ac:dyDescent="0.2">
      <c r="A23" s="58" t="s">
        <v>986</v>
      </c>
      <c r="B23" s="413">
        <v>0.02</v>
      </c>
      <c r="C23" s="413"/>
      <c r="D23" s="413"/>
      <c r="E23" s="413"/>
      <c r="F23" s="413"/>
    </row>
    <row r="24" spans="1:13" ht="15.75" customHeight="1" x14ac:dyDescent="0.2">
      <c r="A24" s="48" t="s">
        <v>498</v>
      </c>
      <c r="B24" s="92">
        <v>0.06</v>
      </c>
      <c r="C24" s="92"/>
      <c r="D24" s="92"/>
      <c r="E24" s="92"/>
      <c r="F24" s="92"/>
      <c r="G24" s="112"/>
      <c r="H24" s="112"/>
      <c r="I24" s="112"/>
      <c r="J24" s="112"/>
      <c r="K24" s="112"/>
      <c r="L24" s="112"/>
      <c r="M24" s="112"/>
    </row>
    <row r="25" spans="1:13" s="109" customFormat="1" ht="15.75" customHeight="1" x14ac:dyDescent="0.2">
      <c r="A25" s="48" t="s">
        <v>499</v>
      </c>
      <c r="B25" s="92">
        <v>0.03</v>
      </c>
      <c r="C25" s="92"/>
      <c r="D25" s="92"/>
      <c r="E25" s="92"/>
      <c r="F25" s="92"/>
      <c r="G25" s="112"/>
      <c r="H25" s="112"/>
      <c r="I25" s="112"/>
      <c r="J25" s="112"/>
      <c r="K25" s="112"/>
      <c r="L25" s="112"/>
      <c r="M25" s="112"/>
    </row>
    <row r="26" spans="1:13" s="112" customFormat="1" ht="15.75" customHeight="1" x14ac:dyDescent="0.2">
      <c r="A26" s="48" t="s">
        <v>500</v>
      </c>
      <c r="B26" s="92">
        <v>0.05</v>
      </c>
      <c r="C26" s="92"/>
      <c r="D26" s="92"/>
      <c r="E26" s="92"/>
      <c r="F26" s="92"/>
    </row>
    <row r="27" spans="1:13" s="112" customFormat="1" ht="15.75" customHeight="1" x14ac:dyDescent="0.15">
      <c r="A27" s="113"/>
    </row>
    <row r="28" spans="1:13" ht="15.75" customHeight="1" x14ac:dyDescent="0.15">
      <c r="A28" s="112"/>
      <c r="B28" s="112"/>
      <c r="C28" s="112"/>
      <c r="D28" s="112"/>
      <c r="E28" s="112"/>
      <c r="F28" s="112"/>
      <c r="G28" s="112"/>
      <c r="H28" s="112"/>
      <c r="I28" s="112"/>
      <c r="J28" s="112"/>
      <c r="K28" s="112"/>
      <c r="L28" s="112"/>
      <c r="M28" s="112"/>
    </row>
    <row r="29" spans="1:13" ht="15.75" customHeight="1" x14ac:dyDescent="0.15">
      <c r="A29" s="49" t="s">
        <v>383</v>
      </c>
      <c r="B29" s="52"/>
      <c r="C29" s="52"/>
      <c r="D29" s="52"/>
      <c r="E29" s="52"/>
      <c r="F29" s="52"/>
      <c r="G29" s="52"/>
      <c r="H29" s="52"/>
      <c r="I29" s="52"/>
      <c r="J29" s="52"/>
      <c r="K29" s="52"/>
      <c r="L29" s="52"/>
      <c r="M29" s="52"/>
    </row>
    <row r="30" spans="1:13" s="125" customFormat="1" ht="15.75" customHeight="1" x14ac:dyDescent="0.15">
      <c r="A30" s="106"/>
      <c r="B30" s="107" t="s">
        <v>505</v>
      </c>
      <c r="C30" s="46"/>
      <c r="D30" s="46"/>
      <c r="E30" s="46"/>
      <c r="F30" s="46"/>
      <c r="G30" s="46"/>
      <c r="H30" s="46"/>
      <c r="I30" s="46"/>
      <c r="J30" s="46"/>
      <c r="K30" s="46"/>
      <c r="L30" s="46"/>
      <c r="M30" s="46"/>
    </row>
    <row r="31" spans="1:13" ht="15.75" customHeight="1" x14ac:dyDescent="0.15">
      <c r="A31" s="113" t="s">
        <v>383</v>
      </c>
      <c r="B31" s="112">
        <v>0.01</v>
      </c>
      <c r="C31" s="112"/>
      <c r="D31" s="112"/>
      <c r="E31" s="112"/>
      <c r="F31" s="112"/>
      <c r="G31" s="112"/>
      <c r="H31" s="112"/>
      <c r="I31" s="112"/>
      <c r="J31" s="112"/>
      <c r="K31" s="112"/>
      <c r="L31" s="112"/>
      <c r="M31" s="112"/>
    </row>
    <row r="33" spans="1:13" ht="15.75" customHeight="1" x14ac:dyDescent="0.15">
      <c r="A33" s="49" t="s">
        <v>171</v>
      </c>
      <c r="B33" s="52"/>
      <c r="C33" s="52"/>
      <c r="D33" s="52"/>
      <c r="E33" s="52"/>
      <c r="F33" s="52"/>
      <c r="G33" s="52"/>
      <c r="H33" s="52"/>
      <c r="I33" s="52"/>
      <c r="J33" s="52"/>
      <c r="K33" s="52"/>
      <c r="L33" s="52"/>
      <c r="M33" s="52"/>
    </row>
    <row r="34" spans="1:13" ht="15.75" customHeight="1" x14ac:dyDescent="0.15">
      <c r="A34" s="106"/>
      <c r="B34" s="482" t="s">
        <v>473</v>
      </c>
      <c r="C34" s="482"/>
      <c r="D34" s="482"/>
      <c r="E34" s="482"/>
      <c r="F34" s="482"/>
      <c r="H34" s="46"/>
      <c r="I34" s="46"/>
      <c r="J34" s="46"/>
      <c r="K34" s="46"/>
      <c r="L34" s="46"/>
      <c r="M34" s="46"/>
    </row>
    <row r="35" spans="1:13" ht="15.75" customHeight="1" x14ac:dyDescent="0.2">
      <c r="A35" s="60" t="s">
        <v>501</v>
      </c>
      <c r="B35" s="44" t="s">
        <v>469</v>
      </c>
      <c r="C35" s="44" t="s">
        <v>470</v>
      </c>
      <c r="D35" s="44" t="s">
        <v>471</v>
      </c>
      <c r="E35" s="44" t="s">
        <v>471</v>
      </c>
      <c r="F35" s="44" t="s">
        <v>472</v>
      </c>
      <c r="G35" s="195" t="s">
        <v>583</v>
      </c>
    </row>
    <row r="36" spans="1:13" ht="15.75" customHeight="1" x14ac:dyDescent="0.2">
      <c r="A36" s="58" t="str">
        <f>Database!A8</f>
        <v>Amaranth</v>
      </c>
      <c r="B36" s="92">
        <v>0.03</v>
      </c>
      <c r="C36" s="92">
        <v>0.03</v>
      </c>
      <c r="D36" s="92">
        <v>0.03</v>
      </c>
      <c r="E36" s="92">
        <v>0.02</v>
      </c>
      <c r="F36" s="92">
        <v>0.01</v>
      </c>
      <c r="G36" s="190">
        <v>0.97</v>
      </c>
    </row>
    <row r="37" spans="1:13" ht="15.75" customHeight="1" x14ac:dyDescent="0.2">
      <c r="A37" s="58" t="str">
        <f>Database!A9</f>
        <v>Arugula</v>
      </c>
      <c r="B37" s="92">
        <v>0.03</v>
      </c>
      <c r="C37" s="92">
        <v>0.03</v>
      </c>
      <c r="D37" s="92">
        <v>0.03</v>
      </c>
      <c r="E37" s="92">
        <v>0.02</v>
      </c>
      <c r="F37" s="92">
        <v>0.01</v>
      </c>
      <c r="G37" s="190">
        <v>0.97</v>
      </c>
    </row>
    <row r="38" spans="1:13" ht="15.75" customHeight="1" x14ac:dyDescent="0.2">
      <c r="A38" s="58" t="str">
        <f>Database!A10</f>
        <v>Basil - Dwarf</v>
      </c>
      <c r="B38" s="92">
        <v>0.03</v>
      </c>
      <c r="C38" s="92">
        <v>0.03</v>
      </c>
      <c r="D38" s="92">
        <v>0.03</v>
      </c>
      <c r="E38" s="92">
        <v>0.02</v>
      </c>
      <c r="F38" s="92">
        <v>0.01</v>
      </c>
      <c r="G38" s="190">
        <v>0.97</v>
      </c>
    </row>
    <row r="39" spans="1:13" ht="15.75" customHeight="1" x14ac:dyDescent="0.2">
      <c r="A39" s="58" t="str">
        <f>Database!A11</f>
        <v>Basil - Lemon</v>
      </c>
      <c r="B39" s="92">
        <v>0.03</v>
      </c>
      <c r="C39" s="92">
        <v>0.03</v>
      </c>
      <c r="D39" s="92">
        <v>0.03</v>
      </c>
      <c r="E39" s="92">
        <v>0.02</v>
      </c>
      <c r="F39" s="92">
        <v>0.01</v>
      </c>
      <c r="G39" s="190">
        <v>0.97</v>
      </c>
    </row>
    <row r="40" spans="1:13" s="188" customFormat="1" ht="15.75" customHeight="1" x14ac:dyDescent="0.2">
      <c r="A40" s="58" t="str">
        <f>Database!A12</f>
        <v>Basil - Thai</v>
      </c>
      <c r="B40" s="92">
        <v>0.03</v>
      </c>
      <c r="C40" s="92">
        <v>0.03</v>
      </c>
      <c r="D40" s="92">
        <v>0.03</v>
      </c>
      <c r="E40" s="92">
        <v>0.02</v>
      </c>
      <c r="F40" s="92">
        <v>0.01</v>
      </c>
      <c r="G40" s="190">
        <v>0.97</v>
      </c>
    </row>
    <row r="41" spans="1:13" ht="15.75" customHeight="1" x14ac:dyDescent="0.2">
      <c r="A41" s="58" t="str">
        <f>Database!A13</f>
        <v>Basil - Sweet</v>
      </c>
      <c r="B41" s="92">
        <v>0.03</v>
      </c>
      <c r="C41" s="92">
        <v>0.03</v>
      </c>
      <c r="D41" s="92">
        <v>0.03</v>
      </c>
      <c r="E41" s="92">
        <v>0.02</v>
      </c>
      <c r="F41" s="92">
        <v>0.01</v>
      </c>
      <c r="G41" s="190">
        <v>0.97</v>
      </c>
    </row>
    <row r="42" spans="1:13" ht="15.75" customHeight="1" x14ac:dyDescent="0.2">
      <c r="A42" s="58" t="str">
        <f>Database!A14</f>
        <v>Basil - Genovese</v>
      </c>
      <c r="B42" s="92">
        <v>0.03</v>
      </c>
      <c r="C42" s="92">
        <v>0.03</v>
      </c>
      <c r="D42" s="92">
        <v>0.03</v>
      </c>
      <c r="E42" s="92">
        <v>0.02</v>
      </c>
      <c r="F42" s="92">
        <v>0.01</v>
      </c>
      <c r="G42" s="190">
        <v>0.97</v>
      </c>
    </row>
    <row r="43" spans="1:13" ht="15.75" customHeight="1" x14ac:dyDescent="0.2">
      <c r="A43" s="58" t="str">
        <f>Database!A15</f>
        <v>Bok-Choy</v>
      </c>
      <c r="B43" s="92">
        <v>0.03</v>
      </c>
      <c r="C43" s="92">
        <v>0.03</v>
      </c>
      <c r="D43" s="92">
        <v>0.03</v>
      </c>
      <c r="E43" s="92">
        <v>0.02</v>
      </c>
      <c r="F43" s="92">
        <v>0.01</v>
      </c>
      <c r="G43" s="190">
        <v>0.97</v>
      </c>
    </row>
    <row r="44" spans="1:13" s="95" customFormat="1" ht="15.75" customHeight="1" x14ac:dyDescent="0.2">
      <c r="A44" s="58" t="str">
        <f>Database!A16</f>
        <v>Broccoli</v>
      </c>
      <c r="B44" s="92">
        <v>0.03</v>
      </c>
      <c r="C44" s="92">
        <v>0.03</v>
      </c>
      <c r="D44" s="92">
        <v>0.03</v>
      </c>
      <c r="E44" s="92">
        <v>0.02</v>
      </c>
      <c r="F44" s="92">
        <v>0.01</v>
      </c>
      <c r="G44" s="190">
        <v>0.97</v>
      </c>
      <c r="H44" s="46"/>
      <c r="I44" s="46"/>
      <c r="J44" s="46"/>
      <c r="K44" s="46"/>
      <c r="L44" s="46"/>
      <c r="M44" s="46"/>
    </row>
    <row r="45" spans="1:13" ht="15.75" customHeight="1" x14ac:dyDescent="0.2">
      <c r="A45" s="58" t="str">
        <f>Database!A17</f>
        <v>Cabbage</v>
      </c>
      <c r="B45" s="92">
        <v>0.03</v>
      </c>
      <c r="C45" s="92">
        <v>0.03</v>
      </c>
      <c r="D45" s="92">
        <v>0.03</v>
      </c>
      <c r="E45" s="92">
        <v>0.02</v>
      </c>
      <c r="F45" s="92">
        <v>0.01</v>
      </c>
      <c r="G45" s="190">
        <v>0.97</v>
      </c>
    </row>
    <row r="46" spans="1:13" s="112" customFormat="1" ht="15.75" customHeight="1" x14ac:dyDescent="0.2">
      <c r="A46" s="58" t="str">
        <f>Database!A18</f>
        <v>Cai Xin</v>
      </c>
      <c r="B46" s="92">
        <v>0.03</v>
      </c>
      <c r="C46" s="92">
        <v>0.03</v>
      </c>
      <c r="D46" s="92">
        <v>0.03</v>
      </c>
      <c r="E46" s="92">
        <v>0.02</v>
      </c>
      <c r="F46" s="92">
        <v>0.01</v>
      </c>
      <c r="G46" s="190">
        <v>0.97</v>
      </c>
      <c r="H46"/>
      <c r="I46"/>
      <c r="J46"/>
      <c r="K46"/>
      <c r="L46"/>
      <c r="M46"/>
    </row>
    <row r="47" spans="1:13" ht="15.75" customHeight="1" x14ac:dyDescent="0.2">
      <c r="A47" s="58" t="str">
        <f>Database!A19</f>
        <v>Carrot</v>
      </c>
      <c r="B47" s="92">
        <v>0.03</v>
      </c>
      <c r="C47" s="92">
        <v>0.03</v>
      </c>
      <c r="D47" s="92">
        <v>0.03</v>
      </c>
      <c r="E47" s="92">
        <v>0.02</v>
      </c>
      <c r="F47" s="92">
        <v>0.01</v>
      </c>
      <c r="G47" s="190">
        <v>0.97</v>
      </c>
    </row>
    <row r="48" spans="1:13" ht="15.75" customHeight="1" x14ac:dyDescent="0.2">
      <c r="A48" s="58" t="str">
        <f>Database!A20</f>
        <v>Cauliflower</v>
      </c>
      <c r="B48" s="92">
        <v>0.03</v>
      </c>
      <c r="C48" s="92">
        <v>0.03</v>
      </c>
      <c r="D48" s="92">
        <v>0.03</v>
      </c>
      <c r="E48" s="92">
        <v>0.02</v>
      </c>
      <c r="F48" s="92">
        <v>0.01</v>
      </c>
      <c r="G48" s="190">
        <v>0.97</v>
      </c>
    </row>
    <row r="49" spans="1:13" ht="15.75" customHeight="1" x14ac:dyDescent="0.2">
      <c r="A49" s="58" t="str">
        <f>Database!A21</f>
        <v>Chard Swiss</v>
      </c>
      <c r="B49" s="92">
        <v>0.03</v>
      </c>
      <c r="C49" s="92">
        <v>0.03</v>
      </c>
      <c r="D49" s="92">
        <v>0.03</v>
      </c>
      <c r="E49" s="92">
        <v>0.02</v>
      </c>
      <c r="F49" s="92">
        <v>0.01</v>
      </c>
      <c r="G49" s="190">
        <v>0.97</v>
      </c>
    </row>
    <row r="50" spans="1:13" ht="15.75" customHeight="1" x14ac:dyDescent="0.2">
      <c r="A50" s="58" t="str">
        <f>Database!A22</f>
        <v>Chives</v>
      </c>
      <c r="B50" s="92">
        <v>0.03</v>
      </c>
      <c r="C50" s="92">
        <v>0.03</v>
      </c>
      <c r="D50" s="92">
        <v>0.03</v>
      </c>
      <c r="E50" s="92">
        <v>0.02</v>
      </c>
      <c r="F50" s="92">
        <v>0.01</v>
      </c>
      <c r="G50" s="190">
        <v>0.97</v>
      </c>
      <c r="H50" s="95"/>
      <c r="I50" s="95"/>
      <c r="J50" s="95"/>
      <c r="K50" s="95"/>
      <c r="L50" s="95"/>
      <c r="M50" s="95"/>
    </row>
    <row r="51" spans="1:13" ht="15.75" customHeight="1" x14ac:dyDescent="0.2">
      <c r="A51" s="58" t="str">
        <f>Database!A23</f>
        <v>Chinese Leaf</v>
      </c>
      <c r="B51" s="92">
        <v>0.03</v>
      </c>
      <c r="C51" s="92">
        <v>0.03</v>
      </c>
      <c r="D51" s="92">
        <v>0.03</v>
      </c>
      <c r="E51" s="92">
        <v>0.02</v>
      </c>
      <c r="F51" s="92">
        <v>0.01</v>
      </c>
      <c r="G51" s="190">
        <v>0.97</v>
      </c>
    </row>
    <row r="52" spans="1:13" ht="15.75" customHeight="1" x14ac:dyDescent="0.2">
      <c r="A52" s="58" t="str">
        <f>Database!A24</f>
        <v>Choy Sum</v>
      </c>
      <c r="B52" s="92">
        <v>0.03</v>
      </c>
      <c r="C52" s="92">
        <v>0.03</v>
      </c>
      <c r="D52" s="92">
        <v>0.03</v>
      </c>
      <c r="E52" s="92">
        <v>0.02</v>
      </c>
      <c r="F52" s="92">
        <v>0.01</v>
      </c>
      <c r="G52" s="190">
        <v>0.97</v>
      </c>
      <c r="H52" s="112"/>
      <c r="I52" s="112"/>
      <c r="J52" s="112"/>
      <c r="K52" s="112"/>
      <c r="L52" s="112"/>
      <c r="M52" s="112"/>
    </row>
    <row r="53" spans="1:13" ht="15.75" customHeight="1" x14ac:dyDescent="0.2">
      <c r="A53" s="58" t="str">
        <f>Database!A25</f>
        <v>Cilantro</v>
      </c>
      <c r="B53" s="92">
        <v>0.03</v>
      </c>
      <c r="C53" s="92">
        <v>0.03</v>
      </c>
      <c r="D53" s="92">
        <v>0.03</v>
      </c>
      <c r="E53" s="92">
        <v>0.02</v>
      </c>
      <c r="F53" s="92">
        <v>0.01</v>
      </c>
      <c r="G53" s="190">
        <v>0.97</v>
      </c>
    </row>
    <row r="54" spans="1:13" ht="15.75" customHeight="1" x14ac:dyDescent="0.2">
      <c r="A54" s="58" t="str">
        <f>Database!A26</f>
        <v>Cucumber</v>
      </c>
      <c r="B54" s="92">
        <v>0.03</v>
      </c>
      <c r="C54" s="92">
        <v>0.03</v>
      </c>
      <c r="D54" s="92">
        <v>0.03</v>
      </c>
      <c r="E54" s="92">
        <v>0.02</v>
      </c>
      <c r="F54" s="92">
        <v>0.01</v>
      </c>
      <c r="G54" s="190">
        <v>0.97</v>
      </c>
    </row>
    <row r="55" spans="1:13" ht="15.75" customHeight="1" x14ac:dyDescent="0.2">
      <c r="A55" s="58" t="str">
        <f>Database!A27</f>
        <v>Dill</v>
      </c>
      <c r="B55" s="92">
        <v>0.03</v>
      </c>
      <c r="C55" s="92">
        <v>0.03</v>
      </c>
      <c r="D55" s="92">
        <v>0.03</v>
      </c>
      <c r="E55" s="92">
        <v>0.02</v>
      </c>
      <c r="F55" s="92">
        <v>0.01</v>
      </c>
      <c r="G55" s="190">
        <v>0.97</v>
      </c>
    </row>
    <row r="56" spans="1:13" ht="15.75" customHeight="1" x14ac:dyDescent="0.2">
      <c r="A56" s="58" t="str">
        <f>Database!A28</f>
        <v>Eggplant</v>
      </c>
      <c r="B56" s="92">
        <v>0.03</v>
      </c>
      <c r="C56" s="92">
        <v>0.03</v>
      </c>
      <c r="D56" s="92">
        <v>0.03</v>
      </c>
      <c r="E56" s="92">
        <v>0.02</v>
      </c>
      <c r="F56" s="92">
        <v>0.01</v>
      </c>
      <c r="G56" s="190">
        <v>0.97</v>
      </c>
    </row>
    <row r="57" spans="1:13" ht="15.75" customHeight="1" x14ac:dyDescent="0.2">
      <c r="A57" s="58" t="str">
        <f>Database!A29</f>
        <v>Escarole</v>
      </c>
      <c r="B57" s="92">
        <v>0.03</v>
      </c>
      <c r="C57" s="92">
        <v>0.03</v>
      </c>
      <c r="D57" s="92">
        <v>0.03</v>
      </c>
      <c r="E57" s="92">
        <v>0.02</v>
      </c>
      <c r="F57" s="92">
        <v>0.01</v>
      </c>
      <c r="G57" s="190">
        <v>0.97</v>
      </c>
    </row>
    <row r="58" spans="1:13" ht="15.75" customHeight="1" x14ac:dyDescent="0.2">
      <c r="A58" s="58" t="str">
        <f>Database!A30</f>
        <v>Fennel</v>
      </c>
      <c r="B58" s="92">
        <v>0.03</v>
      </c>
      <c r="C58" s="92">
        <v>0.03</v>
      </c>
      <c r="D58" s="92">
        <v>0.03</v>
      </c>
      <c r="E58" s="92">
        <v>0.02</v>
      </c>
      <c r="F58" s="92">
        <v>0.01</v>
      </c>
      <c r="G58" s="190">
        <v>0.97</v>
      </c>
    </row>
    <row r="59" spans="1:13" ht="15.75" customHeight="1" x14ac:dyDescent="0.2">
      <c r="A59" s="58" t="str">
        <f>Database!A31</f>
        <v>Gai Choi</v>
      </c>
      <c r="B59" s="92">
        <v>0.03</v>
      </c>
      <c r="C59" s="92">
        <v>0.03</v>
      </c>
      <c r="D59" s="92">
        <v>0.03</v>
      </c>
      <c r="E59" s="92">
        <v>0.02</v>
      </c>
      <c r="F59" s="92">
        <v>0.01</v>
      </c>
      <c r="G59" s="190">
        <v>0.97</v>
      </c>
    </row>
    <row r="60" spans="1:13" ht="15.75" customHeight="1" x14ac:dyDescent="0.2">
      <c r="A60" s="58" t="str">
        <f>Database!A32</f>
        <v>Gailan</v>
      </c>
      <c r="B60" s="92">
        <v>0.03</v>
      </c>
      <c r="C60" s="92">
        <v>0.03</v>
      </c>
      <c r="D60" s="92">
        <v>0.03</v>
      </c>
      <c r="E60" s="92">
        <v>0.02</v>
      </c>
      <c r="F60" s="92">
        <v>0.01</v>
      </c>
      <c r="G60" s="190">
        <v>0.97</v>
      </c>
    </row>
    <row r="61" spans="1:13" s="188" customFormat="1" ht="15.75" customHeight="1" x14ac:dyDescent="0.2">
      <c r="A61" s="58" t="str">
        <f>Database!A33</f>
        <v>Kale</v>
      </c>
      <c r="B61" s="92">
        <v>0.03</v>
      </c>
      <c r="C61" s="92">
        <v>0.03</v>
      </c>
      <c r="D61" s="92">
        <v>0.03</v>
      </c>
      <c r="E61" s="92">
        <v>0.02</v>
      </c>
      <c r="F61" s="92">
        <v>0.01</v>
      </c>
      <c r="G61" s="190">
        <v>0.97</v>
      </c>
    </row>
    <row r="62" spans="1:13" ht="15.75" customHeight="1" x14ac:dyDescent="0.2">
      <c r="A62" s="58" t="str">
        <f>Database!A34</f>
        <v>Leeks</v>
      </c>
      <c r="B62" s="92">
        <v>0.03</v>
      </c>
      <c r="C62" s="92">
        <v>0.03</v>
      </c>
      <c r="D62" s="92">
        <v>0.03</v>
      </c>
      <c r="E62" s="92">
        <v>0.02</v>
      </c>
      <c r="F62" s="92">
        <v>0.01</v>
      </c>
      <c r="G62" s="190">
        <v>0.97</v>
      </c>
    </row>
    <row r="63" spans="1:13" ht="15.75" customHeight="1" x14ac:dyDescent="0.2">
      <c r="A63" s="58" t="str">
        <f>Database!A35</f>
        <v>Lettuce (Farm Urban Mix)</v>
      </c>
      <c r="B63" s="92">
        <v>0.03</v>
      </c>
      <c r="C63" s="92">
        <v>0.03</v>
      </c>
      <c r="D63" s="92">
        <v>0.03</v>
      </c>
      <c r="E63" s="92">
        <v>0.02</v>
      </c>
      <c r="F63" s="92">
        <v>0.01</v>
      </c>
      <c r="G63" s="190">
        <v>0.97</v>
      </c>
    </row>
    <row r="64" spans="1:13" ht="15.75" customHeight="1" x14ac:dyDescent="0.2">
      <c r="A64" s="58" t="str">
        <f>Database!A36</f>
        <v>Lettuce - heads</v>
      </c>
      <c r="B64" s="92">
        <v>0.03</v>
      </c>
      <c r="C64" s="92">
        <v>0.03</v>
      </c>
      <c r="D64" s="92">
        <v>0.03</v>
      </c>
      <c r="E64" s="92">
        <v>0.02</v>
      </c>
      <c r="F64" s="92">
        <v>0.01</v>
      </c>
      <c r="G64" s="190">
        <v>0.97</v>
      </c>
    </row>
    <row r="65" spans="1:10" ht="15.75" customHeight="1" x14ac:dyDescent="0.2">
      <c r="A65" s="58" t="str">
        <f>Database!A37</f>
        <v>Lettuce (butterhead)</v>
      </c>
      <c r="B65" s="92">
        <v>0.03</v>
      </c>
      <c r="C65" s="92">
        <v>0.03</v>
      </c>
      <c r="D65" s="92">
        <v>0.03</v>
      </c>
      <c r="E65" s="92">
        <v>0.02</v>
      </c>
      <c r="F65" s="92">
        <v>0.01</v>
      </c>
      <c r="G65" s="190">
        <v>0.97</v>
      </c>
    </row>
    <row r="66" spans="1:10" ht="15.75" customHeight="1" x14ac:dyDescent="0.2">
      <c r="A66" s="58" t="str">
        <f>Database!A38</f>
        <v>Lettuce (iceberg)</v>
      </c>
      <c r="B66" s="92">
        <v>0.03</v>
      </c>
      <c r="C66" s="92">
        <v>0.03</v>
      </c>
      <c r="D66" s="92">
        <v>0.03</v>
      </c>
      <c r="E66" s="92">
        <v>0.02</v>
      </c>
      <c r="F66" s="92">
        <v>0.01</v>
      </c>
      <c r="G66" s="190">
        <v>0.97</v>
      </c>
      <c r="J66" s="58"/>
    </row>
    <row r="67" spans="1:10" ht="15.75" customHeight="1" x14ac:dyDescent="0.2">
      <c r="A67" s="58" t="str">
        <f>Database!A39</f>
        <v>Lettuce (little-gem)</v>
      </c>
      <c r="B67" s="92">
        <v>0.03</v>
      </c>
      <c r="C67" s="92">
        <v>0.03</v>
      </c>
      <c r="D67" s="92">
        <v>0.03</v>
      </c>
      <c r="E67" s="92">
        <v>0.02</v>
      </c>
      <c r="F67" s="92">
        <v>0.01</v>
      </c>
      <c r="G67" s="190">
        <v>0.97</v>
      </c>
    </row>
    <row r="68" spans="1:10" ht="15.75" customHeight="1" x14ac:dyDescent="0.2">
      <c r="A68" s="58" t="str">
        <f>Database!A40</f>
        <v>Lettuce (loose leaf)</v>
      </c>
      <c r="B68" s="92">
        <v>0.03</v>
      </c>
      <c r="C68" s="92">
        <v>0.03</v>
      </c>
      <c r="D68" s="92">
        <v>0.03</v>
      </c>
      <c r="E68" s="92">
        <v>0.02</v>
      </c>
      <c r="F68" s="92">
        <v>0.01</v>
      </c>
      <c r="G68" s="190">
        <v>0.97</v>
      </c>
    </row>
    <row r="69" spans="1:10" ht="15.75" customHeight="1" x14ac:dyDescent="0.2">
      <c r="A69" s="58" t="str">
        <f>Database!A41</f>
        <v>Lettuce Romaine</v>
      </c>
      <c r="B69" s="92">
        <v>0.03</v>
      </c>
      <c r="C69" s="92">
        <v>0.03</v>
      </c>
      <c r="D69" s="92">
        <v>0.03</v>
      </c>
      <c r="E69" s="92">
        <v>0.02</v>
      </c>
      <c r="F69" s="92">
        <v>0.01</v>
      </c>
      <c r="G69" s="190">
        <v>0.97</v>
      </c>
    </row>
    <row r="70" spans="1:10" ht="15.75" customHeight="1" x14ac:dyDescent="0.2">
      <c r="A70" s="58" t="str">
        <f>Database!A42</f>
        <v>Mesclun</v>
      </c>
      <c r="B70" s="92">
        <v>0.03</v>
      </c>
      <c r="C70" s="92">
        <v>0.03</v>
      </c>
      <c r="D70" s="92">
        <v>0.03</v>
      </c>
      <c r="E70" s="92">
        <v>0.02</v>
      </c>
      <c r="F70" s="92">
        <v>0.01</v>
      </c>
      <c r="G70" s="190">
        <v>0.97</v>
      </c>
    </row>
    <row r="71" spans="1:10" ht="15.75" customHeight="1" x14ac:dyDescent="0.2">
      <c r="A71" s="58" t="str">
        <f>Database!A43</f>
        <v>Microgreens - Arugula</v>
      </c>
      <c r="B71" s="92">
        <v>0.03</v>
      </c>
      <c r="C71" s="92">
        <v>0.03</v>
      </c>
      <c r="D71" s="92">
        <v>0.03</v>
      </c>
      <c r="E71" s="92">
        <v>0.02</v>
      </c>
      <c r="F71" s="92">
        <v>0.01</v>
      </c>
      <c r="G71" s="190">
        <v>0.97</v>
      </c>
    </row>
    <row r="72" spans="1:10" ht="15.75" customHeight="1" x14ac:dyDescent="0.2">
      <c r="A72" s="58" t="str">
        <f>Database!A44</f>
        <v>Microgreens - Broccoli</v>
      </c>
      <c r="B72" s="92">
        <v>0.03</v>
      </c>
      <c r="C72" s="92">
        <v>0.03</v>
      </c>
      <c r="D72" s="92">
        <v>0.03</v>
      </c>
      <c r="E72" s="92">
        <v>0.02</v>
      </c>
      <c r="F72" s="92">
        <v>0.01</v>
      </c>
      <c r="G72" s="190">
        <v>0.97</v>
      </c>
    </row>
    <row r="73" spans="1:10" ht="15.75" customHeight="1" x14ac:dyDescent="0.2">
      <c r="A73" s="58" t="str">
        <f>Database!A45</f>
        <v>Microgreens - Bull's Blood Beet</v>
      </c>
      <c r="B73" s="92">
        <v>0.03</v>
      </c>
      <c r="C73" s="92">
        <v>0.03</v>
      </c>
      <c r="D73" s="92">
        <v>0.03</v>
      </c>
      <c r="E73" s="92">
        <v>0.02</v>
      </c>
      <c r="F73" s="92">
        <v>0.01</v>
      </c>
      <c r="G73" s="190">
        <v>0.97</v>
      </c>
    </row>
    <row r="74" spans="1:10" ht="15.75" customHeight="1" x14ac:dyDescent="0.2">
      <c r="A74" s="58" t="str">
        <f>Database!A46</f>
        <v>Microgreens - Buttercrunch Lettuce</v>
      </c>
      <c r="B74" s="92">
        <v>0.03</v>
      </c>
      <c r="C74" s="92">
        <v>0.03</v>
      </c>
      <c r="D74" s="92">
        <v>0.03</v>
      </c>
      <c r="E74" s="92">
        <v>0.02</v>
      </c>
      <c r="F74" s="92">
        <v>0.01</v>
      </c>
      <c r="G74" s="190">
        <v>0.97</v>
      </c>
    </row>
    <row r="75" spans="1:10" ht="15.75" customHeight="1" x14ac:dyDescent="0.2">
      <c r="A75" s="58" t="str">
        <f>Database!A47</f>
        <v>Microgreens - Carrot</v>
      </c>
      <c r="B75" s="92">
        <v>0.03</v>
      </c>
      <c r="C75" s="92">
        <v>0.03</v>
      </c>
      <c r="D75" s="92">
        <v>0.03</v>
      </c>
      <c r="E75" s="92">
        <v>0.02</v>
      </c>
      <c r="F75" s="92">
        <v>0.01</v>
      </c>
      <c r="G75" s="190">
        <v>0.97</v>
      </c>
    </row>
    <row r="76" spans="1:10" ht="15.75" customHeight="1" x14ac:dyDescent="0.2">
      <c r="A76" s="58" t="str">
        <f>Database!A48</f>
        <v>Microgreens - Daikon Radish</v>
      </c>
      <c r="B76" s="92">
        <v>0.03</v>
      </c>
      <c r="C76" s="92">
        <v>0.03</v>
      </c>
      <c r="D76" s="92">
        <v>0.03</v>
      </c>
      <c r="E76" s="92">
        <v>0.02</v>
      </c>
      <c r="F76" s="92">
        <v>0.01</v>
      </c>
      <c r="G76" s="190">
        <v>0.97</v>
      </c>
    </row>
    <row r="77" spans="1:10" ht="15.75" customHeight="1" x14ac:dyDescent="0.2">
      <c r="A77" s="58" t="str">
        <f>Database!A49</f>
        <v>Microgreens - Dwarf Blue Curled Skotch kale</v>
      </c>
      <c r="B77" s="92">
        <v>0.03</v>
      </c>
      <c r="C77" s="92">
        <v>0.03</v>
      </c>
      <c r="D77" s="92">
        <v>0.03</v>
      </c>
      <c r="E77" s="92">
        <v>0.02</v>
      </c>
      <c r="F77" s="92">
        <v>0.01</v>
      </c>
      <c r="G77" s="190">
        <v>0.97</v>
      </c>
    </row>
    <row r="78" spans="1:10" ht="15.75" customHeight="1" x14ac:dyDescent="0.2">
      <c r="A78" s="58" t="str">
        <f>Database!A50</f>
        <v>Microgreens - Kale</v>
      </c>
      <c r="B78" s="92">
        <v>0.03</v>
      </c>
      <c r="C78" s="92">
        <v>0.03</v>
      </c>
      <c r="D78" s="92">
        <v>0.03</v>
      </c>
      <c r="E78" s="92">
        <v>0.02</v>
      </c>
      <c r="F78" s="92">
        <v>0.01</v>
      </c>
      <c r="G78" s="190">
        <v>0.97</v>
      </c>
    </row>
    <row r="79" spans="1:10" ht="15.75" customHeight="1" x14ac:dyDescent="0.2">
      <c r="A79" s="58" t="str">
        <f>Database!A51</f>
        <v>Microgreens - Lacinato Kale</v>
      </c>
      <c r="B79" s="92">
        <v>0.03</v>
      </c>
      <c r="C79" s="92">
        <v>0.03</v>
      </c>
      <c r="D79" s="92">
        <v>0.03</v>
      </c>
      <c r="E79" s="92">
        <v>0.02</v>
      </c>
      <c r="F79" s="92">
        <v>0.01</v>
      </c>
      <c r="G79" s="190">
        <v>0.97</v>
      </c>
    </row>
    <row r="80" spans="1:10" ht="15.75" customHeight="1" x14ac:dyDescent="0.2">
      <c r="A80" s="58" t="str">
        <f>Database!A52</f>
        <v>Microgreens - Mizuna</v>
      </c>
      <c r="B80" s="92">
        <v>0.03</v>
      </c>
      <c r="C80" s="92">
        <v>0.03</v>
      </c>
      <c r="D80" s="92">
        <v>0.03</v>
      </c>
      <c r="E80" s="92">
        <v>0.02</v>
      </c>
      <c r="F80" s="92">
        <v>0.01</v>
      </c>
      <c r="G80" s="190">
        <v>0.97</v>
      </c>
    </row>
    <row r="81" spans="1:7" ht="15.75" customHeight="1" x14ac:dyDescent="0.2">
      <c r="A81" s="58" t="str">
        <f>Database!A53</f>
        <v>Microgreens - Mustard</v>
      </c>
      <c r="B81" s="92">
        <v>0.03</v>
      </c>
      <c r="C81" s="92">
        <v>0.03</v>
      </c>
      <c r="D81" s="92">
        <v>0.03</v>
      </c>
      <c r="E81" s="92">
        <v>0.02</v>
      </c>
      <c r="F81" s="92">
        <v>0.01</v>
      </c>
      <c r="G81" s="190">
        <v>0.97</v>
      </c>
    </row>
    <row r="82" spans="1:7" ht="15.75" customHeight="1" x14ac:dyDescent="0.2">
      <c r="A82" s="58" t="str">
        <f>Database!A54</f>
        <v>Microgreens - Mustard greens</v>
      </c>
      <c r="B82" s="92">
        <v>0.03</v>
      </c>
      <c r="C82" s="92">
        <v>0.03</v>
      </c>
      <c r="D82" s="92">
        <v>0.03</v>
      </c>
      <c r="E82" s="92">
        <v>0.02</v>
      </c>
      <c r="F82" s="92">
        <v>0.01</v>
      </c>
      <c r="G82" s="190">
        <v>0.97</v>
      </c>
    </row>
    <row r="83" spans="1:7" ht="15.75" customHeight="1" x14ac:dyDescent="0.2">
      <c r="A83" s="58" t="str">
        <f>Database!A55</f>
        <v>Microgreens - Parsley</v>
      </c>
      <c r="B83" s="92">
        <v>0.03</v>
      </c>
      <c r="C83" s="92">
        <v>0.03</v>
      </c>
      <c r="D83" s="92">
        <v>0.03</v>
      </c>
      <c r="E83" s="92">
        <v>0.02</v>
      </c>
      <c r="F83" s="92">
        <v>0.01</v>
      </c>
      <c r="G83" s="190">
        <v>0.97</v>
      </c>
    </row>
    <row r="84" spans="1:7" ht="15.75" customHeight="1" x14ac:dyDescent="0.2">
      <c r="A84" s="58" t="str">
        <f>Database!A56</f>
        <v>Microgreens - Peashoots</v>
      </c>
      <c r="B84" s="92">
        <v>0.03</v>
      </c>
      <c r="C84" s="92">
        <v>0.03</v>
      </c>
      <c r="D84" s="92">
        <v>0.03</v>
      </c>
      <c r="E84" s="92">
        <v>0.02</v>
      </c>
      <c r="F84" s="92">
        <v>0.01</v>
      </c>
      <c r="G84" s="190">
        <v>0.97</v>
      </c>
    </row>
    <row r="85" spans="1:7" ht="15.75" customHeight="1" x14ac:dyDescent="0.2">
      <c r="A85" s="58" t="str">
        <f>Database!A57</f>
        <v>Microgreens - Radish</v>
      </c>
      <c r="B85" s="92">
        <v>0.03</v>
      </c>
      <c r="C85" s="92">
        <v>0.03</v>
      </c>
      <c r="D85" s="92">
        <v>0.03</v>
      </c>
      <c r="E85" s="92">
        <v>0.02</v>
      </c>
      <c r="F85" s="92">
        <v>0.01</v>
      </c>
      <c r="G85" s="190">
        <v>0.97</v>
      </c>
    </row>
    <row r="86" spans="1:7" ht="15.75" customHeight="1" x14ac:dyDescent="0.2">
      <c r="A86" s="58" t="str">
        <f>Database!A58</f>
        <v>Microgreens - Red acre cabbage</v>
      </c>
      <c r="B86" s="92">
        <v>0.03</v>
      </c>
      <c r="C86" s="92">
        <v>0.03</v>
      </c>
      <c r="D86" s="92">
        <v>0.03</v>
      </c>
      <c r="E86" s="92">
        <v>0.02</v>
      </c>
      <c r="F86" s="92">
        <v>0.01</v>
      </c>
      <c r="G86" s="190">
        <v>0.97</v>
      </c>
    </row>
    <row r="87" spans="1:7" ht="15.75" customHeight="1" x14ac:dyDescent="0.2">
      <c r="A87" s="58" t="str">
        <f>Database!A59</f>
        <v>Microgreens - Red Russian Kale</v>
      </c>
      <c r="B87" s="92">
        <v>0.03</v>
      </c>
      <c r="C87" s="92">
        <v>0.03</v>
      </c>
      <c r="D87" s="92">
        <v>0.03</v>
      </c>
      <c r="E87" s="92">
        <v>0.02</v>
      </c>
      <c r="F87" s="92">
        <v>0.01</v>
      </c>
      <c r="G87" s="190">
        <v>0.97</v>
      </c>
    </row>
    <row r="88" spans="1:7" ht="15.75" customHeight="1" x14ac:dyDescent="0.2">
      <c r="A88" s="58" t="str">
        <f>Database!A60</f>
        <v>Microgreens - Red Velvet Lettuce</v>
      </c>
      <c r="B88" s="92">
        <v>0.03</v>
      </c>
      <c r="C88" s="92">
        <v>0.03</v>
      </c>
      <c r="D88" s="92">
        <v>0.03</v>
      </c>
      <c r="E88" s="92">
        <v>0.02</v>
      </c>
      <c r="F88" s="92">
        <v>0.01</v>
      </c>
      <c r="G88" s="190">
        <v>0.97</v>
      </c>
    </row>
    <row r="89" spans="1:7" ht="15.75" customHeight="1" x14ac:dyDescent="0.2">
      <c r="A89" s="58" t="str">
        <f>Database!A61</f>
        <v>Microgreens - Scallion</v>
      </c>
      <c r="B89" s="92">
        <v>0.03</v>
      </c>
      <c r="C89" s="92">
        <v>0.03</v>
      </c>
      <c r="D89" s="92">
        <v>0.03</v>
      </c>
      <c r="E89" s="92">
        <v>0.02</v>
      </c>
      <c r="F89" s="92">
        <v>0.01</v>
      </c>
      <c r="G89" s="190">
        <v>0.97</v>
      </c>
    </row>
    <row r="90" spans="1:7" ht="15.75" customHeight="1" x14ac:dyDescent="0.2">
      <c r="A90" s="58" t="str">
        <f>Database!A62</f>
        <v>Microgreens - Sorrell</v>
      </c>
      <c r="B90" s="92">
        <v>0.03</v>
      </c>
      <c r="C90" s="92">
        <v>0.03</v>
      </c>
      <c r="D90" s="92">
        <v>0.03</v>
      </c>
      <c r="E90" s="92">
        <v>0.02</v>
      </c>
      <c r="F90" s="92">
        <v>0.01</v>
      </c>
      <c r="G90" s="190">
        <v>0.97</v>
      </c>
    </row>
    <row r="91" spans="1:7" ht="15.75" customHeight="1" x14ac:dyDescent="0.2">
      <c r="A91" s="58" t="str">
        <f>Database!A63</f>
        <v>Microgreens - Swiss Chard</v>
      </c>
      <c r="B91" s="92">
        <v>0.03</v>
      </c>
      <c r="C91" s="92">
        <v>0.03</v>
      </c>
      <c r="D91" s="92">
        <v>0.03</v>
      </c>
      <c r="E91" s="92">
        <v>0.02</v>
      </c>
      <c r="F91" s="92">
        <v>0.01</v>
      </c>
      <c r="G91" s="190">
        <v>0.97</v>
      </c>
    </row>
    <row r="92" spans="1:7" ht="15.75" customHeight="1" x14ac:dyDescent="0.2">
      <c r="A92" s="58" t="str">
        <f>Database!A64</f>
        <v>Microgreens - Tatsoi</v>
      </c>
      <c r="B92" s="92">
        <v>0.03</v>
      </c>
      <c r="C92" s="92">
        <v>0.03</v>
      </c>
      <c r="D92" s="92">
        <v>0.03</v>
      </c>
      <c r="E92" s="92">
        <v>0.02</v>
      </c>
      <c r="F92" s="92">
        <v>0.01</v>
      </c>
      <c r="G92" s="190">
        <v>0.97</v>
      </c>
    </row>
    <row r="93" spans="1:7" ht="15.75" customHeight="1" x14ac:dyDescent="0.2">
      <c r="A93" s="58" t="str">
        <f>Database!A65</f>
        <v>Microgreens - Watercress</v>
      </c>
      <c r="B93" s="92">
        <v>0.03</v>
      </c>
      <c r="C93" s="92">
        <v>0.03</v>
      </c>
      <c r="D93" s="92">
        <v>0.03</v>
      </c>
      <c r="E93" s="92">
        <v>0.02</v>
      </c>
      <c r="F93" s="92">
        <v>0.01</v>
      </c>
      <c r="G93" s="190">
        <v>0.97</v>
      </c>
    </row>
    <row r="94" spans="1:7" ht="15.75" customHeight="1" x14ac:dyDescent="0.2">
      <c r="A94" s="58" t="str">
        <f>Database!A66</f>
        <v>Mustard Greens</v>
      </c>
      <c r="B94" s="92">
        <v>0.03</v>
      </c>
      <c r="C94" s="92">
        <v>0.03</v>
      </c>
      <c r="D94" s="92">
        <v>0.03</v>
      </c>
      <c r="E94" s="92">
        <v>0.02</v>
      </c>
      <c r="F94" s="92">
        <v>0.01</v>
      </c>
      <c r="G94" s="190">
        <v>0.97</v>
      </c>
    </row>
    <row r="95" spans="1:7" ht="15.75" customHeight="1" x14ac:dyDescent="0.2">
      <c r="A95" s="58" t="str">
        <f>Database!A67</f>
        <v>None</v>
      </c>
      <c r="B95" s="92">
        <v>0.03</v>
      </c>
      <c r="C95" s="92">
        <v>0.03</v>
      </c>
      <c r="D95" s="92">
        <v>0.03</v>
      </c>
      <c r="E95" s="92">
        <v>0.02</v>
      </c>
      <c r="F95" s="92">
        <v>0.01</v>
      </c>
      <c r="G95" s="190">
        <v>0.97</v>
      </c>
    </row>
    <row r="96" spans="1:7" ht="15.75" customHeight="1" x14ac:dyDescent="0.2">
      <c r="A96" s="58" t="str">
        <f>Database!A68</f>
        <v>Oregano</v>
      </c>
      <c r="B96" s="92">
        <v>0.03</v>
      </c>
      <c r="C96" s="92">
        <v>0.03</v>
      </c>
      <c r="D96" s="92">
        <v>0.03</v>
      </c>
      <c r="E96" s="92">
        <v>0.02</v>
      </c>
      <c r="F96" s="92">
        <v>0.01</v>
      </c>
      <c r="G96" s="190">
        <v>0.97</v>
      </c>
    </row>
    <row r="97" spans="1:7" ht="15.75" customHeight="1" x14ac:dyDescent="0.2">
      <c r="A97" s="58" t="str">
        <f>Database!A69</f>
        <v>Papaya - Hawaiian</v>
      </c>
      <c r="B97" s="92">
        <v>0.03</v>
      </c>
      <c r="C97" s="92">
        <v>0.03</v>
      </c>
      <c r="D97" s="92">
        <v>0.03</v>
      </c>
      <c r="E97" s="92">
        <v>0.02</v>
      </c>
      <c r="F97" s="92">
        <v>0.01</v>
      </c>
      <c r="G97" s="190">
        <v>0.97</v>
      </c>
    </row>
    <row r="98" spans="1:7" ht="15.75" customHeight="1" x14ac:dyDescent="0.2">
      <c r="A98" s="58" t="str">
        <f>Database!A70</f>
        <v>Papaya - Maradol</v>
      </c>
      <c r="B98" s="92">
        <v>0.03</v>
      </c>
      <c r="C98" s="92">
        <v>0.03</v>
      </c>
      <c r="D98" s="92">
        <v>0.03</v>
      </c>
      <c r="E98" s="92">
        <v>0.02</v>
      </c>
      <c r="F98" s="92">
        <v>0.01</v>
      </c>
      <c r="G98" s="190">
        <v>0.97</v>
      </c>
    </row>
    <row r="99" spans="1:7" ht="15.75" customHeight="1" x14ac:dyDescent="0.2">
      <c r="A99" s="58" t="str">
        <f>Database!A71</f>
        <v>Parsley</v>
      </c>
      <c r="B99" s="92">
        <v>0.03</v>
      </c>
      <c r="C99" s="92">
        <v>0.03</v>
      </c>
      <c r="D99" s="92">
        <v>0.03</v>
      </c>
      <c r="E99" s="92">
        <v>0.02</v>
      </c>
      <c r="F99" s="92">
        <v>0.01</v>
      </c>
      <c r="G99" s="190">
        <v>0.97</v>
      </c>
    </row>
    <row r="100" spans="1:7" ht="15.75" customHeight="1" x14ac:dyDescent="0.2">
      <c r="A100" s="58" t="str">
        <f>Database!A72</f>
        <v>Pepperbell</v>
      </c>
      <c r="B100" s="92">
        <v>0.03</v>
      </c>
      <c r="C100" s="92">
        <v>0.03</v>
      </c>
      <c r="D100" s="92">
        <v>0.03</v>
      </c>
      <c r="E100" s="92">
        <v>0.02</v>
      </c>
      <c r="F100" s="92">
        <v>0.01</v>
      </c>
      <c r="G100" s="190">
        <v>0.97</v>
      </c>
    </row>
    <row r="101" spans="1:7" ht="15.75" customHeight="1" x14ac:dyDescent="0.2">
      <c r="A101" s="58" t="str">
        <f>Database!A73</f>
        <v>Peppermint</v>
      </c>
      <c r="B101" s="92">
        <v>0.03</v>
      </c>
      <c r="C101" s="92">
        <v>0.03</v>
      </c>
      <c r="D101" s="92">
        <v>0.03</v>
      </c>
      <c r="E101" s="92">
        <v>0.02</v>
      </c>
      <c r="F101" s="92">
        <v>0.01</v>
      </c>
      <c r="G101" s="190">
        <v>0.97</v>
      </c>
    </row>
    <row r="102" spans="1:7" ht="15.75" customHeight="1" x14ac:dyDescent="0.2">
      <c r="A102" s="58" t="str">
        <f>Database!A74</f>
        <v>Raspberry</v>
      </c>
      <c r="B102" s="92">
        <v>0.03</v>
      </c>
      <c r="C102" s="92">
        <v>0.03</v>
      </c>
      <c r="D102" s="92">
        <v>0.03</v>
      </c>
      <c r="E102" s="92">
        <v>0.02</v>
      </c>
      <c r="F102" s="92">
        <v>0.01</v>
      </c>
      <c r="G102" s="190">
        <v>0.97</v>
      </c>
    </row>
    <row r="103" spans="1:7" ht="15.75" customHeight="1" x14ac:dyDescent="0.2">
      <c r="A103" s="58" t="str">
        <f>Database!A75</f>
        <v>Rosemary</v>
      </c>
      <c r="B103" s="92">
        <v>0.03</v>
      </c>
      <c r="C103" s="92">
        <v>0.03</v>
      </c>
      <c r="D103" s="92">
        <v>0.03</v>
      </c>
      <c r="E103" s="92">
        <v>0.02</v>
      </c>
      <c r="F103" s="92">
        <v>0.01</v>
      </c>
      <c r="G103" s="190">
        <v>0.97</v>
      </c>
    </row>
    <row r="104" spans="1:7" ht="15.75" customHeight="1" x14ac:dyDescent="0.2">
      <c r="A104" s="58" t="str">
        <f>Database!A76</f>
        <v>Sage</v>
      </c>
      <c r="B104" s="92">
        <v>0.03</v>
      </c>
      <c r="C104" s="92">
        <v>0.03</v>
      </c>
      <c r="D104" s="92">
        <v>0.03</v>
      </c>
      <c r="E104" s="92">
        <v>0.02</v>
      </c>
      <c r="F104" s="92">
        <v>0.01</v>
      </c>
      <c r="G104" s="190">
        <v>0.97</v>
      </c>
    </row>
    <row r="105" spans="1:7" ht="15.75" customHeight="1" x14ac:dyDescent="0.2">
      <c r="A105" s="58" t="str">
        <f>Database!A77</f>
        <v>Salad Mix - Baby Greens</v>
      </c>
      <c r="B105" s="92">
        <v>0.03</v>
      </c>
      <c r="C105" s="92">
        <v>0.03</v>
      </c>
      <c r="D105" s="92">
        <v>0.03</v>
      </c>
      <c r="E105" s="92">
        <v>0.02</v>
      </c>
      <c r="F105" s="92">
        <v>0.01</v>
      </c>
      <c r="G105" s="190">
        <v>0.97</v>
      </c>
    </row>
    <row r="106" spans="1:7" ht="15.75" customHeight="1" x14ac:dyDescent="0.2">
      <c r="A106" s="58" t="str">
        <f>Database!A78</f>
        <v>Scallion</v>
      </c>
      <c r="B106" s="92">
        <v>0.03</v>
      </c>
      <c r="C106" s="92">
        <v>0.03</v>
      </c>
      <c r="D106" s="92">
        <v>0.03</v>
      </c>
      <c r="E106" s="92">
        <v>0.02</v>
      </c>
      <c r="F106" s="92">
        <v>0.01</v>
      </c>
      <c r="G106" s="190">
        <v>0.97</v>
      </c>
    </row>
    <row r="107" spans="1:7" ht="15.75" customHeight="1" x14ac:dyDescent="0.2">
      <c r="A107" s="58" t="str">
        <f>Database!A79</f>
        <v>Shallot</v>
      </c>
      <c r="B107" s="92">
        <v>0.03</v>
      </c>
      <c r="C107" s="92">
        <v>0.03</v>
      </c>
      <c r="D107" s="92">
        <v>0.03</v>
      </c>
      <c r="E107" s="92">
        <v>0.02</v>
      </c>
      <c r="F107" s="92">
        <v>0.01</v>
      </c>
      <c r="G107" s="190">
        <v>0.97</v>
      </c>
    </row>
    <row r="108" spans="1:7" ht="15.75" customHeight="1" x14ac:dyDescent="0.2">
      <c r="A108" s="58" t="str">
        <f>Database!A80</f>
        <v>Sorrel -Green</v>
      </c>
      <c r="B108" s="92">
        <v>0.03</v>
      </c>
      <c r="C108" s="92">
        <v>0.03</v>
      </c>
      <c r="D108" s="92">
        <v>0.03</v>
      </c>
      <c r="E108" s="92">
        <v>0.02</v>
      </c>
      <c r="F108" s="92">
        <v>0.01</v>
      </c>
      <c r="G108" s="190">
        <v>0.97</v>
      </c>
    </row>
    <row r="109" spans="1:7" ht="15.75" customHeight="1" x14ac:dyDescent="0.2">
      <c r="A109" s="58" t="str">
        <f>Database!A81</f>
        <v>Spearmint</v>
      </c>
      <c r="B109" s="92">
        <v>0.03</v>
      </c>
      <c r="C109" s="92">
        <v>0.03</v>
      </c>
      <c r="D109" s="92">
        <v>0.03</v>
      </c>
      <c r="E109" s="92">
        <v>0.02</v>
      </c>
      <c r="F109" s="92">
        <v>0.01</v>
      </c>
      <c r="G109" s="190">
        <v>0.97</v>
      </c>
    </row>
    <row r="110" spans="1:7" ht="15.75" customHeight="1" x14ac:dyDescent="0.2">
      <c r="A110" s="58" t="str">
        <f>Database!A82</f>
        <v>Spinach</v>
      </c>
      <c r="B110" s="92">
        <v>0.03</v>
      </c>
      <c r="C110" s="92">
        <v>0.03</v>
      </c>
      <c r="D110" s="92">
        <v>0.03</v>
      </c>
      <c r="E110" s="92">
        <v>0.02</v>
      </c>
      <c r="F110" s="92">
        <v>0.01</v>
      </c>
      <c r="G110" s="190">
        <v>0.97</v>
      </c>
    </row>
    <row r="111" spans="1:7" ht="15.75" customHeight="1" x14ac:dyDescent="0.2">
      <c r="A111" s="58" t="str">
        <f>Database!A83</f>
        <v>Spring Onion</v>
      </c>
      <c r="B111" s="92">
        <v>0.03</v>
      </c>
      <c r="C111" s="92">
        <v>0.03</v>
      </c>
      <c r="D111" s="92">
        <v>0.03</v>
      </c>
      <c r="E111" s="92">
        <v>0.02</v>
      </c>
      <c r="F111" s="92">
        <v>0.01</v>
      </c>
      <c r="G111" s="190">
        <v>0.97</v>
      </c>
    </row>
    <row r="112" spans="1:7" ht="15.75" customHeight="1" x14ac:dyDescent="0.2">
      <c r="A112" s="58" t="str">
        <f>Database!A84</f>
        <v>Stevia</v>
      </c>
      <c r="B112" s="92">
        <v>0.03</v>
      </c>
      <c r="C112" s="92">
        <v>0.03</v>
      </c>
      <c r="D112" s="92">
        <v>0.03</v>
      </c>
      <c r="E112" s="92">
        <v>0.02</v>
      </c>
      <c r="F112" s="92">
        <v>0.01</v>
      </c>
      <c r="G112" s="190">
        <v>0.97</v>
      </c>
    </row>
    <row r="113" spans="1:7" ht="15.75" customHeight="1" x14ac:dyDescent="0.2">
      <c r="A113" s="58" t="str">
        <f>Database!A85</f>
        <v>Strawberry</v>
      </c>
      <c r="B113" s="92">
        <v>0.03</v>
      </c>
      <c r="C113" s="92">
        <v>0.03</v>
      </c>
      <c r="D113" s="92">
        <v>0.03</v>
      </c>
      <c r="E113" s="92">
        <v>0.02</v>
      </c>
      <c r="F113" s="92">
        <v>0.01</v>
      </c>
      <c r="G113" s="190">
        <v>0.97</v>
      </c>
    </row>
    <row r="114" spans="1:7" ht="15.75" customHeight="1" x14ac:dyDescent="0.2">
      <c r="A114" s="58" t="str">
        <f>Database!A86</f>
        <v>Sweet Pepper</v>
      </c>
      <c r="B114" s="92">
        <v>0.03</v>
      </c>
      <c r="C114" s="92">
        <v>0.03</v>
      </c>
      <c r="D114" s="92">
        <v>0.03</v>
      </c>
      <c r="E114" s="92">
        <v>0.02</v>
      </c>
      <c r="F114" s="92">
        <v>0.01</v>
      </c>
      <c r="G114" s="190">
        <v>0.97</v>
      </c>
    </row>
    <row r="115" spans="1:7" ht="15.75" customHeight="1" x14ac:dyDescent="0.2">
      <c r="A115" s="58" t="str">
        <f>Database!A87</f>
        <v>Tarragon</v>
      </c>
      <c r="B115" s="92">
        <v>0.03</v>
      </c>
      <c r="C115" s="92">
        <v>0.03</v>
      </c>
      <c r="D115" s="92">
        <v>0.03</v>
      </c>
      <c r="E115" s="92">
        <v>0.02</v>
      </c>
      <c r="F115" s="92">
        <v>0.01</v>
      </c>
      <c r="G115" s="190">
        <v>0.97</v>
      </c>
    </row>
    <row r="116" spans="1:7" ht="15.75" customHeight="1" x14ac:dyDescent="0.2">
      <c r="A116" s="58" t="str">
        <f>Database!A88</f>
        <v>Thyme</v>
      </c>
      <c r="B116" s="92">
        <v>0.03</v>
      </c>
      <c r="C116" s="92">
        <v>0.03</v>
      </c>
      <c r="D116" s="92">
        <v>0.03</v>
      </c>
      <c r="E116" s="92">
        <v>0.02</v>
      </c>
      <c r="F116" s="92">
        <v>0.01</v>
      </c>
      <c r="G116" s="190">
        <v>0.97</v>
      </c>
    </row>
    <row r="117" spans="1:7" ht="15.75" customHeight="1" x14ac:dyDescent="0.2">
      <c r="A117" s="58" t="str">
        <f>Database!A89</f>
        <v>Tomato - Cherry</v>
      </c>
      <c r="B117" s="92">
        <v>0.03</v>
      </c>
      <c r="C117" s="92">
        <v>0.03</v>
      </c>
      <c r="D117" s="92">
        <v>0.03</v>
      </c>
      <c r="E117" s="92">
        <v>0.02</v>
      </c>
      <c r="F117" s="92">
        <v>0.01</v>
      </c>
      <c r="G117" s="190">
        <v>0.97</v>
      </c>
    </row>
    <row r="118" spans="1:7" ht="15.75" customHeight="1" x14ac:dyDescent="0.2">
      <c r="A118" s="58" t="str">
        <f>Database!A90</f>
        <v>Tomatoes Salad</v>
      </c>
      <c r="B118" s="92">
        <v>0.03</v>
      </c>
      <c r="C118" s="92">
        <v>0.03</v>
      </c>
      <c r="D118" s="92">
        <v>0.03</v>
      </c>
      <c r="E118" s="92">
        <v>0.02</v>
      </c>
      <c r="F118" s="92">
        <v>0.01</v>
      </c>
      <c r="G118" s="190">
        <v>0.97</v>
      </c>
    </row>
    <row r="119" spans="1:7" ht="15.75" customHeight="1" x14ac:dyDescent="0.2">
      <c r="A119" s="58" t="str">
        <f>Database!A91</f>
        <v>Turnips</v>
      </c>
      <c r="B119" s="92">
        <v>0.03</v>
      </c>
      <c r="C119" s="92">
        <v>0.03</v>
      </c>
      <c r="D119" s="92">
        <v>0.03</v>
      </c>
      <c r="E119" s="92">
        <v>0.02</v>
      </c>
      <c r="F119" s="92">
        <v>0.01</v>
      </c>
      <c r="G119" s="190">
        <v>0.97</v>
      </c>
    </row>
    <row r="120" spans="1:7" ht="15.75" customHeight="1" x14ac:dyDescent="0.2">
      <c r="A120" s="58" t="str">
        <f>Database!A92</f>
        <v>Watercress</v>
      </c>
      <c r="B120" s="92">
        <v>0.03</v>
      </c>
      <c r="C120" s="92">
        <v>0.03</v>
      </c>
      <c r="D120" s="92">
        <v>0.03</v>
      </c>
      <c r="E120" s="92">
        <v>0.02</v>
      </c>
      <c r="F120" s="92">
        <v>0.01</v>
      </c>
      <c r="G120" s="190">
        <v>0.97</v>
      </c>
    </row>
    <row r="121" spans="1:7" ht="15.75" customHeight="1" x14ac:dyDescent="0.2">
      <c r="A121" s="58" t="str">
        <f>Database!A93</f>
        <v>Watermelon - mini</v>
      </c>
      <c r="B121" s="92">
        <v>0.03</v>
      </c>
      <c r="C121" s="92">
        <v>0.03</v>
      </c>
      <c r="D121" s="92">
        <v>0.03</v>
      </c>
      <c r="E121" s="92">
        <v>0.02</v>
      </c>
      <c r="F121" s="92">
        <v>0.01</v>
      </c>
      <c r="G121" s="190">
        <v>0.97</v>
      </c>
    </row>
    <row r="122" spans="1:7" ht="15.75" customHeight="1" x14ac:dyDescent="0.2">
      <c r="A122" s="58" t="str">
        <f>Database!A94</f>
        <v>Watermelon - standard</v>
      </c>
      <c r="B122" s="92">
        <v>0.03</v>
      </c>
      <c r="C122" s="92">
        <v>0.03</v>
      </c>
      <c r="D122" s="92">
        <v>0.03</v>
      </c>
      <c r="E122" s="92">
        <v>0.02</v>
      </c>
      <c r="F122" s="92">
        <v>0.01</v>
      </c>
      <c r="G122" s="190">
        <v>0.97</v>
      </c>
    </row>
    <row r="123" spans="1:7" ht="15.75" customHeight="1" x14ac:dyDescent="0.2">
      <c r="A123" s="58"/>
    </row>
    <row r="124" spans="1:7" ht="15.75" customHeight="1" x14ac:dyDescent="0.2">
      <c r="A124" s="58"/>
    </row>
    <row r="125" spans="1:7" ht="15.75" customHeight="1" x14ac:dyDescent="0.2">
      <c r="A125" s="58"/>
    </row>
    <row r="126" spans="1:7" ht="15.75" customHeight="1" x14ac:dyDescent="0.2">
      <c r="A126" s="58"/>
    </row>
    <row r="127" spans="1:7" ht="15.75" customHeight="1" x14ac:dyDescent="0.2">
      <c r="A127" s="58"/>
    </row>
    <row r="128" spans="1:7" ht="15.75" customHeight="1" x14ac:dyDescent="0.2">
      <c r="A128" s="58"/>
    </row>
    <row r="129" spans="1:1" ht="15.75" customHeight="1" x14ac:dyDescent="0.2">
      <c r="A129" s="58"/>
    </row>
    <row r="130" spans="1:1" ht="15.75" customHeight="1" x14ac:dyDescent="0.2">
      <c r="A130" s="58"/>
    </row>
    <row r="131" spans="1:1" ht="15.75" customHeight="1" x14ac:dyDescent="0.2">
      <c r="A131" s="58"/>
    </row>
    <row r="132" spans="1:1" ht="15.75" customHeight="1" x14ac:dyDescent="0.2">
      <c r="A132" s="58"/>
    </row>
  </sheetData>
  <mergeCells count="2">
    <mergeCell ref="B34:F34"/>
    <mergeCell ref="B21:F21"/>
  </mergeCells>
  <conditionalFormatting sqref="B7:L10 B13:L16 B24:F26 B31 B36:F122">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202"/>
  <sheetViews>
    <sheetView zoomScale="99" workbookViewId="0">
      <pane xSplit="1" topLeftCell="C1" activePane="topRight" state="frozen"/>
      <selection pane="topRight" activeCell="I8" sqref="I8:Q36"/>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316</v>
      </c>
    </row>
    <row r="2" spans="1:28" x14ac:dyDescent="0.2">
      <c r="A2" s="55" t="s">
        <v>170</v>
      </c>
      <c r="B2" s="56"/>
      <c r="C2" s="56"/>
      <c r="D2" s="56"/>
      <c r="E2" s="56"/>
      <c r="F2" s="56"/>
      <c r="G2" s="56"/>
      <c r="H2" s="56"/>
      <c r="I2" s="56"/>
      <c r="J2" s="56"/>
      <c r="K2" s="56"/>
      <c r="L2" s="56"/>
      <c r="M2" s="56"/>
      <c r="N2" s="56"/>
      <c r="O2" s="56"/>
      <c r="P2" s="56"/>
      <c r="Q2" s="56"/>
    </row>
    <row r="3" spans="1:28" x14ac:dyDescent="0.2">
      <c r="A3" s="53" t="s">
        <v>132</v>
      </c>
      <c r="B3" s="54"/>
      <c r="C3" s="54"/>
      <c r="D3" s="54"/>
      <c r="E3" s="54"/>
      <c r="F3" s="54"/>
      <c r="G3" s="54"/>
      <c r="H3" s="54"/>
      <c r="I3" s="54"/>
      <c r="J3" s="54"/>
      <c r="K3" s="54"/>
      <c r="L3" s="54"/>
      <c r="M3" s="54"/>
      <c r="N3" s="54"/>
      <c r="O3" s="54"/>
      <c r="P3" s="54"/>
      <c r="Q3" s="54"/>
    </row>
    <row r="4" spans="1:28" x14ac:dyDescent="0.2">
      <c r="A4" s="61" t="s">
        <v>200</v>
      </c>
      <c r="B4" s="62"/>
      <c r="C4" s="62"/>
      <c r="D4" s="62"/>
      <c r="E4" s="62"/>
      <c r="F4" s="62"/>
      <c r="G4" s="62"/>
      <c r="H4" s="62"/>
      <c r="I4" s="62"/>
      <c r="J4" s="62"/>
      <c r="K4" s="62"/>
      <c r="L4" s="62"/>
      <c r="M4" s="62"/>
      <c r="N4" s="62"/>
      <c r="O4" s="62"/>
      <c r="P4" s="62"/>
      <c r="Q4" s="62"/>
    </row>
    <row r="5" spans="1:28" x14ac:dyDescent="0.2">
      <c r="A5" s="114" t="s">
        <v>313</v>
      </c>
      <c r="B5" s="101"/>
      <c r="C5" s="101"/>
      <c r="D5" s="101"/>
      <c r="E5" s="101"/>
      <c r="F5" s="101"/>
      <c r="G5" s="101"/>
      <c r="H5" s="101"/>
      <c r="I5" s="101"/>
      <c r="J5" s="101"/>
      <c r="K5" s="101"/>
      <c r="L5" s="101"/>
      <c r="M5" s="101"/>
      <c r="N5" s="101"/>
      <c r="O5" s="101"/>
      <c r="P5" s="101"/>
      <c r="Q5" s="101"/>
    </row>
    <row r="6" spans="1:28" ht="16" customHeight="1" x14ac:dyDescent="0.2">
      <c r="A6" s="107"/>
      <c r="B6" s="108"/>
      <c r="C6" s="108"/>
      <c r="D6" s="108"/>
      <c r="E6" s="108"/>
      <c r="F6" s="108"/>
      <c r="G6" s="108"/>
      <c r="H6" s="108"/>
      <c r="I6" s="108"/>
      <c r="J6" s="483" t="s">
        <v>457</v>
      </c>
      <c r="K6" s="483"/>
      <c r="L6" s="483"/>
      <c r="M6" s="483"/>
      <c r="N6" s="483"/>
      <c r="O6" s="483"/>
      <c r="P6" s="110"/>
      <c r="Q6" s="110"/>
    </row>
    <row r="7" spans="1:28" ht="74" customHeight="1" x14ac:dyDescent="0.2">
      <c r="A7" s="215" t="s">
        <v>173</v>
      </c>
      <c r="B7" s="262" t="s">
        <v>183</v>
      </c>
      <c r="C7" s="262" t="s">
        <v>184</v>
      </c>
      <c r="D7" s="262" t="s">
        <v>185</v>
      </c>
      <c r="E7" s="262" t="s">
        <v>186</v>
      </c>
      <c r="F7" s="262" t="s">
        <v>187</v>
      </c>
      <c r="G7" s="262" t="s">
        <v>188</v>
      </c>
      <c r="H7" s="262" t="s">
        <v>189</v>
      </c>
      <c r="I7" s="262" t="s">
        <v>467</v>
      </c>
      <c r="J7" s="262" t="s">
        <v>454</v>
      </c>
      <c r="K7" s="262" t="s">
        <v>486</v>
      </c>
      <c r="L7" s="263" t="s">
        <v>455</v>
      </c>
      <c r="M7" s="262" t="s">
        <v>456</v>
      </c>
      <c r="N7" s="262" t="s">
        <v>466</v>
      </c>
      <c r="O7" s="262" t="s">
        <v>458</v>
      </c>
      <c r="P7" s="262" t="s">
        <v>463</v>
      </c>
      <c r="Q7" s="262" t="s">
        <v>462</v>
      </c>
      <c r="R7" s="262" t="s">
        <v>191</v>
      </c>
      <c r="S7" s="262" t="s">
        <v>192</v>
      </c>
      <c r="T7" s="262" t="s">
        <v>193</v>
      </c>
      <c r="U7" s="262" t="s">
        <v>194</v>
      </c>
      <c r="V7" s="262" t="s">
        <v>195</v>
      </c>
      <c r="W7" s="262" t="s">
        <v>196</v>
      </c>
      <c r="X7" s="262" t="s">
        <v>197</v>
      </c>
      <c r="Y7" s="262" t="s">
        <v>198</v>
      </c>
      <c r="Z7" s="262" t="s">
        <v>190</v>
      </c>
      <c r="AA7" s="59" t="s">
        <v>380</v>
      </c>
      <c r="AB7" s="415" t="s">
        <v>987</v>
      </c>
    </row>
    <row r="8" spans="1:28" x14ac:dyDescent="0.2">
      <c r="A8" s="166" t="s">
        <v>385</v>
      </c>
      <c r="B8" s="264">
        <v>0</v>
      </c>
      <c r="C8" s="264">
        <v>0</v>
      </c>
      <c r="D8" s="264">
        <v>16</v>
      </c>
      <c r="E8" s="264">
        <v>30</v>
      </c>
      <c r="F8" s="264">
        <v>0</v>
      </c>
      <c r="G8" s="264">
        <v>0</v>
      </c>
      <c r="H8" s="264">
        <v>0</v>
      </c>
      <c r="I8" s="265">
        <f>AVERAGE(J8:P8)</f>
        <v>5.5862983208955228</v>
      </c>
      <c r="J8" s="266">
        <f>12338*0.453592/996.96</f>
        <v>5.6134830845771146</v>
      </c>
      <c r="K8" s="267"/>
      <c r="L8" s="266">
        <f>12817*0.453592/996.96</f>
        <v>5.8314161691542292</v>
      </c>
      <c r="M8" s="266">
        <f>11979*0.453592/996.96</f>
        <v>5.4501470149253732</v>
      </c>
      <c r="N8" s="266">
        <f>11979*0.453592/996.96</f>
        <v>5.4501470149253732</v>
      </c>
      <c r="O8" s="266" t="s">
        <v>101</v>
      </c>
      <c r="P8" s="266" t="s">
        <v>101</v>
      </c>
      <c r="Q8" s="268">
        <f>5989*0.453592/996.96</f>
        <v>2.7248460199004976</v>
      </c>
      <c r="R8" s="264">
        <v>0</v>
      </c>
      <c r="S8" s="264">
        <v>0</v>
      </c>
      <c r="T8" s="264">
        <v>0</v>
      </c>
      <c r="U8" s="264">
        <v>0</v>
      </c>
      <c r="V8" s="264">
        <v>0</v>
      </c>
      <c r="W8" s="264">
        <v>0</v>
      </c>
      <c r="X8" s="264">
        <v>0</v>
      </c>
      <c r="Y8" s="264">
        <v>0</v>
      </c>
      <c r="Z8" s="264">
        <v>0</v>
      </c>
      <c r="AA8" s="59"/>
      <c r="AB8" s="416">
        <v>14</v>
      </c>
    </row>
    <row r="9" spans="1:28" x14ac:dyDescent="0.2">
      <c r="A9" s="166" t="s">
        <v>386</v>
      </c>
      <c r="B9" s="264">
        <v>0</v>
      </c>
      <c r="C9" s="264">
        <v>0</v>
      </c>
      <c r="D9" s="264">
        <v>16</v>
      </c>
      <c r="E9" s="264">
        <v>30</v>
      </c>
      <c r="F9" s="264">
        <v>0</v>
      </c>
      <c r="G9" s="264">
        <v>0</v>
      </c>
      <c r="H9" s="264">
        <v>0</v>
      </c>
      <c r="I9" s="265">
        <f t="shared" ref="I9:I79" si="0">AVERAGE(J9:P9)</f>
        <v>24.992107334754799</v>
      </c>
      <c r="J9" s="266">
        <f>61075*0.453592/996.96</f>
        <v>27.787605721393032</v>
      </c>
      <c r="K9" s="267">
        <f>1.376 *365/(35)</f>
        <v>14.349714285714285</v>
      </c>
      <c r="L9" s="266">
        <f>63447*0.453592/996.96</f>
        <v>28.866806716417909</v>
      </c>
      <c r="M9" s="266">
        <f>59296*0.453592/996.96</f>
        <v>26.978204975124378</v>
      </c>
      <c r="N9" s="266">
        <f>59296*0.453592/996.96</f>
        <v>26.978204975124378</v>
      </c>
      <c r="O9" s="266" t="s">
        <v>101</v>
      </c>
      <c r="P9" s="266" t="s">
        <v>101</v>
      </c>
      <c r="Q9" s="268">
        <f>29648*0.453592/996.96</f>
        <v>13.489102487562189</v>
      </c>
      <c r="R9" s="264">
        <v>0</v>
      </c>
      <c r="S9" s="264">
        <v>0</v>
      </c>
      <c r="T9" s="264">
        <v>0</v>
      </c>
      <c r="U9" s="264">
        <v>0</v>
      </c>
      <c r="V9" s="264">
        <v>0</v>
      </c>
      <c r="W9" s="264">
        <v>0</v>
      </c>
      <c r="X9" s="264">
        <v>0</v>
      </c>
      <c r="Y9" s="264">
        <v>0</v>
      </c>
      <c r="Z9" s="264">
        <v>0</v>
      </c>
      <c r="AA9" s="59"/>
      <c r="AB9" s="416">
        <v>14</v>
      </c>
    </row>
    <row r="10" spans="1:28" x14ac:dyDescent="0.2">
      <c r="A10" s="166" t="s">
        <v>546</v>
      </c>
      <c r="B10" s="264">
        <v>0</v>
      </c>
      <c r="C10" s="264">
        <v>0</v>
      </c>
      <c r="D10" s="269">
        <v>14</v>
      </c>
      <c r="E10" s="264">
        <v>42</v>
      </c>
      <c r="F10" s="264">
        <v>0</v>
      </c>
      <c r="G10" s="264">
        <v>0</v>
      </c>
      <c r="H10" s="264">
        <v>0</v>
      </c>
      <c r="I10" s="265">
        <f t="shared" si="0"/>
        <v>28.157142857142862</v>
      </c>
      <c r="J10" s="266" t="s">
        <v>101</v>
      </c>
      <c r="K10" s="267">
        <f>2.7*365/(35)</f>
        <v>28.157142857142862</v>
      </c>
      <c r="L10" s="270" t="s">
        <v>101</v>
      </c>
      <c r="M10" s="270" t="s">
        <v>101</v>
      </c>
      <c r="N10" s="270" t="s">
        <v>101</v>
      </c>
      <c r="O10" s="270" t="s">
        <v>101</v>
      </c>
      <c r="P10" s="270" t="s">
        <v>101</v>
      </c>
      <c r="Q10" s="270" t="s">
        <v>101</v>
      </c>
      <c r="R10" s="264">
        <v>0</v>
      </c>
      <c r="S10" s="264">
        <v>0</v>
      </c>
      <c r="T10" s="264">
        <v>0</v>
      </c>
      <c r="U10" s="264">
        <v>0</v>
      </c>
      <c r="V10" s="264">
        <v>0</v>
      </c>
      <c r="W10" s="264">
        <v>0</v>
      </c>
      <c r="X10" s="264">
        <v>0</v>
      </c>
      <c r="Y10" s="264">
        <v>0</v>
      </c>
      <c r="Z10" s="264">
        <v>0</v>
      </c>
      <c r="AA10" s="59"/>
      <c r="AB10" s="416">
        <v>14</v>
      </c>
    </row>
    <row r="11" spans="1:28" x14ac:dyDescent="0.2">
      <c r="A11" s="166" t="s">
        <v>544</v>
      </c>
      <c r="B11" s="264">
        <v>0</v>
      </c>
      <c r="C11" s="264">
        <v>0</v>
      </c>
      <c r="D11" s="269">
        <v>14</v>
      </c>
      <c r="E11" s="269">
        <v>42</v>
      </c>
      <c r="F11" s="264">
        <v>0</v>
      </c>
      <c r="G11" s="264">
        <v>0</v>
      </c>
      <c r="H11" s="264">
        <v>0</v>
      </c>
      <c r="I11" s="265">
        <f t="shared" si="0"/>
        <v>52.267999999999994</v>
      </c>
      <c r="J11" s="266" t="s">
        <v>101</v>
      </c>
      <c r="K11" s="267">
        <f>5.012*365/(35)</f>
        <v>52.267999999999994</v>
      </c>
      <c r="L11" s="270" t="s">
        <v>101</v>
      </c>
      <c r="M11" s="270" t="s">
        <v>101</v>
      </c>
      <c r="N11" s="270" t="s">
        <v>101</v>
      </c>
      <c r="O11" s="270" t="s">
        <v>101</v>
      </c>
      <c r="P11" s="270" t="s">
        <v>101</v>
      </c>
      <c r="Q11" s="270" t="s">
        <v>101</v>
      </c>
      <c r="R11" s="264">
        <v>0</v>
      </c>
      <c r="S11" s="264">
        <v>0</v>
      </c>
      <c r="T11" s="264">
        <v>0</v>
      </c>
      <c r="U11" s="264">
        <v>0</v>
      </c>
      <c r="V11" s="264">
        <v>0</v>
      </c>
      <c r="W11" s="264">
        <v>0</v>
      </c>
      <c r="X11" s="264">
        <v>0</v>
      </c>
      <c r="Y11" s="264">
        <v>0</v>
      </c>
      <c r="Z11" s="264">
        <v>0</v>
      </c>
      <c r="AA11" s="59"/>
      <c r="AB11" s="416">
        <v>14</v>
      </c>
    </row>
    <row r="12" spans="1:28" x14ac:dyDescent="0.2">
      <c r="A12" s="166" t="s">
        <v>387</v>
      </c>
      <c r="B12" s="264">
        <v>0</v>
      </c>
      <c r="C12" s="264">
        <v>0</v>
      </c>
      <c r="D12" s="269">
        <v>14</v>
      </c>
      <c r="E12" s="264">
        <v>42</v>
      </c>
      <c r="F12" s="264">
        <v>0</v>
      </c>
      <c r="G12" s="264">
        <v>0</v>
      </c>
      <c r="H12" s="264">
        <v>0</v>
      </c>
      <c r="I12" s="265">
        <f t="shared" si="0"/>
        <v>20.206923942786069</v>
      </c>
      <c r="J12" s="266">
        <f>44630*0.453592/996.96</f>
        <v>20.305539800995025</v>
      </c>
      <c r="K12" s="267"/>
      <c r="L12" s="266">
        <f>46363*0.453592/996.96</f>
        <v>21.094011691542288</v>
      </c>
      <c r="M12" s="266">
        <f>43330*0.453592/996.96</f>
        <v>19.714072139303482</v>
      </c>
      <c r="N12" s="266">
        <f>43330*0.453592/996.96</f>
        <v>19.714072139303482</v>
      </c>
      <c r="O12" s="266" t="s">
        <v>101</v>
      </c>
      <c r="P12" s="266" t="s">
        <v>101</v>
      </c>
      <c r="Q12" s="268">
        <f>21665*0.453592/996.96</f>
        <v>9.8570360696517412</v>
      </c>
      <c r="R12" s="264">
        <v>0</v>
      </c>
      <c r="S12" s="264">
        <v>0</v>
      </c>
      <c r="T12" s="264">
        <v>0</v>
      </c>
      <c r="U12" s="264">
        <v>0</v>
      </c>
      <c r="V12" s="264">
        <v>0</v>
      </c>
      <c r="W12" s="264">
        <v>0</v>
      </c>
      <c r="X12" s="264">
        <v>0</v>
      </c>
      <c r="Y12" s="264">
        <v>0</v>
      </c>
      <c r="Z12" s="264">
        <v>0</v>
      </c>
      <c r="AA12" s="59"/>
      <c r="AB12" s="416">
        <v>14</v>
      </c>
    </row>
    <row r="13" spans="1:28" x14ac:dyDescent="0.2">
      <c r="A13" s="166" t="s">
        <v>545</v>
      </c>
      <c r="B13" s="264">
        <v>0</v>
      </c>
      <c r="C13" s="264">
        <v>0</v>
      </c>
      <c r="D13" s="269">
        <v>14</v>
      </c>
      <c r="E13" s="264">
        <v>42</v>
      </c>
      <c r="F13" s="264">
        <v>0</v>
      </c>
      <c r="G13" s="264">
        <v>0</v>
      </c>
      <c r="H13" s="264">
        <v>0</v>
      </c>
      <c r="I13" s="265">
        <f t="shared" si="0"/>
        <v>21.983428571428572</v>
      </c>
      <c r="J13" s="266" t="s">
        <v>101</v>
      </c>
      <c r="K13" s="267">
        <f>2.108*365/(35)</f>
        <v>21.983428571428572</v>
      </c>
      <c r="L13" s="266" t="s">
        <v>101</v>
      </c>
      <c r="M13" s="266" t="s">
        <v>101</v>
      </c>
      <c r="N13" s="266" t="s">
        <v>101</v>
      </c>
      <c r="O13" s="266" t="s">
        <v>101</v>
      </c>
      <c r="P13" s="266" t="s">
        <v>101</v>
      </c>
      <c r="Q13" s="270" t="s">
        <v>101</v>
      </c>
      <c r="R13" s="264">
        <v>0</v>
      </c>
      <c r="S13" s="264">
        <v>0</v>
      </c>
      <c r="T13" s="264">
        <v>0</v>
      </c>
      <c r="U13" s="264">
        <v>0</v>
      </c>
      <c r="V13" s="264">
        <v>0</v>
      </c>
      <c r="W13" s="264">
        <v>0</v>
      </c>
      <c r="X13" s="264">
        <v>0</v>
      </c>
      <c r="Y13" s="264">
        <v>0</v>
      </c>
      <c r="Z13" s="264">
        <v>0</v>
      </c>
      <c r="AA13" s="59"/>
      <c r="AB13" s="416">
        <v>14</v>
      </c>
    </row>
    <row r="14" spans="1:28" x14ac:dyDescent="0.2">
      <c r="A14" s="166" t="s">
        <v>464</v>
      </c>
      <c r="B14" s="264">
        <v>0</v>
      </c>
      <c r="C14" s="264">
        <v>0</v>
      </c>
      <c r="D14" s="269">
        <v>14</v>
      </c>
      <c r="E14" s="264">
        <v>42</v>
      </c>
      <c r="F14" s="264">
        <v>0</v>
      </c>
      <c r="G14" s="264">
        <v>0</v>
      </c>
      <c r="H14" s="264">
        <v>0</v>
      </c>
      <c r="I14" s="265">
        <f t="shared" si="0"/>
        <v>35.179648052594175</v>
      </c>
      <c r="J14" s="266">
        <f>75473*0.453592/996.96</f>
        <v>34.338337562189054</v>
      </c>
      <c r="K14" s="267">
        <f>3.76*365/(35)</f>
        <v>39.21142857142857</v>
      </c>
      <c r="L14" s="266">
        <f>78404*0.453592/996.96</f>
        <v>35.671869651741297</v>
      </c>
      <c r="M14" s="266">
        <f>73275*0.453592/996.96</f>
        <v>33.338302238805973</v>
      </c>
      <c r="N14" s="266">
        <f>73275*0.453592/996.96</f>
        <v>33.338302238805973</v>
      </c>
      <c r="O14" s="266" t="s">
        <v>101</v>
      </c>
      <c r="P14" s="266" t="s">
        <v>101</v>
      </c>
      <c r="Q14" s="268">
        <f>36637*0.453592/996.96</f>
        <v>16.668923631840794</v>
      </c>
      <c r="R14" s="264">
        <v>0</v>
      </c>
      <c r="S14" s="264">
        <v>0</v>
      </c>
      <c r="T14" s="264">
        <v>0</v>
      </c>
      <c r="U14" s="264">
        <v>0</v>
      </c>
      <c r="V14" s="264">
        <v>0</v>
      </c>
      <c r="W14" s="264">
        <v>0</v>
      </c>
      <c r="X14" s="264">
        <v>0</v>
      </c>
      <c r="Y14" s="264">
        <v>0</v>
      </c>
      <c r="Z14" s="264">
        <v>0</v>
      </c>
      <c r="AA14" s="59"/>
      <c r="AB14" s="416">
        <v>14</v>
      </c>
    </row>
    <row r="15" spans="1:28" x14ac:dyDescent="0.2">
      <c r="A15" s="166" t="s">
        <v>180</v>
      </c>
      <c r="B15" s="269">
        <v>295</v>
      </c>
      <c r="C15" s="269">
        <v>17</v>
      </c>
      <c r="D15" s="269">
        <v>16</v>
      </c>
      <c r="E15" s="269">
        <v>49</v>
      </c>
      <c r="F15" s="269">
        <v>0.03</v>
      </c>
      <c r="G15" s="269">
        <v>0.08</v>
      </c>
      <c r="H15" s="269">
        <v>24.2</v>
      </c>
      <c r="I15" s="265">
        <f t="shared" si="0"/>
        <v>51.373250817341862</v>
      </c>
      <c r="J15" s="268">
        <f>103113*0.453592/996.96</f>
        <v>46.913849999999996</v>
      </c>
      <c r="K15" s="267">
        <f>6.724*365/(35)</f>
        <v>70.12171428571429</v>
      </c>
      <c r="L15" s="268">
        <f>107117*0.453592/996.96</f>
        <v>48.735570398009948</v>
      </c>
      <c r="M15" s="268">
        <f>100110*0.453592/996.96</f>
        <v>45.547559701492531</v>
      </c>
      <c r="N15" s="268">
        <f>100110*0.453592/996.96</f>
        <v>45.547559701492531</v>
      </c>
      <c r="O15" s="271" t="s">
        <v>101</v>
      </c>
      <c r="P15" s="272" t="s">
        <v>101</v>
      </c>
      <c r="Q15" s="268">
        <f>50055*0.453592/996.96</f>
        <v>22.773779850746266</v>
      </c>
      <c r="R15" s="269">
        <v>402</v>
      </c>
      <c r="S15" s="269">
        <v>0.4</v>
      </c>
      <c r="T15" s="269">
        <v>2173</v>
      </c>
      <c r="U15" s="269">
        <v>0.2</v>
      </c>
      <c r="V15" s="269">
        <v>0.3</v>
      </c>
      <c r="W15" s="269">
        <v>0.1</v>
      </c>
      <c r="X15" s="269">
        <v>1.09E-2</v>
      </c>
      <c r="Y15" s="273">
        <v>0.67</v>
      </c>
      <c r="Z15" s="269">
        <v>67.599999999999994</v>
      </c>
      <c r="AA15" s="59"/>
      <c r="AB15" s="416">
        <v>14</v>
      </c>
    </row>
    <row r="16" spans="1:28" x14ac:dyDescent="0.2">
      <c r="A16" s="166" t="s">
        <v>176</v>
      </c>
      <c r="B16" s="269">
        <v>250</v>
      </c>
      <c r="C16" s="269">
        <v>10.8</v>
      </c>
      <c r="D16" s="269">
        <v>12</v>
      </c>
      <c r="E16" s="269">
        <v>64</v>
      </c>
      <c r="F16" s="269">
        <v>8.5000000000000006E-2</v>
      </c>
      <c r="G16" s="269">
        <v>0.09</v>
      </c>
      <c r="H16" s="269">
        <v>4.8</v>
      </c>
      <c r="I16" s="265">
        <f t="shared" si="0"/>
        <v>4.8357486069651738</v>
      </c>
      <c r="J16" s="274" t="s">
        <v>101</v>
      </c>
      <c r="K16" s="267" t="s">
        <v>101</v>
      </c>
      <c r="L16" s="268">
        <f>11215*0.453592/996.96</f>
        <v>5.1025460199004975</v>
      </c>
      <c r="M16" s="268">
        <f>10482*0.453592/996.96</f>
        <v>4.7690492537313425</v>
      </c>
      <c r="N16" s="268">
        <f>10482*0.453592/996.96</f>
        <v>4.7690492537313425</v>
      </c>
      <c r="O16" s="268">
        <f>10482*0.453592/996.96</f>
        <v>4.7690492537313425</v>
      </c>
      <c r="P16" s="268">
        <f>10482*0.453592/996.96</f>
        <v>4.7690492537313425</v>
      </c>
      <c r="Q16" s="268">
        <f>5241*0.453592/996.96</f>
        <v>2.3845246268656712</v>
      </c>
      <c r="R16" s="269">
        <v>198</v>
      </c>
      <c r="S16" s="269">
        <v>0.9</v>
      </c>
      <c r="T16" s="269">
        <v>458</v>
      </c>
      <c r="U16" s="269">
        <v>0.5</v>
      </c>
      <c r="V16" s="269">
        <v>0.5</v>
      </c>
      <c r="W16" s="269">
        <v>0.4</v>
      </c>
      <c r="X16" s="269">
        <v>6.4999999999999997E-3</v>
      </c>
      <c r="Y16" s="273">
        <v>0.33</v>
      </c>
      <c r="Z16" s="269">
        <v>25.7</v>
      </c>
      <c r="AA16" s="59"/>
      <c r="AB16" s="416">
        <v>14</v>
      </c>
    </row>
    <row r="17" spans="1:28" x14ac:dyDescent="0.2">
      <c r="A17" s="166" t="s">
        <v>388</v>
      </c>
      <c r="B17" s="264">
        <v>0</v>
      </c>
      <c r="C17" s="264">
        <v>0</v>
      </c>
      <c r="D17" s="264">
        <v>16</v>
      </c>
      <c r="E17" s="264">
        <v>30</v>
      </c>
      <c r="F17" s="264">
        <v>0</v>
      </c>
      <c r="G17" s="264">
        <v>0</v>
      </c>
      <c r="H17" s="264">
        <v>0</v>
      </c>
      <c r="I17" s="265">
        <f t="shared" si="0"/>
        <v>7.536025970149252</v>
      </c>
      <c r="J17" s="275" t="s">
        <v>101</v>
      </c>
      <c r="K17" s="267" t="s">
        <v>101</v>
      </c>
      <c r="L17" s="268">
        <f>17478*0.453592/996.96</f>
        <v>7.9520552238805964</v>
      </c>
      <c r="M17" s="268">
        <f>16335*0.453592/996.96</f>
        <v>7.4320186567164175</v>
      </c>
      <c r="N17" s="268">
        <f>16335*0.453592/996.96</f>
        <v>7.4320186567164175</v>
      </c>
      <c r="O17" s="268">
        <f>16335*0.453592/996.96</f>
        <v>7.4320186567164175</v>
      </c>
      <c r="P17" s="268">
        <f>16335*0.453592/996.96</f>
        <v>7.4320186567164175</v>
      </c>
      <c r="Q17" s="268">
        <f>8167*0.453592/996.96</f>
        <v>3.7157818407960197</v>
      </c>
      <c r="R17" s="264">
        <v>0</v>
      </c>
      <c r="S17" s="264">
        <v>0</v>
      </c>
      <c r="T17" s="264">
        <v>0</v>
      </c>
      <c r="U17" s="264">
        <v>0</v>
      </c>
      <c r="V17" s="264">
        <v>0</v>
      </c>
      <c r="W17" s="264">
        <v>0</v>
      </c>
      <c r="X17" s="264">
        <v>0</v>
      </c>
      <c r="Y17" s="264">
        <v>0</v>
      </c>
      <c r="Z17" s="264">
        <v>0</v>
      </c>
      <c r="AA17" s="59"/>
      <c r="AB17" s="416">
        <v>14</v>
      </c>
    </row>
    <row r="18" spans="1:28" x14ac:dyDescent="0.2">
      <c r="A18" s="166" t="s">
        <v>389</v>
      </c>
      <c r="B18" s="264">
        <v>0</v>
      </c>
      <c r="C18" s="264">
        <v>0</v>
      </c>
      <c r="D18" s="264">
        <v>16</v>
      </c>
      <c r="E18" s="264">
        <v>30</v>
      </c>
      <c r="F18" s="264">
        <v>0</v>
      </c>
      <c r="G18" s="264">
        <v>0</v>
      </c>
      <c r="H18" s="264">
        <v>0</v>
      </c>
      <c r="I18" s="265">
        <f t="shared" si="0"/>
        <v>83.795612251243767</v>
      </c>
      <c r="J18" s="268">
        <f>185075*0.453592/996.96</f>
        <v>84.204521144278601</v>
      </c>
      <c r="K18" s="267"/>
      <c r="L18" s="268">
        <f>192262*0.453592/996.96</f>
        <v>87.474427363184077</v>
      </c>
      <c r="M18" s="268">
        <f>179684*0.453592/996.96</f>
        <v>81.75175024875621</v>
      </c>
      <c r="N18" s="268">
        <f>179684*0.453592/996.96</f>
        <v>81.75175024875621</v>
      </c>
      <c r="O18" s="276" t="s">
        <v>101</v>
      </c>
      <c r="P18" s="277" t="s">
        <v>101</v>
      </c>
      <c r="Q18" s="268">
        <f>89842*0.453592/996.96</f>
        <v>40.875875124378105</v>
      </c>
      <c r="R18" s="264">
        <v>0</v>
      </c>
      <c r="S18" s="264">
        <v>0</v>
      </c>
      <c r="T18" s="264">
        <v>0</v>
      </c>
      <c r="U18" s="264">
        <v>0</v>
      </c>
      <c r="V18" s="264">
        <v>0</v>
      </c>
      <c r="W18" s="264">
        <v>0</v>
      </c>
      <c r="X18" s="264">
        <v>0</v>
      </c>
      <c r="Y18" s="264">
        <v>0</v>
      </c>
      <c r="Z18" s="264">
        <v>0</v>
      </c>
      <c r="AA18" s="59"/>
      <c r="AB18" s="416">
        <v>14</v>
      </c>
    </row>
    <row r="19" spans="1:28" x14ac:dyDescent="0.2">
      <c r="A19" s="166" t="s">
        <v>436</v>
      </c>
      <c r="B19" s="264">
        <v>0</v>
      </c>
      <c r="C19" s="264">
        <v>0</v>
      </c>
      <c r="D19" s="264">
        <v>16</v>
      </c>
      <c r="E19" s="264">
        <v>30</v>
      </c>
      <c r="F19" s="264">
        <v>0</v>
      </c>
      <c r="G19" s="264">
        <v>0</v>
      </c>
      <c r="H19" s="264">
        <v>0</v>
      </c>
      <c r="I19" s="265">
        <f t="shared" si="0"/>
        <v>13.906921310116088</v>
      </c>
      <c r="J19" s="275" t="s">
        <v>101</v>
      </c>
      <c r="K19" s="267" t="s">
        <v>101</v>
      </c>
      <c r="L19" s="268">
        <f>42756*0.453592/996.96</f>
        <v>19.452916417910448</v>
      </c>
      <c r="M19" s="268">
        <f>39959*0.453592/996.96</f>
        <v>18.180350995024877</v>
      </c>
      <c r="N19" s="275" t="s">
        <v>101</v>
      </c>
      <c r="O19" s="276">
        <f>8984*0.453592/996.96</f>
        <v>4.0874965174129345</v>
      </c>
      <c r="P19" s="277" t="s">
        <v>101</v>
      </c>
      <c r="Q19" s="268">
        <f>19979*0.453592/996.96</f>
        <v>9.0899480099502483</v>
      </c>
      <c r="R19" s="264">
        <v>0</v>
      </c>
      <c r="S19" s="264">
        <v>0</v>
      </c>
      <c r="T19" s="264">
        <v>0</v>
      </c>
      <c r="U19" s="264">
        <v>0</v>
      </c>
      <c r="V19" s="264">
        <v>0</v>
      </c>
      <c r="W19" s="264">
        <v>0</v>
      </c>
      <c r="X19" s="264">
        <v>0</v>
      </c>
      <c r="Y19" s="264">
        <v>0</v>
      </c>
      <c r="Z19" s="264">
        <v>0</v>
      </c>
      <c r="AA19" s="59"/>
      <c r="AB19" s="416">
        <v>14</v>
      </c>
    </row>
    <row r="20" spans="1:28" x14ac:dyDescent="0.2">
      <c r="A20" s="166" t="s">
        <v>439</v>
      </c>
      <c r="B20" s="264">
        <v>0</v>
      </c>
      <c r="C20" s="264">
        <v>0</v>
      </c>
      <c r="D20" s="264">
        <v>16</v>
      </c>
      <c r="E20" s="264">
        <v>30</v>
      </c>
      <c r="F20" s="264">
        <v>0</v>
      </c>
      <c r="G20" s="264">
        <v>0</v>
      </c>
      <c r="H20" s="264">
        <v>0</v>
      </c>
      <c r="I20" s="265">
        <f t="shared" si="0"/>
        <v>4.1447323880597002</v>
      </c>
      <c r="J20" s="275" t="s">
        <v>101</v>
      </c>
      <c r="K20" s="267" t="s">
        <v>101</v>
      </c>
      <c r="L20" s="268">
        <f>9613*0.453592/996.96</f>
        <v>4.3736758706467667</v>
      </c>
      <c r="M20" s="268">
        <f>8984*0.453592/996.96</f>
        <v>4.0874965174129345</v>
      </c>
      <c r="N20" s="268">
        <f>8984*0.453592/996.96</f>
        <v>4.0874965174129345</v>
      </c>
      <c r="O20" s="276">
        <f>8984*0.453592/996.96</f>
        <v>4.0874965174129345</v>
      </c>
      <c r="P20" s="276">
        <f>8984*0.453592/996.96</f>
        <v>4.0874965174129345</v>
      </c>
      <c r="Q20" s="268">
        <f>4492*0.453592/996.96</f>
        <v>2.0437482587064673</v>
      </c>
      <c r="R20" s="264">
        <v>0</v>
      </c>
      <c r="S20" s="264">
        <v>0</v>
      </c>
      <c r="T20" s="264">
        <v>0</v>
      </c>
      <c r="U20" s="264">
        <v>0</v>
      </c>
      <c r="V20" s="264">
        <v>0</v>
      </c>
      <c r="W20" s="264">
        <v>0</v>
      </c>
      <c r="X20" s="264">
        <v>0</v>
      </c>
      <c r="Y20" s="264">
        <v>0</v>
      </c>
      <c r="Z20" s="264">
        <v>0</v>
      </c>
      <c r="AA20" s="59"/>
      <c r="AB20" s="416">
        <v>14</v>
      </c>
    </row>
    <row r="21" spans="1:28" x14ac:dyDescent="0.2">
      <c r="A21" s="166" t="s">
        <v>390</v>
      </c>
      <c r="B21" s="264">
        <v>0</v>
      </c>
      <c r="C21" s="264">
        <v>0</v>
      </c>
      <c r="D21" s="264">
        <v>16</v>
      </c>
      <c r="E21" s="264">
        <v>30</v>
      </c>
      <c r="F21" s="264">
        <v>0</v>
      </c>
      <c r="G21" s="264">
        <v>0</v>
      </c>
      <c r="H21" s="264">
        <v>0</v>
      </c>
      <c r="I21" s="265">
        <f t="shared" si="0"/>
        <v>29.178692164179104</v>
      </c>
      <c r="J21" s="268">
        <f>64444*0.453592/996.96</f>
        <v>29.320416915422882</v>
      </c>
      <c r="K21" s="267"/>
      <c r="L21" s="268">
        <f>66948*0.453592/996.96</f>
        <v>30.459674626865667</v>
      </c>
      <c r="M21" s="268">
        <f>62569*0.453592/996.96</f>
        <v>28.467338557213928</v>
      </c>
      <c r="N21" s="268">
        <f>62569*0.453592/996.96</f>
        <v>28.467338557213928</v>
      </c>
      <c r="O21" s="271" t="s">
        <v>101</v>
      </c>
      <c r="P21" s="272" t="s">
        <v>101</v>
      </c>
      <c r="Q21" s="268">
        <f>31284*0.453592/996.96</f>
        <v>14.233441791044775</v>
      </c>
      <c r="R21" s="264">
        <v>0</v>
      </c>
      <c r="S21" s="264">
        <v>0</v>
      </c>
      <c r="T21" s="264">
        <v>0</v>
      </c>
      <c r="U21" s="264">
        <v>0</v>
      </c>
      <c r="V21" s="264">
        <v>0</v>
      </c>
      <c r="W21" s="264">
        <v>0</v>
      </c>
      <c r="X21" s="264">
        <v>0</v>
      </c>
      <c r="Y21" s="264">
        <v>0</v>
      </c>
      <c r="Z21" s="264">
        <v>0</v>
      </c>
      <c r="AA21" s="59"/>
      <c r="AB21" s="416">
        <v>14</v>
      </c>
    </row>
    <row r="22" spans="1:28" x14ac:dyDescent="0.2">
      <c r="A22" s="166" t="s">
        <v>465</v>
      </c>
      <c r="B22" s="264">
        <v>0</v>
      </c>
      <c r="C22" s="264">
        <v>0</v>
      </c>
      <c r="D22" s="264">
        <v>16</v>
      </c>
      <c r="E22" s="264">
        <v>30</v>
      </c>
      <c r="F22" s="264">
        <v>0</v>
      </c>
      <c r="G22" s="264">
        <v>0</v>
      </c>
      <c r="H22" s="264">
        <v>0</v>
      </c>
      <c r="I22" s="265">
        <f t="shared" si="0"/>
        <v>5.6283835199004972</v>
      </c>
      <c r="J22" s="268">
        <f>12431*0.453592/996.96</f>
        <v>5.6557957711442786</v>
      </c>
      <c r="K22" s="267"/>
      <c r="L22" s="268">
        <f>12914*0.453592/996.96</f>
        <v>5.8755487562189046</v>
      </c>
      <c r="M22" s="268">
        <f>12069*0.453592/996.96</f>
        <v>5.491094776119402</v>
      </c>
      <c r="N22" s="268">
        <f>12069*0.453592/996.96</f>
        <v>5.491094776119402</v>
      </c>
      <c r="O22" s="272" t="s">
        <v>101</v>
      </c>
      <c r="P22" s="272" t="s">
        <v>101</v>
      </c>
      <c r="Q22" s="268">
        <f>6034*0.453592/996.96</f>
        <v>2.745319900497512</v>
      </c>
      <c r="R22" s="264">
        <v>0</v>
      </c>
      <c r="S22" s="264">
        <v>0</v>
      </c>
      <c r="T22" s="264">
        <v>0</v>
      </c>
      <c r="U22" s="264">
        <v>0</v>
      </c>
      <c r="V22" s="264">
        <v>0</v>
      </c>
      <c r="W22" s="264">
        <v>0</v>
      </c>
      <c r="X22" s="264">
        <v>0</v>
      </c>
      <c r="Y22" s="264">
        <v>0</v>
      </c>
      <c r="Z22" s="264">
        <v>0</v>
      </c>
      <c r="AA22" s="59"/>
      <c r="AB22" s="416">
        <v>14</v>
      </c>
    </row>
    <row r="23" spans="1:28" x14ac:dyDescent="0.2">
      <c r="A23" s="166" t="s">
        <v>182</v>
      </c>
      <c r="B23" s="269">
        <v>295</v>
      </c>
      <c r="C23" s="269">
        <v>17</v>
      </c>
      <c r="D23" s="269">
        <v>12</v>
      </c>
      <c r="E23" s="269">
        <v>85</v>
      </c>
      <c r="F23" s="269">
        <v>8.4000000000000005E-2</v>
      </c>
      <c r="G23" s="269">
        <v>7.0000000000000007E-2</v>
      </c>
      <c r="H23" s="269">
        <v>15.5</v>
      </c>
      <c r="I23" s="265" t="e">
        <f t="shared" si="0"/>
        <v>#DIV/0!</v>
      </c>
      <c r="J23" s="272" t="s">
        <v>101</v>
      </c>
      <c r="K23" s="267" t="s">
        <v>101</v>
      </c>
      <c r="L23" s="272" t="s">
        <v>101</v>
      </c>
      <c r="M23" s="272" t="s">
        <v>101</v>
      </c>
      <c r="N23" s="272" t="s">
        <v>101</v>
      </c>
      <c r="O23" s="271" t="s">
        <v>101</v>
      </c>
      <c r="P23" s="272" t="s">
        <v>101</v>
      </c>
      <c r="Q23" s="278" t="s">
        <v>101</v>
      </c>
      <c r="R23" s="269">
        <v>480</v>
      </c>
      <c r="S23" s="269">
        <v>1.2</v>
      </c>
      <c r="T23" s="269">
        <v>2681</v>
      </c>
      <c r="U23" s="269">
        <v>0.3</v>
      </c>
      <c r="V23" s="269">
        <v>0.3</v>
      </c>
      <c r="W23" s="269">
        <v>0.1</v>
      </c>
      <c r="X23" s="269">
        <v>1.29E-2</v>
      </c>
      <c r="Y23" s="273">
        <v>0.8</v>
      </c>
      <c r="Z23" s="269">
        <v>79.8</v>
      </c>
      <c r="AA23" s="59"/>
      <c r="AB23" s="416">
        <v>14</v>
      </c>
    </row>
    <row r="24" spans="1:28" x14ac:dyDescent="0.2">
      <c r="A24" s="166" t="s">
        <v>391</v>
      </c>
      <c r="B24" s="264">
        <v>0</v>
      </c>
      <c r="C24" s="264">
        <v>0</v>
      </c>
      <c r="D24" s="264">
        <v>16</v>
      </c>
      <c r="E24" s="264">
        <v>30</v>
      </c>
      <c r="F24" s="264">
        <v>0</v>
      </c>
      <c r="G24" s="264">
        <v>0</v>
      </c>
      <c r="H24" s="264">
        <v>0</v>
      </c>
      <c r="I24" s="265">
        <f t="shared" si="0"/>
        <v>30.782024502487559</v>
      </c>
      <c r="J24" s="268">
        <f>67987*0.453592/996.96</f>
        <v>30.932393781094529</v>
      </c>
      <c r="K24" s="267"/>
      <c r="L24" s="268">
        <f>70627*0.453592/996.96</f>
        <v>32.133528109452733</v>
      </c>
      <c r="M24" s="268">
        <f>66006*0.453592/996.96</f>
        <v>30.031088059701492</v>
      </c>
      <c r="N24" s="268">
        <f>66006*0.453592/996.96</f>
        <v>30.031088059701492</v>
      </c>
      <c r="O24" s="271" t="s">
        <v>101</v>
      </c>
      <c r="P24" s="272" t="s">
        <v>101</v>
      </c>
      <c r="Q24" s="268">
        <f>33003*0.453592/996.96</f>
        <v>15.015544029850746</v>
      </c>
      <c r="R24" s="264">
        <v>0</v>
      </c>
      <c r="S24" s="264">
        <v>0</v>
      </c>
      <c r="T24" s="264">
        <v>0</v>
      </c>
      <c r="U24" s="264">
        <v>0</v>
      </c>
      <c r="V24" s="264">
        <v>0</v>
      </c>
      <c r="W24" s="264">
        <v>0</v>
      </c>
      <c r="X24" s="264">
        <v>0</v>
      </c>
      <c r="Y24" s="264">
        <v>0</v>
      </c>
      <c r="Z24" s="264">
        <v>0</v>
      </c>
      <c r="AA24" s="59"/>
      <c r="AB24" s="416">
        <v>14</v>
      </c>
    </row>
    <row r="25" spans="1:28" x14ac:dyDescent="0.2">
      <c r="A25" s="166" t="s">
        <v>392</v>
      </c>
      <c r="B25" s="264">
        <v>0</v>
      </c>
      <c r="C25" s="264">
        <v>0</v>
      </c>
      <c r="D25" s="264">
        <v>16</v>
      </c>
      <c r="E25" s="264">
        <v>30</v>
      </c>
      <c r="F25" s="264">
        <v>0</v>
      </c>
      <c r="G25" s="264">
        <v>0</v>
      </c>
      <c r="H25" s="264">
        <v>0</v>
      </c>
      <c r="I25" s="265">
        <f t="shared" si="0"/>
        <v>27.346616162046907</v>
      </c>
      <c r="J25" s="268">
        <f>64005*0.453592/996.96</f>
        <v>29.120682835820894</v>
      </c>
      <c r="K25" s="267">
        <f>1.996*365/35</f>
        <v>20.815428571428569</v>
      </c>
      <c r="L25" s="268">
        <f>66491*0.453592/996.96</f>
        <v>30.251750995024874</v>
      </c>
      <c r="M25" s="268">
        <f>62141*0.453592/996.96</f>
        <v>28.2726092039801</v>
      </c>
      <c r="N25" s="268">
        <f>62141*0.453592/996.96</f>
        <v>28.2726092039801</v>
      </c>
      <c r="O25" s="271" t="s">
        <v>101</v>
      </c>
      <c r="P25" s="270" t="s">
        <v>101</v>
      </c>
      <c r="Q25" s="268">
        <f>31070*0.453592/996.96</f>
        <v>14.136077114427859</v>
      </c>
      <c r="R25" s="264">
        <v>0</v>
      </c>
      <c r="S25" s="264">
        <v>0</v>
      </c>
      <c r="T25" s="264">
        <v>0</v>
      </c>
      <c r="U25" s="264">
        <v>0</v>
      </c>
      <c r="V25" s="264">
        <v>0</v>
      </c>
      <c r="W25" s="264">
        <v>0</v>
      </c>
      <c r="X25" s="264">
        <v>0</v>
      </c>
      <c r="Y25" s="264">
        <v>0</v>
      </c>
      <c r="Z25" s="264">
        <v>0</v>
      </c>
      <c r="AA25" s="59"/>
      <c r="AB25" s="416">
        <v>14</v>
      </c>
    </row>
    <row r="26" spans="1:28" x14ac:dyDescent="0.2">
      <c r="A26" s="166" t="s">
        <v>175</v>
      </c>
      <c r="B26" s="269">
        <v>250</v>
      </c>
      <c r="C26" s="269">
        <v>16.2</v>
      </c>
      <c r="D26" s="269">
        <v>18</v>
      </c>
      <c r="E26" s="269">
        <v>58</v>
      </c>
      <c r="F26" s="269">
        <v>0.33100000000000002</v>
      </c>
      <c r="G26" s="269">
        <v>4.4999999999999998E-2</v>
      </c>
      <c r="H26" s="269">
        <v>1.7</v>
      </c>
      <c r="I26" s="265">
        <f t="shared" si="0"/>
        <v>17.314533333333333</v>
      </c>
      <c r="J26" s="275" t="s">
        <v>101</v>
      </c>
      <c r="K26" s="267" t="s">
        <v>101</v>
      </c>
      <c r="L26" s="275" t="s">
        <v>101</v>
      </c>
      <c r="M26" s="275" t="s">
        <v>101</v>
      </c>
      <c r="N26" s="275" t="s">
        <v>101</v>
      </c>
      <c r="O26" s="268">
        <f>38056*0.453592/996.96</f>
        <v>17.314533333333333</v>
      </c>
      <c r="P26" s="268">
        <f>38056*0.453592/996.96</f>
        <v>17.314533333333333</v>
      </c>
      <c r="Q26" s="268">
        <f>19028*0.453592/996.96</f>
        <v>8.6572666666666667</v>
      </c>
      <c r="R26" s="269">
        <v>172</v>
      </c>
      <c r="S26" s="269">
        <v>7.4</v>
      </c>
      <c r="T26" s="269">
        <v>618</v>
      </c>
      <c r="U26" s="269">
        <v>0.8</v>
      </c>
      <c r="V26" s="269">
        <v>1.5</v>
      </c>
      <c r="W26" s="269">
        <v>0.3</v>
      </c>
      <c r="X26" s="269">
        <v>1.3599999999999999E-2</v>
      </c>
      <c r="Y26" s="273">
        <v>0.2</v>
      </c>
      <c r="Z26" s="269">
        <v>80.400000000000006</v>
      </c>
      <c r="AA26" s="59"/>
      <c r="AB26" s="416">
        <v>14</v>
      </c>
    </row>
    <row r="27" spans="1:28" x14ac:dyDescent="0.2">
      <c r="A27" s="166" t="s">
        <v>393</v>
      </c>
      <c r="B27" s="264">
        <v>0</v>
      </c>
      <c r="C27" s="264">
        <v>0</v>
      </c>
      <c r="D27" s="264">
        <v>16</v>
      </c>
      <c r="E27" s="264">
        <v>30</v>
      </c>
      <c r="F27" s="264">
        <v>0</v>
      </c>
      <c r="G27" s="264">
        <v>0</v>
      </c>
      <c r="H27" s="264">
        <v>0</v>
      </c>
      <c r="I27" s="265">
        <f t="shared" si="0"/>
        <v>3.6910994402985073</v>
      </c>
      <c r="J27" s="268">
        <f>8152*0.453592/996.96</f>
        <v>3.7089572139303479</v>
      </c>
      <c r="K27" s="267"/>
      <c r="L27" s="268">
        <f>8469*0.453592/996.96</f>
        <v>3.8531843283582088</v>
      </c>
      <c r="M27" s="268">
        <f>7915*0.453592/996.96</f>
        <v>3.6011281094527363</v>
      </c>
      <c r="N27" s="268">
        <f>7915*0.453592/996.96</f>
        <v>3.6011281094527363</v>
      </c>
      <c r="O27" s="271" t="s">
        <v>101</v>
      </c>
      <c r="P27" s="272" t="s">
        <v>101</v>
      </c>
      <c r="Q27" s="268">
        <f>3957*0.453592/996.96</f>
        <v>1.8003365671641791</v>
      </c>
      <c r="R27" s="264">
        <v>0</v>
      </c>
      <c r="S27" s="264">
        <v>0</v>
      </c>
      <c r="T27" s="264">
        <v>0</v>
      </c>
      <c r="U27" s="264">
        <v>0</v>
      </c>
      <c r="V27" s="264">
        <v>0</v>
      </c>
      <c r="W27" s="264">
        <v>0</v>
      </c>
      <c r="X27" s="264">
        <v>0</v>
      </c>
      <c r="Y27" s="264">
        <v>0</v>
      </c>
      <c r="Z27" s="264">
        <v>0</v>
      </c>
      <c r="AA27" s="59"/>
      <c r="AB27" s="416">
        <v>14</v>
      </c>
    </row>
    <row r="28" spans="1:28" x14ac:dyDescent="0.2">
      <c r="A28" s="166" t="s">
        <v>177</v>
      </c>
      <c r="B28" s="269">
        <v>250</v>
      </c>
      <c r="C28" s="269">
        <v>10.8</v>
      </c>
      <c r="D28" s="269">
        <v>12</v>
      </c>
      <c r="E28" s="269">
        <v>81</v>
      </c>
      <c r="F28" s="269">
        <v>0.108</v>
      </c>
      <c r="G28" s="269">
        <v>0.08</v>
      </c>
      <c r="H28" s="269">
        <v>4.8</v>
      </c>
      <c r="I28" s="265" t="e">
        <f t="shared" si="0"/>
        <v>#DIV/0!</v>
      </c>
      <c r="J28" s="275" t="s">
        <v>101</v>
      </c>
      <c r="K28" s="267" t="s">
        <v>101</v>
      </c>
      <c r="L28" s="275" t="s">
        <v>101</v>
      </c>
      <c r="M28" s="275" t="s">
        <v>101</v>
      </c>
      <c r="N28" s="275" t="s">
        <v>101</v>
      </c>
      <c r="O28" s="275" t="s">
        <v>101</v>
      </c>
      <c r="P28" s="278" t="s">
        <v>101</v>
      </c>
      <c r="Q28" s="278" t="s">
        <v>101</v>
      </c>
      <c r="R28" s="269">
        <v>198</v>
      </c>
      <c r="S28" s="269">
        <v>1.3</v>
      </c>
      <c r="T28" s="269">
        <v>459</v>
      </c>
      <c r="U28" s="269">
        <v>0.5</v>
      </c>
      <c r="V28" s="269">
        <v>0.6</v>
      </c>
      <c r="W28" s="269">
        <v>0.1</v>
      </c>
      <c r="X28" s="269">
        <v>7.3000000000000001E-3</v>
      </c>
      <c r="Y28" s="273">
        <v>0.33</v>
      </c>
      <c r="Z28" s="269">
        <v>29</v>
      </c>
      <c r="AA28" s="59"/>
      <c r="AB28" s="416">
        <v>14</v>
      </c>
    </row>
    <row r="29" spans="1:28" x14ac:dyDescent="0.2">
      <c r="A29" s="166" t="s">
        <v>394</v>
      </c>
      <c r="B29" s="264">
        <v>0</v>
      </c>
      <c r="C29" s="264">
        <v>0</v>
      </c>
      <c r="D29" s="264">
        <v>16</v>
      </c>
      <c r="E29" s="264">
        <v>30</v>
      </c>
      <c r="F29" s="264">
        <v>0</v>
      </c>
      <c r="G29" s="264">
        <v>0</v>
      </c>
      <c r="H29" s="264">
        <v>0</v>
      </c>
      <c r="I29" s="265">
        <f t="shared" si="0"/>
        <v>157.11724216417909</v>
      </c>
      <c r="J29" s="268">
        <f>347016*0.453592/996.96</f>
        <v>157.88364776119403</v>
      </c>
      <c r="K29" s="267" t="s">
        <v>101</v>
      </c>
      <c r="L29" s="268">
        <f>360492*0.453592/996.96</f>
        <v>164.01489253731341</v>
      </c>
      <c r="M29" s="268">
        <f>336909*0.453592/996.96</f>
        <v>153.28521417910446</v>
      </c>
      <c r="N29" s="268">
        <f>336909*0.453592/996.96</f>
        <v>153.28521417910446</v>
      </c>
      <c r="O29" s="271" t="s">
        <v>101</v>
      </c>
      <c r="P29" s="272" t="s">
        <v>101</v>
      </c>
      <c r="Q29" s="268">
        <f>168454*0.453592/996.96</f>
        <v>76.642379601990044</v>
      </c>
      <c r="R29" s="264">
        <v>0</v>
      </c>
      <c r="S29" s="264">
        <v>0</v>
      </c>
      <c r="T29" s="264">
        <v>0</v>
      </c>
      <c r="U29" s="264">
        <v>0</v>
      </c>
      <c r="V29" s="264">
        <v>0</v>
      </c>
      <c r="W29" s="264">
        <v>0</v>
      </c>
      <c r="X29" s="264">
        <v>0</v>
      </c>
      <c r="Y29" s="264">
        <v>0</v>
      </c>
      <c r="Z29" s="264">
        <v>0</v>
      </c>
      <c r="AA29" s="59"/>
      <c r="AB29" s="416">
        <v>14</v>
      </c>
    </row>
    <row r="30" spans="1:28" x14ac:dyDescent="0.2">
      <c r="A30" s="166" t="s">
        <v>395</v>
      </c>
      <c r="B30" s="264">
        <v>0</v>
      </c>
      <c r="C30" s="264">
        <v>0</v>
      </c>
      <c r="D30" s="264">
        <v>16</v>
      </c>
      <c r="E30" s="264">
        <v>30</v>
      </c>
      <c r="F30" s="264">
        <v>0</v>
      </c>
      <c r="G30" s="264">
        <v>0</v>
      </c>
      <c r="H30" s="264">
        <v>0</v>
      </c>
      <c r="I30" s="265">
        <f t="shared" si="0"/>
        <v>13.287662251243781</v>
      </c>
      <c r="J30" s="268">
        <f>29348*0.453592/996.96</f>
        <v>13.352609950248755</v>
      </c>
      <c r="K30" s="267" t="s">
        <v>101</v>
      </c>
      <c r="L30" s="268">
        <f>30487*0.453592/996.96</f>
        <v>13.870826616915423</v>
      </c>
      <c r="M30" s="268">
        <f>28493*0.453592/996.96</f>
        <v>12.963606218905472</v>
      </c>
      <c r="N30" s="268">
        <f>28493*0.453592/996.96</f>
        <v>12.963606218905472</v>
      </c>
      <c r="O30" s="272" t="s">
        <v>101</v>
      </c>
      <c r="P30" s="272" t="s">
        <v>101</v>
      </c>
      <c r="Q30" s="268">
        <f>14246*0.453592/996.96</f>
        <v>6.4815756218905474</v>
      </c>
      <c r="R30" s="264">
        <v>0</v>
      </c>
      <c r="S30" s="264">
        <v>0</v>
      </c>
      <c r="T30" s="264">
        <v>0</v>
      </c>
      <c r="U30" s="264">
        <v>0</v>
      </c>
      <c r="V30" s="264">
        <v>0</v>
      </c>
      <c r="W30" s="264">
        <v>0</v>
      </c>
      <c r="X30" s="264">
        <v>0</v>
      </c>
      <c r="Y30" s="264">
        <v>0</v>
      </c>
      <c r="Z30" s="264">
        <v>0</v>
      </c>
      <c r="AA30" s="59"/>
      <c r="AB30" s="416">
        <v>14</v>
      </c>
    </row>
    <row r="31" spans="1:28" x14ac:dyDescent="0.2">
      <c r="A31" s="166" t="s">
        <v>396</v>
      </c>
      <c r="B31" s="264">
        <v>0</v>
      </c>
      <c r="C31" s="264">
        <v>0</v>
      </c>
      <c r="D31" s="264">
        <v>16</v>
      </c>
      <c r="E31" s="264">
        <v>30</v>
      </c>
      <c r="F31" s="264">
        <v>0</v>
      </c>
      <c r="G31" s="264">
        <v>0</v>
      </c>
      <c r="H31" s="264">
        <v>0</v>
      </c>
      <c r="I31" s="265">
        <f t="shared" si="0"/>
        <v>14.364929601990049</v>
      </c>
      <c r="J31" s="268">
        <f>31727*0.453592/996.96</f>
        <v>14.434995771144278</v>
      </c>
      <c r="K31" s="267" t="s">
        <v>101</v>
      </c>
      <c r="L31" s="268">
        <f>32959*0.453592/996.96</f>
        <v>14.995525124378108</v>
      </c>
      <c r="M31" s="268">
        <f>30803*0.453592/996.96</f>
        <v>14.014598756218906</v>
      </c>
      <c r="N31" s="268">
        <f>30803*0.453592/996.96</f>
        <v>14.014598756218906</v>
      </c>
      <c r="O31" s="271" t="s">
        <v>101</v>
      </c>
      <c r="P31" s="279" t="s">
        <v>101</v>
      </c>
      <c r="Q31" s="268">
        <f>15401*0.453592/996.96</f>
        <v>7.0070718905472642</v>
      </c>
      <c r="R31" s="264">
        <v>0</v>
      </c>
      <c r="S31" s="264">
        <v>0</v>
      </c>
      <c r="T31" s="264">
        <v>0</v>
      </c>
      <c r="U31" s="264">
        <v>0</v>
      </c>
      <c r="V31" s="264">
        <v>0</v>
      </c>
      <c r="W31" s="264">
        <v>0</v>
      </c>
      <c r="X31" s="264">
        <v>0</v>
      </c>
      <c r="Y31" s="264">
        <v>0</v>
      </c>
      <c r="Z31" s="264">
        <v>0</v>
      </c>
      <c r="AA31" s="59"/>
      <c r="AB31" s="416">
        <v>14</v>
      </c>
    </row>
    <row r="32" spans="1:28" x14ac:dyDescent="0.2">
      <c r="A32" s="166" t="s">
        <v>397</v>
      </c>
      <c r="B32" s="264">
        <v>0</v>
      </c>
      <c r="C32" s="264">
        <v>0</v>
      </c>
      <c r="D32" s="264">
        <v>16</v>
      </c>
      <c r="E32" s="264">
        <v>30</v>
      </c>
      <c r="F32" s="264">
        <v>0</v>
      </c>
      <c r="G32" s="264">
        <v>0</v>
      </c>
      <c r="H32" s="264">
        <v>0</v>
      </c>
      <c r="I32" s="265">
        <f t="shared" si="0"/>
        <v>5.6112082089552233</v>
      </c>
      <c r="J32" s="268">
        <f>12393*0.453592/996.96</f>
        <v>5.6385067164179103</v>
      </c>
      <c r="K32" s="267" t="s">
        <v>101</v>
      </c>
      <c r="L32" s="268">
        <f>12875*0.453592/996.96</f>
        <v>5.8578047263681592</v>
      </c>
      <c r="M32" s="268">
        <f>12032*0.453592/996.96</f>
        <v>5.4742606965174128</v>
      </c>
      <c r="N32" s="268">
        <f>12032*0.453592/996.96</f>
        <v>5.4742606965174128</v>
      </c>
      <c r="O32" s="275" t="s">
        <v>101</v>
      </c>
      <c r="P32" s="278" t="s">
        <v>101</v>
      </c>
      <c r="Q32" s="268">
        <f>6016*0.453592/996.96</f>
        <v>2.7371303482587064</v>
      </c>
      <c r="R32" s="264">
        <v>0</v>
      </c>
      <c r="S32" s="264">
        <v>0</v>
      </c>
      <c r="T32" s="264">
        <v>0</v>
      </c>
      <c r="U32" s="264">
        <v>0</v>
      </c>
      <c r="V32" s="264">
        <v>0</v>
      </c>
      <c r="W32" s="264">
        <v>0</v>
      </c>
      <c r="X32" s="264">
        <v>0</v>
      </c>
      <c r="Y32" s="264">
        <v>0</v>
      </c>
      <c r="Z32" s="264">
        <v>0</v>
      </c>
      <c r="AA32" s="59"/>
      <c r="AB32" s="416">
        <v>14</v>
      </c>
    </row>
    <row r="33" spans="1:28" x14ac:dyDescent="0.2">
      <c r="A33" s="166" t="s">
        <v>440</v>
      </c>
      <c r="B33" s="264">
        <v>0</v>
      </c>
      <c r="C33" s="264">
        <v>0</v>
      </c>
      <c r="D33" s="264">
        <v>16</v>
      </c>
      <c r="E33" s="264">
        <v>30</v>
      </c>
      <c r="F33" s="264">
        <v>0</v>
      </c>
      <c r="G33" s="264">
        <v>0</v>
      </c>
      <c r="H33" s="264">
        <v>0</v>
      </c>
      <c r="I33" s="265">
        <f t="shared" si="0"/>
        <v>15.21084210199005</v>
      </c>
      <c r="J33" s="268">
        <f>33595*0.453592/996.96</f>
        <v>15.284889303482586</v>
      </c>
      <c r="K33" s="267" t="s">
        <v>101</v>
      </c>
      <c r="L33" s="268">
        <f>34900*0.453592/996.96</f>
        <v>15.87863184079602</v>
      </c>
      <c r="M33" s="268">
        <f>32617*0.453592/996.96</f>
        <v>14.839923631840795</v>
      </c>
      <c r="N33" s="268">
        <f>32617*0.453592/996.96</f>
        <v>14.839923631840795</v>
      </c>
      <c r="O33" s="275" t="s">
        <v>101</v>
      </c>
      <c r="P33" s="278" t="s">
        <v>101</v>
      </c>
      <c r="Q33" s="268">
        <f>16308*0.453592/996.96</f>
        <v>7.4197343283582082</v>
      </c>
      <c r="R33" s="264">
        <v>0</v>
      </c>
      <c r="S33" s="264">
        <v>0</v>
      </c>
      <c r="T33" s="264">
        <v>0</v>
      </c>
      <c r="U33" s="264">
        <v>0</v>
      </c>
      <c r="V33" s="264">
        <v>0</v>
      </c>
      <c r="W33" s="264">
        <v>0</v>
      </c>
      <c r="X33" s="264">
        <v>0</v>
      </c>
      <c r="Y33" s="264">
        <v>0</v>
      </c>
      <c r="Z33" s="264">
        <v>0</v>
      </c>
      <c r="AA33" s="59"/>
      <c r="AB33" s="416">
        <v>14</v>
      </c>
    </row>
    <row r="34" spans="1:28" x14ac:dyDescent="0.2">
      <c r="A34" s="166" t="s">
        <v>441</v>
      </c>
      <c r="B34" s="264">
        <v>0</v>
      </c>
      <c r="C34" s="264">
        <v>0</v>
      </c>
      <c r="D34" s="264">
        <v>16</v>
      </c>
      <c r="E34" s="264">
        <v>30</v>
      </c>
      <c r="F34" s="264">
        <v>0</v>
      </c>
      <c r="G34" s="264">
        <v>0</v>
      </c>
      <c r="H34" s="264">
        <v>0</v>
      </c>
      <c r="I34" s="265">
        <f t="shared" si="0"/>
        <v>22.942878938640131</v>
      </c>
      <c r="J34" s="268">
        <f>50264*0.453592/996.96</f>
        <v>22.868869651741292</v>
      </c>
      <c r="K34" s="267" t="s">
        <v>101</v>
      </c>
      <c r="L34" s="268">
        <f>52216*0.453592/996.96</f>
        <v>23.756981094527362</v>
      </c>
      <c r="M34" s="268">
        <f>48800*0.453592/996.96</f>
        <v>22.20278606965174</v>
      </c>
      <c r="N34" s="275" t="s">
        <v>101</v>
      </c>
      <c r="O34" s="275" t="s">
        <v>101</v>
      </c>
      <c r="P34" s="278" t="s">
        <v>101</v>
      </c>
      <c r="Q34" s="268">
        <f>24400*0.453592/996.96</f>
        <v>11.10139303482587</v>
      </c>
      <c r="R34" s="264">
        <v>0</v>
      </c>
      <c r="S34" s="264">
        <v>0</v>
      </c>
      <c r="T34" s="264">
        <v>0</v>
      </c>
      <c r="U34" s="264">
        <v>0</v>
      </c>
      <c r="V34" s="264">
        <v>0</v>
      </c>
      <c r="W34" s="264">
        <v>0</v>
      </c>
      <c r="X34" s="264">
        <v>0</v>
      </c>
      <c r="Y34" s="264">
        <v>0</v>
      </c>
      <c r="Z34" s="264">
        <v>0</v>
      </c>
      <c r="AA34" s="59"/>
      <c r="AB34" s="416">
        <v>14</v>
      </c>
    </row>
    <row r="35" spans="1:28" x14ac:dyDescent="0.2">
      <c r="A35" s="166" t="s">
        <v>572</v>
      </c>
      <c r="B35" s="264">
        <v>0</v>
      </c>
      <c r="C35" s="264">
        <v>0</v>
      </c>
      <c r="D35" s="264">
        <v>16</v>
      </c>
      <c r="E35" s="417">
        <v>46</v>
      </c>
      <c r="F35" s="264">
        <v>0</v>
      </c>
      <c r="G35" s="264">
        <v>0</v>
      </c>
      <c r="H35" s="264">
        <v>0</v>
      </c>
      <c r="I35" s="265">
        <f>K35</f>
        <v>39.549999999999997</v>
      </c>
      <c r="J35" s="270" t="s">
        <v>101</v>
      </c>
      <c r="K35" s="267">
        <v>39.549999999999997</v>
      </c>
      <c r="L35" s="270" t="s">
        <v>101</v>
      </c>
      <c r="M35" s="270" t="s">
        <v>101</v>
      </c>
      <c r="N35" s="198" t="s">
        <v>101</v>
      </c>
      <c r="O35" s="198" t="s">
        <v>101</v>
      </c>
      <c r="P35" s="198" t="s">
        <v>101</v>
      </c>
      <c r="Q35" s="270" t="s">
        <v>101</v>
      </c>
      <c r="R35" s="264">
        <v>0</v>
      </c>
      <c r="S35" s="264">
        <v>0</v>
      </c>
      <c r="T35" s="264">
        <v>0</v>
      </c>
      <c r="U35" s="264">
        <v>0</v>
      </c>
      <c r="V35" s="264">
        <v>0</v>
      </c>
      <c r="W35" s="264">
        <v>0</v>
      </c>
      <c r="X35" s="264">
        <v>0</v>
      </c>
      <c r="Y35" s="264">
        <v>0</v>
      </c>
      <c r="Z35" s="264">
        <v>0</v>
      </c>
      <c r="AA35" s="59"/>
      <c r="AB35" s="30">
        <v>25</v>
      </c>
    </row>
    <row r="36" spans="1:28" x14ac:dyDescent="0.2">
      <c r="A36" s="166" t="s">
        <v>453</v>
      </c>
      <c r="B36" s="264">
        <v>0</v>
      </c>
      <c r="C36" s="264">
        <v>0</v>
      </c>
      <c r="D36" s="264">
        <v>16</v>
      </c>
      <c r="E36" s="264">
        <v>35</v>
      </c>
      <c r="F36" s="264">
        <v>0</v>
      </c>
      <c r="G36" s="264">
        <v>0</v>
      </c>
      <c r="H36" s="264">
        <v>0</v>
      </c>
      <c r="I36" s="265">
        <f t="shared" si="0"/>
        <v>42.995963781094531</v>
      </c>
      <c r="J36" s="268">
        <f>(66867*0.453592)/996.96</f>
        <v>30.422821641791046</v>
      </c>
      <c r="K36" s="267">
        <f>23.47*4</f>
        <v>93.88</v>
      </c>
      <c r="L36" s="268">
        <f>(69463*0.453592)/996.96</f>
        <v>31.603937064676618</v>
      </c>
      <c r="M36" s="268">
        <f>(64919*0.453592)/996.96</f>
        <v>29.536530099502485</v>
      </c>
      <c r="N36" s="268">
        <f>(64919*0.453592)/996.96</f>
        <v>29.536530099502485</v>
      </c>
      <c r="O36" s="271" t="s">
        <v>101</v>
      </c>
      <c r="P36" s="279" t="s">
        <v>101</v>
      </c>
      <c r="Q36" s="268">
        <f>32460*0.453592/996.96</f>
        <v>14.768492537313433</v>
      </c>
      <c r="R36" s="264">
        <v>0</v>
      </c>
      <c r="S36" s="264">
        <v>0</v>
      </c>
      <c r="T36" s="264">
        <v>0</v>
      </c>
      <c r="U36" s="264">
        <v>0</v>
      </c>
      <c r="V36" s="264">
        <v>0</v>
      </c>
      <c r="W36" s="264">
        <v>0</v>
      </c>
      <c r="X36" s="264">
        <v>0</v>
      </c>
      <c r="Y36" s="264">
        <v>0</v>
      </c>
      <c r="Z36" s="264">
        <v>0</v>
      </c>
      <c r="AA36" s="59"/>
      <c r="AB36" s="416">
        <v>14</v>
      </c>
    </row>
    <row r="37" spans="1:28" x14ac:dyDescent="0.2">
      <c r="A37" s="166" t="s">
        <v>174</v>
      </c>
      <c r="B37" s="269">
        <v>295</v>
      </c>
      <c r="C37" s="269">
        <v>17</v>
      </c>
      <c r="D37" s="269">
        <v>16</v>
      </c>
      <c r="E37" s="269">
        <v>30</v>
      </c>
      <c r="F37" s="269">
        <v>7.0000000000000001E-3</v>
      </c>
      <c r="G37" s="269">
        <v>4.8000000000000001E-2</v>
      </c>
      <c r="H37" s="269">
        <v>43.1</v>
      </c>
      <c r="I37" s="265">
        <f t="shared" si="0"/>
        <v>56.823200000000007</v>
      </c>
      <c r="J37" s="274" t="s">
        <v>101</v>
      </c>
      <c r="K37" s="267">
        <f>0.93408*365*4/24</f>
        <v>56.823200000000007</v>
      </c>
      <c r="L37" s="274" t="s">
        <v>101</v>
      </c>
      <c r="M37" s="274" t="s">
        <v>101</v>
      </c>
      <c r="N37" s="274" t="s">
        <v>101</v>
      </c>
      <c r="O37" s="274" t="s">
        <v>101</v>
      </c>
      <c r="P37" s="280" t="s">
        <v>101</v>
      </c>
      <c r="Q37" s="278" t="s">
        <v>101</v>
      </c>
      <c r="R37" s="269">
        <v>402</v>
      </c>
      <c r="S37" s="269">
        <v>0.1</v>
      </c>
      <c r="T37" s="269">
        <v>1515</v>
      </c>
      <c r="U37" s="269">
        <v>0.2</v>
      </c>
      <c r="V37" s="269">
        <v>0.2</v>
      </c>
      <c r="W37" s="269">
        <v>0.2</v>
      </c>
      <c r="X37" s="269">
        <v>1.2699999999999999E-2</v>
      </c>
      <c r="Y37" s="273">
        <v>0.67</v>
      </c>
      <c r="Z37" s="281">
        <v>78.5</v>
      </c>
      <c r="AA37" s="59"/>
      <c r="AB37" s="416">
        <v>14</v>
      </c>
    </row>
    <row r="38" spans="1:28" x14ac:dyDescent="0.2">
      <c r="A38" s="166" t="s">
        <v>178</v>
      </c>
      <c r="B38" s="269">
        <v>250</v>
      </c>
      <c r="C38" s="269">
        <v>14.4</v>
      </c>
      <c r="D38" s="269">
        <v>16</v>
      </c>
      <c r="E38" s="269">
        <v>73</v>
      </c>
      <c r="F38" s="269">
        <v>1.7999999999999999E-2</v>
      </c>
      <c r="G38" s="269">
        <v>0.04</v>
      </c>
      <c r="H38" s="269">
        <v>15.5</v>
      </c>
      <c r="I38" s="265" t="e">
        <f t="shared" si="0"/>
        <v>#DIV/0!</v>
      </c>
      <c r="J38" s="274" t="s">
        <v>101</v>
      </c>
      <c r="K38" s="267" t="s">
        <v>101</v>
      </c>
      <c r="L38" s="274" t="s">
        <v>101</v>
      </c>
      <c r="M38" s="274" t="s">
        <v>101</v>
      </c>
      <c r="N38" s="274" t="s">
        <v>101</v>
      </c>
      <c r="O38" s="274" t="s">
        <v>101</v>
      </c>
      <c r="P38" s="280" t="s">
        <v>101</v>
      </c>
      <c r="Q38" s="278" t="s">
        <v>101</v>
      </c>
      <c r="R38" s="269">
        <v>402</v>
      </c>
      <c r="S38" s="269">
        <v>0.5</v>
      </c>
      <c r="T38" s="269">
        <v>565</v>
      </c>
      <c r="U38" s="269">
        <v>0.3</v>
      </c>
      <c r="V38" s="269">
        <v>0.2</v>
      </c>
      <c r="W38" s="269">
        <v>0.2</v>
      </c>
      <c r="X38" s="269">
        <v>1.0800000000000001E-2</v>
      </c>
      <c r="Y38" s="273">
        <v>0.67</v>
      </c>
      <c r="Z38" s="269">
        <v>56.6</v>
      </c>
      <c r="AA38" s="59"/>
      <c r="AB38" s="416">
        <v>14</v>
      </c>
    </row>
    <row r="39" spans="1:28" x14ac:dyDescent="0.2">
      <c r="A39" s="166" t="s">
        <v>548</v>
      </c>
      <c r="B39" s="264">
        <v>0</v>
      </c>
      <c r="C39" s="264">
        <v>0</v>
      </c>
      <c r="D39" s="264">
        <v>16</v>
      </c>
      <c r="E39" s="269">
        <v>35</v>
      </c>
      <c r="F39" s="264">
        <v>0</v>
      </c>
      <c r="G39" s="264">
        <v>0</v>
      </c>
      <c r="H39" s="264">
        <v>0</v>
      </c>
      <c r="I39" s="265">
        <f t="shared" si="0"/>
        <v>1318.4873599999999</v>
      </c>
      <c r="J39" s="282" t="s">
        <v>101</v>
      </c>
      <c r="K39" s="267">
        <f>0.86496*36584/24</f>
        <v>1318.4873599999999</v>
      </c>
      <c r="L39" s="274" t="s">
        <v>101</v>
      </c>
      <c r="M39" s="274" t="s">
        <v>101</v>
      </c>
      <c r="N39" s="274" t="s">
        <v>101</v>
      </c>
      <c r="O39" s="274" t="s">
        <v>101</v>
      </c>
      <c r="P39" s="280" t="s">
        <v>101</v>
      </c>
      <c r="Q39" s="278" t="s">
        <v>101</v>
      </c>
      <c r="R39" s="264">
        <v>0</v>
      </c>
      <c r="S39" s="264">
        <v>0</v>
      </c>
      <c r="T39" s="264">
        <v>0</v>
      </c>
      <c r="U39" s="264">
        <v>0</v>
      </c>
      <c r="V39" s="264">
        <v>0</v>
      </c>
      <c r="W39" s="264">
        <v>0</v>
      </c>
      <c r="X39" s="264">
        <v>0</v>
      </c>
      <c r="Y39" s="264">
        <v>0</v>
      </c>
      <c r="Z39" s="264">
        <v>0</v>
      </c>
      <c r="AA39" s="59"/>
      <c r="AB39" s="416">
        <v>14</v>
      </c>
    </row>
    <row r="40" spans="1:28" x14ac:dyDescent="0.2">
      <c r="A40" s="166" t="s">
        <v>549</v>
      </c>
      <c r="B40" s="264">
        <v>0</v>
      </c>
      <c r="C40" s="264">
        <v>0</v>
      </c>
      <c r="D40" s="264">
        <v>16</v>
      </c>
      <c r="E40" s="269">
        <v>35</v>
      </c>
      <c r="F40" s="264">
        <v>0</v>
      </c>
      <c r="G40" s="264">
        <v>0</v>
      </c>
      <c r="H40" s="264">
        <v>0</v>
      </c>
      <c r="I40" s="265">
        <f t="shared" si="0"/>
        <v>51.099999999999994</v>
      </c>
      <c r="J40" s="282" t="s">
        <v>101</v>
      </c>
      <c r="K40" s="267">
        <f>0.84*365*4/24</f>
        <v>51.099999999999994</v>
      </c>
      <c r="L40" s="274" t="s">
        <v>101</v>
      </c>
      <c r="M40" s="274" t="s">
        <v>101</v>
      </c>
      <c r="N40" s="274" t="s">
        <v>101</v>
      </c>
      <c r="O40" s="274" t="s">
        <v>101</v>
      </c>
      <c r="P40" s="280" t="s">
        <v>101</v>
      </c>
      <c r="Q40" s="278" t="s">
        <v>101</v>
      </c>
      <c r="R40" s="264">
        <v>0</v>
      </c>
      <c r="S40" s="264">
        <v>0</v>
      </c>
      <c r="T40" s="264">
        <v>0</v>
      </c>
      <c r="U40" s="264">
        <v>0</v>
      </c>
      <c r="V40" s="264">
        <v>0</v>
      </c>
      <c r="W40" s="264">
        <v>0</v>
      </c>
      <c r="X40" s="264">
        <v>0</v>
      </c>
      <c r="Y40" s="264">
        <v>0</v>
      </c>
      <c r="Z40" s="264">
        <v>0</v>
      </c>
      <c r="AA40" s="59"/>
      <c r="AB40" s="416">
        <v>14</v>
      </c>
    </row>
    <row r="41" spans="1:28" x14ac:dyDescent="0.2">
      <c r="A41" s="166" t="s">
        <v>398</v>
      </c>
      <c r="B41" s="264">
        <v>0</v>
      </c>
      <c r="C41" s="264">
        <v>0</v>
      </c>
      <c r="D41" s="264">
        <v>16</v>
      </c>
      <c r="E41" s="264">
        <v>35</v>
      </c>
      <c r="F41" s="264">
        <v>0</v>
      </c>
      <c r="G41" s="264">
        <v>0</v>
      </c>
      <c r="H41" s="264">
        <v>0</v>
      </c>
      <c r="I41" s="265">
        <f t="shared" si="0"/>
        <v>21.192741293532336</v>
      </c>
      <c r="J41" s="268">
        <f>(46807*0.453592)/996.96</f>
        <v>21.296020646766166</v>
      </c>
      <c r="K41" s="267" t="s">
        <v>101</v>
      </c>
      <c r="L41" s="268">
        <f>(48625*0.453592)/996.96</f>
        <v>22.12316542288557</v>
      </c>
      <c r="M41" s="268">
        <f>(45444*0.453592)/996.96</f>
        <v>20.675889552238804</v>
      </c>
      <c r="N41" s="268">
        <f>(45444*0.453592)/996.96</f>
        <v>20.675889552238804</v>
      </c>
      <c r="O41" s="271" t="s">
        <v>101</v>
      </c>
      <c r="P41" s="272" t="s">
        <v>101</v>
      </c>
      <c r="Q41" s="268">
        <f>22722*0.453592/996.96</f>
        <v>10.337944776119402</v>
      </c>
      <c r="R41" s="264">
        <v>0</v>
      </c>
      <c r="S41" s="264">
        <v>0</v>
      </c>
      <c r="T41" s="264">
        <v>0</v>
      </c>
      <c r="U41" s="264">
        <v>0</v>
      </c>
      <c r="V41" s="264">
        <v>0</v>
      </c>
      <c r="W41" s="264">
        <v>0</v>
      </c>
      <c r="X41" s="264">
        <v>0</v>
      </c>
      <c r="Y41" s="264">
        <v>0</v>
      </c>
      <c r="Z41" s="264">
        <v>0</v>
      </c>
      <c r="AA41" s="59"/>
      <c r="AB41" s="416">
        <v>14</v>
      </c>
    </row>
    <row r="42" spans="1:28" x14ac:dyDescent="0.2">
      <c r="A42" s="166" t="s">
        <v>399</v>
      </c>
      <c r="B42" s="264">
        <v>0</v>
      </c>
      <c r="C42" s="264">
        <v>0</v>
      </c>
      <c r="D42" s="264">
        <v>16</v>
      </c>
      <c r="E42" s="264">
        <v>30</v>
      </c>
      <c r="F42" s="264">
        <v>0</v>
      </c>
      <c r="G42" s="264">
        <v>0</v>
      </c>
      <c r="H42" s="264">
        <v>0</v>
      </c>
      <c r="I42" s="265">
        <f t="shared" si="0"/>
        <v>37.242557524875622</v>
      </c>
      <c r="J42" s="268">
        <f>(82255*0.453592)/996.96</f>
        <v>37.423978855721394</v>
      </c>
      <c r="K42" s="267" t="s">
        <v>101</v>
      </c>
      <c r="L42" s="268">
        <f>(85450*0.453592)/996.96</f>
        <v>38.877624378109452</v>
      </c>
      <c r="M42" s="268">
        <f>(79860*0.453592)/996.96</f>
        <v>36.33431343283582</v>
      </c>
      <c r="N42" s="268">
        <f>(79860*0.453592)/996.96</f>
        <v>36.33431343283582</v>
      </c>
      <c r="O42" s="271" t="s">
        <v>101</v>
      </c>
      <c r="P42" s="271" t="s">
        <v>101</v>
      </c>
      <c r="Q42" s="268">
        <f>39930*0.453592/996.96</f>
        <v>18.16715671641791</v>
      </c>
      <c r="R42" s="264">
        <v>0</v>
      </c>
      <c r="S42" s="264">
        <v>0</v>
      </c>
      <c r="T42" s="264">
        <v>0</v>
      </c>
      <c r="U42" s="264">
        <v>0</v>
      </c>
      <c r="V42" s="264">
        <v>0</v>
      </c>
      <c r="W42" s="264">
        <v>0</v>
      </c>
      <c r="X42" s="264">
        <v>0</v>
      </c>
      <c r="Y42" s="264">
        <v>0</v>
      </c>
      <c r="Z42" s="264">
        <v>0</v>
      </c>
      <c r="AA42" s="59"/>
      <c r="AB42" s="416">
        <v>14</v>
      </c>
    </row>
    <row r="43" spans="1:28" x14ac:dyDescent="0.2">
      <c r="A43" s="166" t="s">
        <v>400</v>
      </c>
      <c r="B43" s="264">
        <v>0</v>
      </c>
      <c r="C43" s="264">
        <v>0</v>
      </c>
      <c r="D43" s="264">
        <v>16</v>
      </c>
      <c r="E43" s="264">
        <v>30</v>
      </c>
      <c r="F43" s="264">
        <v>0</v>
      </c>
      <c r="G43" s="264">
        <v>0</v>
      </c>
      <c r="H43" s="264">
        <v>0</v>
      </c>
      <c r="I43" s="265">
        <f t="shared" si="0"/>
        <v>49.568629850746262</v>
      </c>
      <c r="J43" s="268">
        <f>(109479*0.453592)/996.96</f>
        <v>49.810221641791038</v>
      </c>
      <c r="K43" s="267" t="s">
        <v>101</v>
      </c>
      <c r="L43" s="268">
        <f>(113731*0.453592)/996.96</f>
        <v>51.744775870646762</v>
      </c>
      <c r="M43" s="268">
        <f>(106291*0.453592)/996.96</f>
        <v>48.359760945273628</v>
      </c>
      <c r="N43" s="268">
        <f>(106291*0.453592)/996.96</f>
        <v>48.359760945273628</v>
      </c>
      <c r="O43" s="271" t="s">
        <v>101</v>
      </c>
      <c r="P43" s="271" t="s">
        <v>101</v>
      </c>
      <c r="Q43" s="268">
        <f>53145*0.453592/996.96</f>
        <v>24.179652985074629</v>
      </c>
      <c r="R43" s="264">
        <v>0</v>
      </c>
      <c r="S43" s="264">
        <v>0</v>
      </c>
      <c r="T43" s="264">
        <v>0</v>
      </c>
      <c r="U43" s="264">
        <v>0</v>
      </c>
      <c r="V43" s="264">
        <v>0</v>
      </c>
      <c r="W43" s="264">
        <v>0</v>
      </c>
      <c r="X43" s="264">
        <v>0</v>
      </c>
      <c r="Y43" s="264">
        <v>0</v>
      </c>
      <c r="Z43" s="264">
        <v>0</v>
      </c>
      <c r="AA43" s="59"/>
      <c r="AB43" s="416">
        <v>14</v>
      </c>
    </row>
    <row r="44" spans="1:28" x14ac:dyDescent="0.2">
      <c r="A44" s="166" t="s">
        <v>401</v>
      </c>
      <c r="B44" s="264">
        <v>0</v>
      </c>
      <c r="C44" s="264">
        <v>0</v>
      </c>
      <c r="D44" s="264">
        <v>16</v>
      </c>
      <c r="E44" s="264">
        <v>30</v>
      </c>
      <c r="F44" s="264">
        <v>0</v>
      </c>
      <c r="G44" s="264">
        <v>0</v>
      </c>
      <c r="H44" s="264">
        <v>0</v>
      </c>
      <c r="I44" s="265">
        <f t="shared" si="0"/>
        <v>25.34757412935323</v>
      </c>
      <c r="J44" s="268">
        <f>(55984*0.453592)/996.96</f>
        <v>25.471327363184081</v>
      </c>
      <c r="K44" s="267" t="s">
        <v>101</v>
      </c>
      <c r="L44" s="268">
        <f>(58158*0.453592)/996.96</f>
        <v>26.460443283582087</v>
      </c>
      <c r="M44" s="268">
        <f>(54353*0.453592)/996.96</f>
        <v>24.72926293532338</v>
      </c>
      <c r="N44" s="268">
        <f>(54353*0.453592)/996.96</f>
        <v>24.72926293532338</v>
      </c>
      <c r="O44" s="271" t="s">
        <v>101</v>
      </c>
      <c r="P44" s="271" t="s">
        <v>101</v>
      </c>
      <c r="Q44" s="268">
        <f>27177*0.453592/996.96</f>
        <v>12.36485895522388</v>
      </c>
      <c r="R44" s="264">
        <v>0</v>
      </c>
      <c r="S44" s="264">
        <v>0</v>
      </c>
      <c r="T44" s="264">
        <v>0</v>
      </c>
      <c r="U44" s="264">
        <v>0</v>
      </c>
      <c r="V44" s="264">
        <v>0</v>
      </c>
      <c r="W44" s="264">
        <v>0</v>
      </c>
      <c r="X44" s="264">
        <v>0</v>
      </c>
      <c r="Y44" s="264">
        <v>0</v>
      </c>
      <c r="Z44" s="264">
        <v>0</v>
      </c>
      <c r="AA44" s="59"/>
      <c r="AB44" s="416">
        <v>14</v>
      </c>
    </row>
    <row r="45" spans="1:28" x14ac:dyDescent="0.2">
      <c r="A45" s="166" t="s">
        <v>402</v>
      </c>
      <c r="B45" s="264">
        <v>0</v>
      </c>
      <c r="C45" s="264">
        <v>0</v>
      </c>
      <c r="D45" s="264">
        <v>16</v>
      </c>
      <c r="E45" s="264">
        <v>30</v>
      </c>
      <c r="F45" s="264">
        <v>0</v>
      </c>
      <c r="G45" s="264">
        <v>0</v>
      </c>
      <c r="H45" s="264">
        <v>0</v>
      </c>
      <c r="I45" s="265">
        <f t="shared" si="0"/>
        <v>16.898344838308457</v>
      </c>
      <c r="J45" s="268">
        <f>(37323*0.453592)/996.96</f>
        <v>16.981036567164178</v>
      </c>
      <c r="K45" s="267" t="s">
        <v>101</v>
      </c>
      <c r="L45" s="268">
        <f>(38772*0.453592)/996.96</f>
        <v>17.640295522388058</v>
      </c>
      <c r="M45" s="268">
        <f>(36235*0.453592)/996.96</f>
        <v>16.486023631840794</v>
      </c>
      <c r="N45" s="268">
        <f>(36235*0.453592)/996.96</f>
        <v>16.486023631840794</v>
      </c>
      <c r="O45" s="271" t="s">
        <v>101</v>
      </c>
      <c r="P45" s="271" t="s">
        <v>101</v>
      </c>
      <c r="Q45" s="268">
        <f>18118*0.453592/996.96</f>
        <v>8.2432393034825875</v>
      </c>
      <c r="R45" s="264">
        <v>0</v>
      </c>
      <c r="S45" s="264">
        <v>0</v>
      </c>
      <c r="T45" s="264">
        <v>0</v>
      </c>
      <c r="U45" s="264">
        <v>0</v>
      </c>
      <c r="V45" s="264">
        <v>0</v>
      </c>
      <c r="W45" s="264">
        <v>0</v>
      </c>
      <c r="X45" s="264">
        <v>0</v>
      </c>
      <c r="Y45" s="264">
        <v>0</v>
      </c>
      <c r="Z45" s="264">
        <v>0</v>
      </c>
      <c r="AA45" s="59"/>
      <c r="AB45" s="416">
        <v>14</v>
      </c>
    </row>
    <row r="46" spans="1:28" x14ac:dyDescent="0.2">
      <c r="A46" s="166" t="s">
        <v>403</v>
      </c>
      <c r="B46" s="264">
        <v>0</v>
      </c>
      <c r="C46" s="264">
        <v>0</v>
      </c>
      <c r="D46" s="264">
        <v>16</v>
      </c>
      <c r="E46" s="264">
        <v>30</v>
      </c>
      <c r="F46" s="264">
        <v>0</v>
      </c>
      <c r="G46" s="264">
        <v>0</v>
      </c>
      <c r="H46" s="264">
        <v>0</v>
      </c>
      <c r="I46" s="265">
        <f t="shared" si="0"/>
        <v>28.968721144278604</v>
      </c>
      <c r="J46" s="268">
        <f>(63982*0.453592)/996.96</f>
        <v>29.110218407960197</v>
      </c>
      <c r="K46" s="267" t="s">
        <v>101</v>
      </c>
      <c r="L46" s="268">
        <f>(66466*0.453592)/996.96</f>
        <v>30.240376616915423</v>
      </c>
      <c r="M46" s="268">
        <f>(62118*0.453592)/996.96</f>
        <v>28.262144776119403</v>
      </c>
      <c r="N46" s="268">
        <f>(62118*0.453592)/996.96</f>
        <v>28.262144776119403</v>
      </c>
      <c r="O46" s="271" t="s">
        <v>101</v>
      </c>
      <c r="P46" s="271" t="s">
        <v>101</v>
      </c>
      <c r="Q46" s="268">
        <f>31059*0.453592/996.96</f>
        <v>14.131072388059701</v>
      </c>
      <c r="R46" s="264">
        <v>0</v>
      </c>
      <c r="S46" s="264">
        <v>0</v>
      </c>
      <c r="T46" s="264">
        <v>0</v>
      </c>
      <c r="U46" s="264">
        <v>0</v>
      </c>
      <c r="V46" s="264">
        <v>0</v>
      </c>
      <c r="W46" s="264">
        <v>0</v>
      </c>
      <c r="X46" s="264">
        <v>0</v>
      </c>
      <c r="Y46" s="264">
        <v>0</v>
      </c>
      <c r="Z46" s="264">
        <v>0</v>
      </c>
      <c r="AA46" s="59"/>
      <c r="AB46" s="416">
        <v>14</v>
      </c>
    </row>
    <row r="47" spans="1:28" x14ac:dyDescent="0.2">
      <c r="A47" s="166" t="s">
        <v>404</v>
      </c>
      <c r="B47" s="264">
        <v>0</v>
      </c>
      <c r="C47" s="264">
        <v>0</v>
      </c>
      <c r="D47" s="264">
        <v>16</v>
      </c>
      <c r="E47" s="264">
        <v>30</v>
      </c>
      <c r="F47" s="264">
        <v>0</v>
      </c>
      <c r="G47" s="264">
        <v>0</v>
      </c>
      <c r="H47" s="264">
        <v>0</v>
      </c>
      <c r="I47" s="265">
        <f t="shared" si="0"/>
        <v>13.518675870646765</v>
      </c>
      <c r="J47" s="268">
        <f>(29858*0.453592)/996.96</f>
        <v>13.584647263681592</v>
      </c>
      <c r="K47" s="267" t="s">
        <v>101</v>
      </c>
      <c r="L47" s="268">
        <f>(31018*0.453592)/996.96</f>
        <v>14.112418407960199</v>
      </c>
      <c r="M47" s="268">
        <f>(28988*0.453592)/996.96</f>
        <v>13.188818905472637</v>
      </c>
      <c r="N47" s="268">
        <f>(28988*0.453592)/996.96</f>
        <v>13.188818905472637</v>
      </c>
      <c r="O47" s="271" t="s">
        <v>101</v>
      </c>
      <c r="P47" s="271" t="s">
        <v>101</v>
      </c>
      <c r="Q47" s="268">
        <f>14494*0.453592/996.96</f>
        <v>6.5944094527363184</v>
      </c>
      <c r="R47" s="264">
        <v>0</v>
      </c>
      <c r="S47" s="264">
        <v>0</v>
      </c>
      <c r="T47" s="264">
        <v>0</v>
      </c>
      <c r="U47" s="264">
        <v>0</v>
      </c>
      <c r="V47" s="264">
        <v>0</v>
      </c>
      <c r="W47" s="264">
        <v>0</v>
      </c>
      <c r="X47" s="264">
        <v>0</v>
      </c>
      <c r="Y47" s="264">
        <v>0</v>
      </c>
      <c r="Z47" s="264">
        <v>0</v>
      </c>
      <c r="AA47" s="59"/>
      <c r="AB47" s="416">
        <v>14</v>
      </c>
    </row>
    <row r="48" spans="1:28" x14ac:dyDescent="0.2">
      <c r="A48" s="166" t="s">
        <v>405</v>
      </c>
      <c r="B48" s="264">
        <v>0</v>
      </c>
      <c r="C48" s="264">
        <v>0</v>
      </c>
      <c r="D48" s="264">
        <v>16</v>
      </c>
      <c r="E48" s="264">
        <v>30</v>
      </c>
      <c r="F48" s="264">
        <v>0</v>
      </c>
      <c r="G48" s="264">
        <v>0</v>
      </c>
      <c r="H48" s="264">
        <v>0</v>
      </c>
      <c r="I48" s="265">
        <f t="shared" si="0"/>
        <v>135.44234098258704</v>
      </c>
      <c r="J48" s="268">
        <f>(299144*0.453592)/996.96</f>
        <v>136.10307860696517</v>
      </c>
      <c r="K48" s="267" t="s">
        <v>101</v>
      </c>
      <c r="L48" s="268">
        <f>(310761*0.453592)/996.96</f>
        <v>141.38852462686566</v>
      </c>
      <c r="M48" s="268">
        <f>(290431*0.453592)/996.96</f>
        <v>132.13888034825871</v>
      </c>
      <c r="N48" s="268">
        <f>(290431*0.453592)/996.96</f>
        <v>132.13888034825871</v>
      </c>
      <c r="O48" s="271" t="s">
        <v>101</v>
      </c>
      <c r="P48" s="271" t="s">
        <v>101</v>
      </c>
      <c r="Q48" s="268">
        <f>145215*0.453592/996.96</f>
        <v>66.06921268656717</v>
      </c>
      <c r="R48" s="264">
        <v>0</v>
      </c>
      <c r="S48" s="264">
        <v>0</v>
      </c>
      <c r="T48" s="264">
        <v>0</v>
      </c>
      <c r="U48" s="264">
        <v>0</v>
      </c>
      <c r="V48" s="264">
        <v>0</v>
      </c>
      <c r="W48" s="264">
        <v>0</v>
      </c>
      <c r="X48" s="264">
        <v>0</v>
      </c>
      <c r="Y48" s="264">
        <v>0</v>
      </c>
      <c r="Z48" s="264">
        <v>0</v>
      </c>
      <c r="AA48" s="59"/>
      <c r="AB48" s="416">
        <v>14</v>
      </c>
    </row>
    <row r="49" spans="1:28" x14ac:dyDescent="0.2">
      <c r="A49" s="166" t="s">
        <v>406</v>
      </c>
      <c r="B49" s="264">
        <v>0</v>
      </c>
      <c r="C49" s="264">
        <v>0</v>
      </c>
      <c r="D49" s="264">
        <v>16</v>
      </c>
      <c r="E49" s="264">
        <v>30</v>
      </c>
      <c r="F49" s="264">
        <v>0</v>
      </c>
      <c r="G49" s="264">
        <v>0</v>
      </c>
      <c r="H49" s="264">
        <v>0</v>
      </c>
      <c r="I49" s="265">
        <f t="shared" si="0"/>
        <v>26.121145584577114</v>
      </c>
      <c r="J49" s="268">
        <f>(57692*0.453592)/996.96</f>
        <v>26.24842487562189</v>
      </c>
      <c r="K49" s="267" t="s">
        <v>101</v>
      </c>
      <c r="L49" s="268">
        <f>(59933*0.453592)/996.96</f>
        <v>27.268024129353233</v>
      </c>
      <c r="M49" s="268">
        <f>(56012*0.453592)/996.96</f>
        <v>25.484066666666667</v>
      </c>
      <c r="N49" s="268">
        <f>(56012*0.453592)/996.96</f>
        <v>25.484066666666667</v>
      </c>
      <c r="O49" s="271" t="s">
        <v>101</v>
      </c>
      <c r="P49" s="271" t="s">
        <v>101</v>
      </c>
      <c r="Q49" s="268">
        <f>28006*0.453592/996.96</f>
        <v>12.742033333333334</v>
      </c>
      <c r="R49" s="264">
        <v>0</v>
      </c>
      <c r="S49" s="264">
        <v>0</v>
      </c>
      <c r="T49" s="264">
        <v>0</v>
      </c>
      <c r="U49" s="264">
        <v>0</v>
      </c>
      <c r="V49" s="264">
        <v>0</v>
      </c>
      <c r="W49" s="264">
        <v>0</v>
      </c>
      <c r="X49" s="264">
        <v>0</v>
      </c>
      <c r="Y49" s="264">
        <v>0</v>
      </c>
      <c r="Z49" s="264">
        <v>0</v>
      </c>
      <c r="AA49" s="59"/>
      <c r="AB49" s="416">
        <v>14</v>
      </c>
    </row>
    <row r="50" spans="1:28" x14ac:dyDescent="0.2">
      <c r="A50" s="166" t="s">
        <v>407</v>
      </c>
      <c r="B50" s="264">
        <v>0</v>
      </c>
      <c r="C50" s="264">
        <v>0</v>
      </c>
      <c r="D50" s="264">
        <v>16</v>
      </c>
      <c r="E50" s="264">
        <v>30</v>
      </c>
      <c r="F50" s="264">
        <v>0</v>
      </c>
      <c r="G50" s="264">
        <v>0</v>
      </c>
      <c r="H50" s="264">
        <v>0</v>
      </c>
      <c r="I50" s="265">
        <f t="shared" si="0"/>
        <v>33.796803420398</v>
      </c>
      <c r="J50" s="268">
        <f>(74645*0.453592)/996.96</f>
        <v>33.961618159203972</v>
      </c>
      <c r="K50" s="267" t="s">
        <v>101</v>
      </c>
      <c r="L50" s="268">
        <f>(77544*0.453592)/996.96</f>
        <v>35.280591044776116</v>
      </c>
      <c r="M50" s="268">
        <f>(72471*0.453592)/996.96</f>
        <v>32.972502238805966</v>
      </c>
      <c r="N50" s="268">
        <f>(72471*0.453592)/996.96</f>
        <v>32.972502238805966</v>
      </c>
      <c r="O50" s="271" t="s">
        <v>101</v>
      </c>
      <c r="P50" s="271" t="s">
        <v>101</v>
      </c>
      <c r="Q50" s="268">
        <f>36236*0.453592/996.96</f>
        <v>16.486478606965175</v>
      </c>
      <c r="R50" s="264">
        <v>0</v>
      </c>
      <c r="S50" s="264">
        <v>0</v>
      </c>
      <c r="T50" s="264">
        <v>0</v>
      </c>
      <c r="U50" s="264">
        <v>0</v>
      </c>
      <c r="V50" s="264">
        <v>0</v>
      </c>
      <c r="W50" s="264">
        <v>0</v>
      </c>
      <c r="X50" s="264">
        <v>0</v>
      </c>
      <c r="Y50" s="264">
        <v>0</v>
      </c>
      <c r="Z50" s="264">
        <v>0</v>
      </c>
      <c r="AA50" s="59"/>
      <c r="AB50" s="416">
        <v>14</v>
      </c>
    </row>
    <row r="51" spans="1:28" x14ac:dyDescent="0.2">
      <c r="A51" s="166" t="s">
        <v>411</v>
      </c>
      <c r="B51" s="264">
        <v>0</v>
      </c>
      <c r="C51" s="264">
        <v>0</v>
      </c>
      <c r="D51" s="264">
        <v>16</v>
      </c>
      <c r="E51" s="264">
        <v>30</v>
      </c>
      <c r="F51" s="264">
        <v>0</v>
      </c>
      <c r="G51" s="264">
        <v>0</v>
      </c>
      <c r="H51" s="264">
        <v>0</v>
      </c>
      <c r="I51" s="265">
        <f t="shared" si="0"/>
        <v>33.860613681592042</v>
      </c>
      <c r="J51" s="268">
        <f>(74786*0.453592)/996.96</f>
        <v>34.025769651741292</v>
      </c>
      <c r="K51" s="267" t="s">
        <v>101</v>
      </c>
      <c r="L51" s="268">
        <f>(77690*0.453592)/996.96</f>
        <v>35.347017412935323</v>
      </c>
      <c r="M51" s="268">
        <f>(72608*0.453592)/996.96</f>
        <v>33.03483383084577</v>
      </c>
      <c r="N51" s="268">
        <f>(72608*0.453592)/996.96</f>
        <v>33.03483383084577</v>
      </c>
      <c r="O51" s="271" t="s">
        <v>101</v>
      </c>
      <c r="P51" s="271" t="s">
        <v>101</v>
      </c>
      <c r="Q51" s="268">
        <f>36304*0.453592/996.96</f>
        <v>16.517416915422885</v>
      </c>
      <c r="R51" s="264">
        <v>0</v>
      </c>
      <c r="S51" s="264">
        <v>0</v>
      </c>
      <c r="T51" s="264">
        <v>0</v>
      </c>
      <c r="U51" s="264">
        <v>0</v>
      </c>
      <c r="V51" s="264">
        <v>0</v>
      </c>
      <c r="W51" s="264">
        <v>0</v>
      </c>
      <c r="X51" s="264">
        <v>0</v>
      </c>
      <c r="Y51" s="264">
        <v>0</v>
      </c>
      <c r="Z51" s="264">
        <v>0</v>
      </c>
      <c r="AA51" s="59"/>
      <c r="AB51" s="416">
        <v>14</v>
      </c>
    </row>
    <row r="52" spans="1:28" x14ac:dyDescent="0.2">
      <c r="A52" s="166" t="s">
        <v>414</v>
      </c>
      <c r="B52" s="264">
        <v>0</v>
      </c>
      <c r="C52" s="264">
        <v>0</v>
      </c>
      <c r="D52" s="264">
        <v>16</v>
      </c>
      <c r="E52" s="264">
        <v>30</v>
      </c>
      <c r="F52" s="264">
        <v>0</v>
      </c>
      <c r="G52" s="264">
        <v>0</v>
      </c>
      <c r="H52" s="264">
        <v>0</v>
      </c>
      <c r="I52" s="265">
        <f t="shared" si="0"/>
        <v>32.447347201492533</v>
      </c>
      <c r="J52" s="268">
        <f>(71665*0.453592)/996.96</f>
        <v>32.605792288557211</v>
      </c>
      <c r="K52" s="267" t="s">
        <v>101</v>
      </c>
      <c r="L52" s="268">
        <f>(74448*0.453592)/996.96</f>
        <v>33.871988059701494</v>
      </c>
      <c r="M52" s="268">
        <f>(69577*0.453592)/996.96</f>
        <v>31.655804228855722</v>
      </c>
      <c r="N52" s="268">
        <f>(69577*0.453592)/996.96</f>
        <v>31.655804228855722</v>
      </c>
      <c r="O52" s="271" t="s">
        <v>101</v>
      </c>
      <c r="P52" s="271" t="s">
        <v>101</v>
      </c>
      <c r="Q52" s="268">
        <f>34789*0.453592/996.96</f>
        <v>15.828129601990049</v>
      </c>
      <c r="R52" s="264">
        <v>0</v>
      </c>
      <c r="S52" s="264">
        <v>0</v>
      </c>
      <c r="T52" s="264">
        <v>0</v>
      </c>
      <c r="U52" s="264">
        <v>0</v>
      </c>
      <c r="V52" s="264">
        <v>0</v>
      </c>
      <c r="W52" s="264">
        <v>0</v>
      </c>
      <c r="X52" s="264">
        <v>0</v>
      </c>
      <c r="Y52" s="264">
        <v>0</v>
      </c>
      <c r="Z52" s="264">
        <v>0</v>
      </c>
      <c r="AA52" s="59"/>
      <c r="AB52" s="416">
        <v>14</v>
      </c>
    </row>
    <row r="53" spans="1:28" x14ac:dyDescent="0.2">
      <c r="A53" s="166" t="s">
        <v>415</v>
      </c>
      <c r="B53" s="264">
        <v>0</v>
      </c>
      <c r="C53" s="264">
        <v>0</v>
      </c>
      <c r="D53" s="264">
        <v>16</v>
      </c>
      <c r="E53" s="264">
        <v>30</v>
      </c>
      <c r="F53" s="264">
        <v>0</v>
      </c>
      <c r="G53" s="264">
        <v>0</v>
      </c>
      <c r="H53" s="264">
        <v>0</v>
      </c>
      <c r="I53" s="265">
        <f t="shared" si="0"/>
        <v>38.624999440298502</v>
      </c>
      <c r="J53" s="268">
        <f>(85309*0.453592)/996.96</f>
        <v>38.813472885572139</v>
      </c>
      <c r="K53" s="267" t="s">
        <v>101</v>
      </c>
      <c r="L53" s="268">
        <f>(88622*0.453592)/996.96</f>
        <v>40.320805472636813</v>
      </c>
      <c r="M53" s="268">
        <f>(82824*0.453592)/996.96</f>
        <v>37.682859701492532</v>
      </c>
      <c r="N53" s="268">
        <f>(82824*0.453592)/996.96</f>
        <v>37.682859701492532</v>
      </c>
      <c r="O53" s="271" t="s">
        <v>101</v>
      </c>
      <c r="P53" s="271" t="s">
        <v>101</v>
      </c>
      <c r="Q53" s="268">
        <f>41412*0.453592/996.96</f>
        <v>18.841429850746266</v>
      </c>
      <c r="R53" s="264">
        <v>0</v>
      </c>
      <c r="S53" s="264">
        <v>0</v>
      </c>
      <c r="T53" s="264">
        <v>0</v>
      </c>
      <c r="U53" s="264">
        <v>0</v>
      </c>
      <c r="V53" s="264">
        <v>0</v>
      </c>
      <c r="W53" s="264">
        <v>0</v>
      </c>
      <c r="X53" s="264">
        <v>0</v>
      </c>
      <c r="Y53" s="264">
        <v>0</v>
      </c>
      <c r="Z53" s="264">
        <v>0</v>
      </c>
      <c r="AA53" s="59"/>
      <c r="AB53" s="416">
        <v>14</v>
      </c>
    </row>
    <row r="54" spans="1:28" x14ac:dyDescent="0.2">
      <c r="A54" s="166" t="s">
        <v>412</v>
      </c>
      <c r="B54" s="264">
        <v>0</v>
      </c>
      <c r="C54" s="264">
        <v>0</v>
      </c>
      <c r="D54" s="264">
        <v>16</v>
      </c>
      <c r="E54" s="264">
        <v>30</v>
      </c>
      <c r="F54" s="264">
        <v>0</v>
      </c>
      <c r="G54" s="264">
        <v>0</v>
      </c>
      <c r="H54" s="264">
        <v>0</v>
      </c>
      <c r="I54" s="265">
        <f t="shared" si="0"/>
        <v>45.147295335820885</v>
      </c>
      <c r="J54" s="268">
        <f>(99714*0.453592)/996.96</f>
        <v>45.367389552238805</v>
      </c>
      <c r="K54" s="267" t="s">
        <v>101</v>
      </c>
      <c r="L54" s="268">
        <f>(103587*0.453592)/996.96</f>
        <v>47.129508208955222</v>
      </c>
      <c r="M54" s="268">
        <f>(96810*0.453592)/996.96</f>
        <v>44.046141791044768</v>
      </c>
      <c r="N54" s="268">
        <f>(96810*0.453592)/996.96</f>
        <v>44.046141791044768</v>
      </c>
      <c r="O54" s="271" t="s">
        <v>101</v>
      </c>
      <c r="P54" s="271" t="s">
        <v>101</v>
      </c>
      <c r="Q54" s="268">
        <f>48405*0.453592/996.96</f>
        <v>22.023070895522384</v>
      </c>
      <c r="R54" s="264">
        <v>0</v>
      </c>
      <c r="S54" s="264">
        <v>0</v>
      </c>
      <c r="T54" s="264">
        <v>0</v>
      </c>
      <c r="U54" s="264">
        <v>0</v>
      </c>
      <c r="V54" s="264">
        <v>0</v>
      </c>
      <c r="W54" s="264">
        <v>0</v>
      </c>
      <c r="X54" s="264">
        <v>0</v>
      </c>
      <c r="Y54" s="264">
        <v>0</v>
      </c>
      <c r="Z54" s="264">
        <v>0</v>
      </c>
      <c r="AA54" s="59"/>
      <c r="AB54" s="416">
        <v>14</v>
      </c>
    </row>
    <row r="55" spans="1:28" x14ac:dyDescent="0.2">
      <c r="A55" s="166" t="s">
        <v>410</v>
      </c>
      <c r="B55" s="264">
        <v>0</v>
      </c>
      <c r="C55" s="264">
        <v>0</v>
      </c>
      <c r="D55" s="264">
        <v>16</v>
      </c>
      <c r="E55" s="264">
        <v>30</v>
      </c>
      <c r="F55" s="264">
        <v>0</v>
      </c>
      <c r="G55" s="264">
        <v>0</v>
      </c>
      <c r="H55" s="264">
        <v>0</v>
      </c>
      <c r="I55" s="265">
        <f t="shared" si="0"/>
        <v>13.518675870646765</v>
      </c>
      <c r="J55" s="268">
        <f>(29858*0.453592)/996.96</f>
        <v>13.584647263681592</v>
      </c>
      <c r="K55" s="267" t="s">
        <v>101</v>
      </c>
      <c r="L55" s="268">
        <f>(31018*0.453592)/996.96</f>
        <v>14.112418407960199</v>
      </c>
      <c r="M55" s="268">
        <f>(28988*0.453592)/996.96</f>
        <v>13.188818905472637</v>
      </c>
      <c r="N55" s="268">
        <f>(28988*0.453592)/996.96</f>
        <v>13.188818905472637</v>
      </c>
      <c r="O55" s="271" t="s">
        <v>101</v>
      </c>
      <c r="P55" s="271" t="s">
        <v>101</v>
      </c>
      <c r="Q55" s="268">
        <f>14494*0.453592/996.96</f>
        <v>6.5944094527363184</v>
      </c>
      <c r="R55" s="264">
        <v>0</v>
      </c>
      <c r="S55" s="264">
        <v>0</v>
      </c>
      <c r="T55" s="264">
        <v>0</v>
      </c>
      <c r="U55" s="264">
        <v>0</v>
      </c>
      <c r="V55" s="264">
        <v>0</v>
      </c>
      <c r="W55" s="264">
        <v>0</v>
      </c>
      <c r="X55" s="264">
        <v>0</v>
      </c>
      <c r="Y55" s="264">
        <v>0</v>
      </c>
      <c r="Z55" s="264">
        <v>0</v>
      </c>
      <c r="AA55" s="59"/>
      <c r="AB55" s="416">
        <v>14</v>
      </c>
    </row>
    <row r="56" spans="1:28" x14ac:dyDescent="0.2">
      <c r="A56" s="166" t="s">
        <v>409</v>
      </c>
      <c r="B56" s="264">
        <v>0</v>
      </c>
      <c r="C56" s="264">
        <v>0</v>
      </c>
      <c r="D56" s="264">
        <v>16</v>
      </c>
      <c r="E56" s="264">
        <v>30</v>
      </c>
      <c r="F56" s="264">
        <v>0</v>
      </c>
      <c r="G56" s="264">
        <v>0</v>
      </c>
      <c r="H56" s="264">
        <v>0</v>
      </c>
      <c r="I56" s="265">
        <f t="shared" si="0"/>
        <v>74.34077419154228</v>
      </c>
      <c r="J56" s="268">
        <f>(164192*0.453592)/996.96</f>
        <v>74.70327562189054</v>
      </c>
      <c r="K56" s="267" t="s">
        <v>101</v>
      </c>
      <c r="L56" s="268">
        <f>(170569*0.453592)/996.96</f>
        <v>77.604651990049746</v>
      </c>
      <c r="M56" s="268">
        <f>(159410*0.453592)/996.96</f>
        <v>72.527584577114425</v>
      </c>
      <c r="N56" s="268">
        <f>(159410*0.453592)/996.96</f>
        <v>72.527584577114425</v>
      </c>
      <c r="O56" s="271" t="s">
        <v>101</v>
      </c>
      <c r="P56" s="271" t="s">
        <v>101</v>
      </c>
      <c r="Q56" s="268">
        <f>79705*0.453592/996.96</f>
        <v>36.263792288557212</v>
      </c>
      <c r="R56" s="264">
        <v>0</v>
      </c>
      <c r="S56" s="264">
        <v>0</v>
      </c>
      <c r="T56" s="264">
        <v>0</v>
      </c>
      <c r="U56" s="264">
        <v>0</v>
      </c>
      <c r="V56" s="264">
        <v>0</v>
      </c>
      <c r="W56" s="264">
        <v>0</v>
      </c>
      <c r="X56" s="264">
        <v>0</v>
      </c>
      <c r="Y56" s="264">
        <v>0</v>
      </c>
      <c r="Z56" s="264">
        <v>0</v>
      </c>
      <c r="AA56" s="59"/>
      <c r="AB56" s="416">
        <v>14</v>
      </c>
    </row>
    <row r="57" spans="1:28" x14ac:dyDescent="0.2">
      <c r="A57" s="166" t="s">
        <v>408</v>
      </c>
      <c r="B57" s="264">
        <v>0</v>
      </c>
      <c r="C57" s="264">
        <v>0</v>
      </c>
      <c r="D57" s="264">
        <v>16</v>
      </c>
      <c r="E57" s="264">
        <v>30</v>
      </c>
      <c r="F57" s="264">
        <v>0</v>
      </c>
      <c r="G57" s="264">
        <v>0</v>
      </c>
      <c r="H57" s="264">
        <v>0</v>
      </c>
      <c r="I57" s="265">
        <f t="shared" si="0"/>
        <v>72.800342164179099</v>
      </c>
      <c r="J57" s="268">
        <f>(160790*0.453592)/996.96</f>
        <v>73.15545024875621</v>
      </c>
      <c r="K57" s="267" t="s">
        <v>101</v>
      </c>
      <c r="L57" s="268">
        <f>(167034*0.453592)/996.96</f>
        <v>75.996314925373127</v>
      </c>
      <c r="M57" s="268">
        <f>(156107*0.453592)/996.96</f>
        <v>71.02480174129353</v>
      </c>
      <c r="N57" s="268">
        <f>(156107*0.453592)/996.96</f>
        <v>71.02480174129353</v>
      </c>
      <c r="O57" s="271" t="s">
        <v>101</v>
      </c>
      <c r="P57" s="271" t="s">
        <v>101</v>
      </c>
      <c r="Q57" s="268">
        <f>78053*0.453592/996.96</f>
        <v>35.512173383084573</v>
      </c>
      <c r="R57" s="264">
        <v>0</v>
      </c>
      <c r="S57" s="264">
        <v>0</v>
      </c>
      <c r="T57" s="264">
        <v>0</v>
      </c>
      <c r="U57" s="264">
        <v>0</v>
      </c>
      <c r="V57" s="264">
        <v>0</v>
      </c>
      <c r="W57" s="264">
        <v>0</v>
      </c>
      <c r="X57" s="264">
        <v>0</v>
      </c>
      <c r="Y57" s="264">
        <v>0</v>
      </c>
      <c r="Z57" s="264">
        <v>0</v>
      </c>
      <c r="AA57" s="59"/>
      <c r="AB57" s="416">
        <v>14</v>
      </c>
    </row>
    <row r="58" spans="1:28" x14ac:dyDescent="0.2">
      <c r="A58" s="166" t="s">
        <v>413</v>
      </c>
      <c r="B58" s="264">
        <v>0</v>
      </c>
      <c r="C58" s="264">
        <v>0</v>
      </c>
      <c r="D58" s="264">
        <v>16</v>
      </c>
      <c r="E58" s="264">
        <v>30</v>
      </c>
      <c r="F58" s="264">
        <v>0</v>
      </c>
      <c r="G58" s="264">
        <v>0</v>
      </c>
      <c r="H58" s="264">
        <v>0</v>
      </c>
      <c r="I58" s="265">
        <f t="shared" si="0"/>
        <v>40.632577176616913</v>
      </c>
      <c r="J58" s="268">
        <f>(89743*0.453592)/996.96</f>
        <v>40.83083258706467</v>
      </c>
      <c r="K58" s="267" t="s">
        <v>101</v>
      </c>
      <c r="L58" s="268">
        <f>(93228*0.453592)/996.96</f>
        <v>42.416420895522386</v>
      </c>
      <c r="M58" s="268">
        <f>(87129*0.453592)/996.96</f>
        <v>39.641527611940298</v>
      </c>
      <c r="N58" s="268">
        <f>(87129*0.453592)/996.96</f>
        <v>39.641527611940298</v>
      </c>
      <c r="O58" s="271" t="s">
        <v>101</v>
      </c>
      <c r="P58" s="271" t="s">
        <v>101</v>
      </c>
      <c r="Q58" s="268">
        <f>43565*0.453592/996.96</f>
        <v>19.820991293532337</v>
      </c>
      <c r="R58" s="264">
        <v>0</v>
      </c>
      <c r="S58" s="264">
        <v>0</v>
      </c>
      <c r="T58" s="264">
        <v>0</v>
      </c>
      <c r="U58" s="264">
        <v>0</v>
      </c>
      <c r="V58" s="264">
        <v>0</v>
      </c>
      <c r="W58" s="264">
        <v>0</v>
      </c>
      <c r="X58" s="264">
        <v>0</v>
      </c>
      <c r="Y58" s="264">
        <v>0</v>
      </c>
      <c r="Z58" s="264">
        <v>0</v>
      </c>
      <c r="AA58" s="59"/>
      <c r="AB58" s="416">
        <v>14</v>
      </c>
    </row>
    <row r="59" spans="1:28" x14ac:dyDescent="0.2">
      <c r="A59" s="166" t="s">
        <v>416</v>
      </c>
      <c r="B59" s="264">
        <v>0</v>
      </c>
      <c r="C59" s="264">
        <v>0</v>
      </c>
      <c r="D59" s="264">
        <v>16</v>
      </c>
      <c r="E59" s="264">
        <v>30</v>
      </c>
      <c r="F59" s="264">
        <v>0</v>
      </c>
      <c r="G59" s="264">
        <v>0</v>
      </c>
      <c r="H59" s="264">
        <v>0</v>
      </c>
      <c r="I59" s="265">
        <f t="shared" si="0"/>
        <v>45.147409079601985</v>
      </c>
      <c r="J59" s="268">
        <f>(99715*0.453592)/996.96</f>
        <v>45.367844527363182</v>
      </c>
      <c r="K59" s="267" t="s">
        <v>101</v>
      </c>
      <c r="L59" s="268">
        <f>(103587*0.453592)/996.96</f>
        <v>47.129508208955222</v>
      </c>
      <c r="M59" s="268">
        <f>(96810*0.453592)/996.96</f>
        <v>44.046141791044768</v>
      </c>
      <c r="N59" s="268">
        <f>(96810*0.453592)/996.96</f>
        <v>44.046141791044768</v>
      </c>
      <c r="O59" s="271" t="s">
        <v>101</v>
      </c>
      <c r="P59" s="271" t="s">
        <v>101</v>
      </c>
      <c r="Q59" s="268">
        <f>48405*0.453592/996.96</f>
        <v>22.023070895522384</v>
      </c>
      <c r="R59" s="264">
        <v>0</v>
      </c>
      <c r="S59" s="264">
        <v>0</v>
      </c>
      <c r="T59" s="264">
        <v>0</v>
      </c>
      <c r="U59" s="264">
        <v>0</v>
      </c>
      <c r="V59" s="264">
        <v>0</v>
      </c>
      <c r="W59" s="264">
        <v>0</v>
      </c>
      <c r="X59" s="264">
        <v>0</v>
      </c>
      <c r="Y59" s="264">
        <v>0</v>
      </c>
      <c r="Z59" s="264">
        <v>0</v>
      </c>
      <c r="AA59" s="59"/>
      <c r="AB59" s="416">
        <v>14</v>
      </c>
    </row>
    <row r="60" spans="1:28" x14ac:dyDescent="0.2">
      <c r="A60" s="166" t="s">
        <v>418</v>
      </c>
      <c r="B60" s="264">
        <v>0</v>
      </c>
      <c r="C60" s="264">
        <v>0</v>
      </c>
      <c r="D60" s="264">
        <v>16</v>
      </c>
      <c r="E60" s="264">
        <v>30</v>
      </c>
      <c r="F60" s="264">
        <v>0</v>
      </c>
      <c r="G60" s="264">
        <v>0</v>
      </c>
      <c r="H60" s="264">
        <v>0</v>
      </c>
      <c r="I60" s="265">
        <f t="shared" si="0"/>
        <v>30.958213619402983</v>
      </c>
      <c r="J60" s="268">
        <f>(68376*0.453592)/996.96</f>
        <v>31.109379104477611</v>
      </c>
      <c r="K60" s="267" t="s">
        <v>101</v>
      </c>
      <c r="L60" s="268">
        <f>(71031*0.453592)/996.96</f>
        <v>32.317338059701491</v>
      </c>
      <c r="M60" s="268">
        <f>(66384*0.453592)/996.96</f>
        <v>30.203068656716415</v>
      </c>
      <c r="N60" s="268">
        <f>(66384*0.453592)/996.96</f>
        <v>30.203068656716415</v>
      </c>
      <c r="O60" s="271" t="s">
        <v>101</v>
      </c>
      <c r="P60" s="271" t="s">
        <v>101</v>
      </c>
      <c r="Q60" s="268">
        <f>33192*0.453592/996.96</f>
        <v>15.101534328358207</v>
      </c>
      <c r="R60" s="264">
        <v>0</v>
      </c>
      <c r="S60" s="264">
        <v>0</v>
      </c>
      <c r="T60" s="264">
        <v>0</v>
      </c>
      <c r="U60" s="264">
        <v>0</v>
      </c>
      <c r="V60" s="264">
        <v>0</v>
      </c>
      <c r="W60" s="264">
        <v>0</v>
      </c>
      <c r="X60" s="264">
        <v>0</v>
      </c>
      <c r="Y60" s="264">
        <v>0</v>
      </c>
      <c r="Z60" s="264">
        <v>0</v>
      </c>
      <c r="AA60" s="59"/>
      <c r="AB60" s="416">
        <v>14</v>
      </c>
    </row>
    <row r="61" spans="1:28" x14ac:dyDescent="0.2">
      <c r="A61" s="166" t="s">
        <v>417</v>
      </c>
      <c r="B61" s="264">
        <v>0</v>
      </c>
      <c r="C61" s="264">
        <v>0</v>
      </c>
      <c r="D61" s="264">
        <v>16</v>
      </c>
      <c r="E61" s="264">
        <v>30</v>
      </c>
      <c r="F61" s="264">
        <v>0</v>
      </c>
      <c r="G61" s="264">
        <v>0</v>
      </c>
      <c r="H61" s="264">
        <v>0</v>
      </c>
      <c r="I61" s="265">
        <f t="shared" si="0"/>
        <v>14.870520708955222</v>
      </c>
      <c r="J61" s="268">
        <f>(32844*0.453592)/996.96</f>
        <v>14.943202985074628</v>
      </c>
      <c r="K61" s="267" t="s">
        <v>101</v>
      </c>
      <c r="L61" s="268">
        <f>(34119*0.453592)/996.96</f>
        <v>15.523296268656717</v>
      </c>
      <c r="M61" s="268">
        <f>(31887*0.453592)/996.96</f>
        <v>14.507791791044776</v>
      </c>
      <c r="N61" s="268">
        <f>(31887*0.453592)/996.96</f>
        <v>14.507791791044776</v>
      </c>
      <c r="O61" s="271" t="s">
        <v>101</v>
      </c>
      <c r="P61" s="271" t="s">
        <v>101</v>
      </c>
      <c r="Q61" s="268">
        <f>15944*0.453592/996.96</f>
        <v>7.2541233830845773</v>
      </c>
      <c r="R61" s="264">
        <v>0</v>
      </c>
      <c r="S61" s="264">
        <v>0</v>
      </c>
      <c r="T61" s="264">
        <v>0</v>
      </c>
      <c r="U61" s="264">
        <v>0</v>
      </c>
      <c r="V61" s="264">
        <v>0</v>
      </c>
      <c r="W61" s="264">
        <v>0</v>
      </c>
      <c r="X61" s="264">
        <v>0</v>
      </c>
      <c r="Y61" s="264">
        <v>0</v>
      </c>
      <c r="Z61" s="264">
        <v>0</v>
      </c>
      <c r="AA61" s="59"/>
      <c r="AB61" s="416">
        <v>14</v>
      </c>
    </row>
    <row r="62" spans="1:28" x14ac:dyDescent="0.2">
      <c r="A62" s="166" t="s">
        <v>419</v>
      </c>
      <c r="B62" s="264">
        <v>0</v>
      </c>
      <c r="C62" s="264">
        <v>0</v>
      </c>
      <c r="D62" s="264">
        <v>16</v>
      </c>
      <c r="E62" s="264">
        <v>30</v>
      </c>
      <c r="F62" s="264">
        <v>0</v>
      </c>
      <c r="G62" s="264">
        <v>0</v>
      </c>
      <c r="H62" s="264">
        <v>0</v>
      </c>
      <c r="I62" s="265">
        <f t="shared" si="0"/>
        <v>58.546540236318407</v>
      </c>
      <c r="J62" s="268">
        <f>(129309*0.453592)/996.96</f>
        <v>58.832378358208949</v>
      </c>
      <c r="K62" s="267" t="s">
        <v>101</v>
      </c>
      <c r="L62" s="268">
        <f>(134330*0.453592)/996.96</f>
        <v>61.116808457711436</v>
      </c>
      <c r="M62" s="268">
        <f>(125542*0.453592)/996.96</f>
        <v>57.118487064676614</v>
      </c>
      <c r="N62" s="268">
        <f>(125542*0.453592)/996.96</f>
        <v>57.118487064676614</v>
      </c>
      <c r="O62" s="271" t="s">
        <v>101</v>
      </c>
      <c r="P62" s="271" t="s">
        <v>101</v>
      </c>
      <c r="Q62" s="268">
        <f>62771*0.453592/996.96</f>
        <v>28.559243532338307</v>
      </c>
      <c r="R62" s="264">
        <v>0</v>
      </c>
      <c r="S62" s="264">
        <v>0</v>
      </c>
      <c r="T62" s="264">
        <v>0</v>
      </c>
      <c r="U62" s="264">
        <v>0</v>
      </c>
      <c r="V62" s="264">
        <v>0</v>
      </c>
      <c r="W62" s="264">
        <v>0</v>
      </c>
      <c r="X62" s="264">
        <v>0</v>
      </c>
      <c r="Y62" s="264">
        <v>0</v>
      </c>
      <c r="Z62" s="264">
        <v>0</v>
      </c>
      <c r="AA62" s="59"/>
      <c r="AB62" s="416">
        <v>14</v>
      </c>
    </row>
    <row r="63" spans="1:28" x14ac:dyDescent="0.2">
      <c r="A63" s="166" t="s">
        <v>420</v>
      </c>
      <c r="B63" s="264">
        <v>0</v>
      </c>
      <c r="C63" s="264">
        <v>0</v>
      </c>
      <c r="D63" s="264">
        <v>16</v>
      </c>
      <c r="E63" s="264">
        <v>30</v>
      </c>
      <c r="F63" s="264">
        <v>0</v>
      </c>
      <c r="G63" s="264">
        <v>0</v>
      </c>
      <c r="H63" s="264">
        <v>0</v>
      </c>
      <c r="I63" s="265">
        <f t="shared" si="0"/>
        <v>33.860613681592042</v>
      </c>
      <c r="J63" s="268">
        <f>(74786*0.453592)/996.96</f>
        <v>34.025769651741292</v>
      </c>
      <c r="K63" s="267" t="s">
        <v>101</v>
      </c>
      <c r="L63" s="268">
        <f>(77690*0.453592)/996.96</f>
        <v>35.347017412935323</v>
      </c>
      <c r="M63" s="268">
        <f>(72608*0.453592)/996.96</f>
        <v>33.03483383084577</v>
      </c>
      <c r="N63" s="268">
        <f>(72608*0.453592)/996.96</f>
        <v>33.03483383084577</v>
      </c>
      <c r="O63" s="271" t="s">
        <v>101</v>
      </c>
      <c r="P63" s="271" t="s">
        <v>101</v>
      </c>
      <c r="Q63" s="268">
        <f>36304*0.453592/996.96</f>
        <v>16.517416915422885</v>
      </c>
      <c r="R63" s="264">
        <v>0</v>
      </c>
      <c r="S63" s="264">
        <v>0</v>
      </c>
      <c r="T63" s="264">
        <v>0</v>
      </c>
      <c r="U63" s="264">
        <v>0</v>
      </c>
      <c r="V63" s="264">
        <v>0</v>
      </c>
      <c r="W63" s="264">
        <v>0</v>
      </c>
      <c r="X63" s="264">
        <v>0</v>
      </c>
      <c r="Y63" s="264">
        <v>0</v>
      </c>
      <c r="Z63" s="264">
        <v>0</v>
      </c>
      <c r="AA63" s="59"/>
      <c r="AB63" s="416">
        <v>14</v>
      </c>
    </row>
    <row r="64" spans="1:28" x14ac:dyDescent="0.2">
      <c r="A64" s="166" t="s">
        <v>421</v>
      </c>
      <c r="B64" s="264">
        <v>0</v>
      </c>
      <c r="C64" s="264">
        <v>0</v>
      </c>
      <c r="D64" s="264">
        <v>16</v>
      </c>
      <c r="E64" s="264">
        <v>30</v>
      </c>
      <c r="F64" s="264">
        <v>0</v>
      </c>
      <c r="G64" s="264">
        <v>0</v>
      </c>
      <c r="H64" s="264">
        <v>0</v>
      </c>
      <c r="I64" s="265">
        <f t="shared" si="0"/>
        <v>33.409164614427858</v>
      </c>
      <c r="J64" s="268">
        <f>(73789*0.453592)/996.96</f>
        <v>33.572159452736315</v>
      </c>
      <c r="K64" s="267" t="s">
        <v>101</v>
      </c>
      <c r="L64" s="268">
        <f>(76654*0.453592)/996.96</f>
        <v>34.875663184079606</v>
      </c>
      <c r="M64" s="268">
        <f>(71640*0.453592)/996.96</f>
        <v>32.59441791044776</v>
      </c>
      <c r="N64" s="268">
        <f>(71640*0.453592)/996.96</f>
        <v>32.59441791044776</v>
      </c>
      <c r="O64" s="271" t="s">
        <v>101</v>
      </c>
      <c r="P64" s="271" t="s">
        <v>101</v>
      </c>
      <c r="Q64" s="268">
        <f>35820*0.453592/996.96</f>
        <v>16.29720895522388</v>
      </c>
      <c r="R64" s="264">
        <v>0</v>
      </c>
      <c r="S64" s="264">
        <v>0</v>
      </c>
      <c r="T64" s="264">
        <v>0</v>
      </c>
      <c r="U64" s="264">
        <v>0</v>
      </c>
      <c r="V64" s="264">
        <v>0</v>
      </c>
      <c r="W64" s="264">
        <v>0</v>
      </c>
      <c r="X64" s="264">
        <v>0</v>
      </c>
      <c r="Y64" s="264">
        <v>0</v>
      </c>
      <c r="Z64" s="264">
        <v>0</v>
      </c>
      <c r="AA64" s="59"/>
      <c r="AB64" s="416">
        <v>14</v>
      </c>
    </row>
    <row r="65" spans="1:28" x14ac:dyDescent="0.2">
      <c r="A65" s="166" t="s">
        <v>422</v>
      </c>
      <c r="B65" s="264">
        <v>0</v>
      </c>
      <c r="C65" s="264">
        <v>0</v>
      </c>
      <c r="D65" s="264">
        <v>16</v>
      </c>
      <c r="E65" s="264">
        <v>30</v>
      </c>
      <c r="F65" s="264">
        <v>0</v>
      </c>
      <c r="G65" s="264">
        <v>0</v>
      </c>
      <c r="H65" s="264">
        <v>0</v>
      </c>
      <c r="I65" s="265">
        <f t="shared" si="0"/>
        <v>27.037465485074627</v>
      </c>
      <c r="J65" s="268">
        <f>(59716*0.453592)/996.96</f>
        <v>27.169294527363185</v>
      </c>
      <c r="K65" s="267" t="s">
        <v>101</v>
      </c>
      <c r="L65" s="268">
        <f>(62035*0.453592)/996.96</f>
        <v>28.224381840796017</v>
      </c>
      <c r="M65" s="268">
        <f>(57977*0.453592)/996.96</f>
        <v>26.378092786069651</v>
      </c>
      <c r="N65" s="268">
        <f>(57977*0.453592)/996.96</f>
        <v>26.378092786069651</v>
      </c>
      <c r="O65" s="271" t="s">
        <v>101</v>
      </c>
      <c r="P65" s="271" t="s">
        <v>101</v>
      </c>
      <c r="Q65" s="268">
        <f>28988*0.453592/996.96</f>
        <v>13.188818905472637</v>
      </c>
      <c r="R65" s="264">
        <v>0</v>
      </c>
      <c r="S65" s="264">
        <v>0</v>
      </c>
      <c r="T65" s="264">
        <v>0</v>
      </c>
      <c r="U65" s="264">
        <v>0</v>
      </c>
      <c r="V65" s="264">
        <v>0</v>
      </c>
      <c r="W65" s="264">
        <v>0</v>
      </c>
      <c r="X65" s="264">
        <v>0</v>
      </c>
      <c r="Y65" s="264">
        <v>0</v>
      </c>
      <c r="Z65" s="264">
        <v>0</v>
      </c>
      <c r="AA65" s="59"/>
      <c r="AB65" s="416">
        <v>14</v>
      </c>
    </row>
    <row r="66" spans="1:28" x14ac:dyDescent="0.2">
      <c r="A66" s="166" t="s">
        <v>425</v>
      </c>
      <c r="B66" s="264">
        <v>0</v>
      </c>
      <c r="C66" s="264">
        <v>0</v>
      </c>
      <c r="D66" s="264">
        <v>16</v>
      </c>
      <c r="E66" s="264">
        <v>30</v>
      </c>
      <c r="F66" s="264">
        <v>0</v>
      </c>
      <c r="G66" s="264">
        <v>0</v>
      </c>
      <c r="H66" s="264">
        <v>0</v>
      </c>
      <c r="I66" s="265">
        <f t="shared" si="0"/>
        <v>68.451389680170578</v>
      </c>
      <c r="J66" s="268">
        <f>(123383*0.453592)/996.96</f>
        <v>56.136195771144273</v>
      </c>
      <c r="K66" s="267">
        <f>2.848*365*4/35</f>
        <v>118.80228571428572</v>
      </c>
      <c r="L66" s="268">
        <f>(128175*0.453592)/996.96</f>
        <v>58.316436567164182</v>
      </c>
      <c r="M66" s="268">
        <f>(119789*0.453592)/996.96</f>
        <v>54.501015174129357</v>
      </c>
      <c r="N66" s="268">
        <f>(119789*0.453592)/996.96</f>
        <v>54.501015174129357</v>
      </c>
      <c r="O66" s="271" t="s">
        <v>101</v>
      </c>
      <c r="P66" s="271" t="s">
        <v>101</v>
      </c>
      <c r="Q66" s="268">
        <f>59895*0.453592/996.96</f>
        <v>27.250735074626864</v>
      </c>
      <c r="R66" s="264">
        <v>0</v>
      </c>
      <c r="S66" s="264">
        <v>0</v>
      </c>
      <c r="T66" s="264">
        <v>0</v>
      </c>
      <c r="U66" s="264">
        <v>0</v>
      </c>
      <c r="V66" s="264">
        <v>0</v>
      </c>
      <c r="W66" s="264">
        <v>0</v>
      </c>
      <c r="X66" s="264">
        <v>0</v>
      </c>
      <c r="Y66" s="264">
        <v>0</v>
      </c>
      <c r="Z66" s="264">
        <v>0</v>
      </c>
      <c r="AA66" s="59"/>
      <c r="AB66" s="416">
        <v>14</v>
      </c>
    </row>
    <row r="67" spans="1:28" x14ac:dyDescent="0.2">
      <c r="A67" s="166" t="s">
        <v>306</v>
      </c>
      <c r="B67" s="283">
        <v>0</v>
      </c>
      <c r="C67" s="283">
        <v>0</v>
      </c>
      <c r="D67" s="283">
        <v>0</v>
      </c>
      <c r="E67" s="283">
        <v>0</v>
      </c>
      <c r="F67" s="283">
        <v>0</v>
      </c>
      <c r="G67" s="283">
        <v>0</v>
      </c>
      <c r="H67" s="283">
        <v>0</v>
      </c>
      <c r="I67" s="265">
        <f t="shared" si="0"/>
        <v>0</v>
      </c>
      <c r="J67" s="284">
        <v>0</v>
      </c>
      <c r="K67" s="267">
        <f t="shared" ref="K67" si="1">0.8*J67</f>
        <v>0</v>
      </c>
      <c r="L67" s="284">
        <v>0</v>
      </c>
      <c r="M67" s="284">
        <v>0</v>
      </c>
      <c r="N67" s="284">
        <v>0</v>
      </c>
      <c r="O67" s="275">
        <v>0</v>
      </c>
      <c r="P67" s="275">
        <v>0</v>
      </c>
      <c r="Q67" s="284">
        <v>0</v>
      </c>
      <c r="R67" s="283">
        <v>0</v>
      </c>
      <c r="S67" s="283">
        <v>0</v>
      </c>
      <c r="T67" s="283">
        <v>0</v>
      </c>
      <c r="U67" s="283">
        <v>0</v>
      </c>
      <c r="V67" s="283">
        <v>0</v>
      </c>
      <c r="W67" s="283">
        <v>0</v>
      </c>
      <c r="X67" s="283">
        <v>0</v>
      </c>
      <c r="Y67" s="249">
        <v>0</v>
      </c>
      <c r="Z67" s="283">
        <v>0</v>
      </c>
      <c r="AA67" s="59"/>
      <c r="AB67" s="416">
        <v>14</v>
      </c>
    </row>
    <row r="68" spans="1:28" x14ac:dyDescent="0.2">
      <c r="A68" s="166" t="s">
        <v>547</v>
      </c>
      <c r="B68" s="264">
        <v>0</v>
      </c>
      <c r="C68" s="264">
        <v>0</v>
      </c>
      <c r="D68" s="285">
        <v>16</v>
      </c>
      <c r="E68" s="264">
        <v>30</v>
      </c>
      <c r="F68" s="264">
        <v>0</v>
      </c>
      <c r="G68" s="264">
        <v>0</v>
      </c>
      <c r="H68" s="264">
        <v>0</v>
      </c>
      <c r="I68" s="265"/>
      <c r="J68" s="284"/>
      <c r="K68" s="267">
        <f>0.028*365*4/35</f>
        <v>1.1680000000000001</v>
      </c>
      <c r="L68" s="284"/>
      <c r="M68" s="284"/>
      <c r="N68" s="284"/>
      <c r="O68" s="275"/>
      <c r="P68" s="275"/>
      <c r="Q68" s="284"/>
      <c r="R68" s="264">
        <v>0</v>
      </c>
      <c r="S68" s="264">
        <v>0</v>
      </c>
      <c r="T68" s="264">
        <v>0</v>
      </c>
      <c r="U68" s="264">
        <v>0</v>
      </c>
      <c r="V68" s="264">
        <v>0</v>
      </c>
      <c r="W68" s="264">
        <v>0</v>
      </c>
      <c r="X68" s="264">
        <v>0</v>
      </c>
      <c r="Y68" s="264">
        <v>0</v>
      </c>
      <c r="Z68" s="264">
        <v>0</v>
      </c>
      <c r="AA68" s="59"/>
      <c r="AB68" s="416">
        <v>14</v>
      </c>
    </row>
    <row r="69" spans="1:28" x14ac:dyDescent="0.2">
      <c r="A69" s="166" t="s">
        <v>442</v>
      </c>
      <c r="B69" s="264">
        <v>0</v>
      </c>
      <c r="C69" s="264">
        <v>0</v>
      </c>
      <c r="D69" s="285">
        <v>16</v>
      </c>
      <c r="E69" s="264">
        <v>30</v>
      </c>
      <c r="F69" s="264">
        <v>0</v>
      </c>
      <c r="G69" s="264">
        <v>0</v>
      </c>
      <c r="H69" s="264">
        <v>0</v>
      </c>
      <c r="I69" s="265">
        <f t="shared" si="0"/>
        <v>1.6197114427860697</v>
      </c>
      <c r="J69" s="271" t="s">
        <v>101</v>
      </c>
      <c r="K69" s="267" t="s">
        <v>101</v>
      </c>
      <c r="L69" s="271" t="s">
        <v>101</v>
      </c>
      <c r="M69" s="271" t="s">
        <v>101</v>
      </c>
      <c r="N69" s="271" t="s">
        <v>101</v>
      </c>
      <c r="O69" s="271">
        <f>3560*0.453592/996.96</f>
        <v>1.6197114427860697</v>
      </c>
      <c r="P69" s="272" t="s">
        <v>101</v>
      </c>
      <c r="Q69" s="268">
        <f>19979*0.453592/996.96</f>
        <v>9.0899480099502483</v>
      </c>
      <c r="R69" s="264">
        <v>0</v>
      </c>
      <c r="S69" s="264">
        <v>0</v>
      </c>
      <c r="T69" s="264">
        <v>0</v>
      </c>
      <c r="U69" s="264">
        <v>0</v>
      </c>
      <c r="V69" s="264">
        <v>0</v>
      </c>
      <c r="W69" s="264">
        <v>0</v>
      </c>
      <c r="X69" s="264">
        <v>0</v>
      </c>
      <c r="Y69" s="264">
        <v>0</v>
      </c>
      <c r="Z69" s="264">
        <v>0</v>
      </c>
      <c r="AA69" s="59"/>
      <c r="AB69" s="416">
        <v>14</v>
      </c>
    </row>
    <row r="70" spans="1:28" x14ac:dyDescent="0.2">
      <c r="A70" s="166" t="s">
        <v>443</v>
      </c>
      <c r="B70" s="264">
        <v>0</v>
      </c>
      <c r="C70" s="264">
        <v>0</v>
      </c>
      <c r="D70" s="285">
        <v>16</v>
      </c>
      <c r="E70" s="264">
        <v>30</v>
      </c>
      <c r="F70" s="264">
        <v>0</v>
      </c>
      <c r="G70" s="264">
        <v>0</v>
      </c>
      <c r="H70" s="264">
        <v>0</v>
      </c>
      <c r="I70" s="265">
        <f t="shared" si="0"/>
        <v>1.7161661691542287</v>
      </c>
      <c r="J70" s="271" t="s">
        <v>101</v>
      </c>
      <c r="K70" s="267" t="s">
        <v>101</v>
      </c>
      <c r="L70" s="271" t="s">
        <v>101</v>
      </c>
      <c r="M70" s="271" t="s">
        <v>101</v>
      </c>
      <c r="N70" s="271" t="s">
        <v>101</v>
      </c>
      <c r="O70" s="271">
        <f>3772*0.453592/996.96</f>
        <v>1.7161661691542287</v>
      </c>
      <c r="P70" s="272" t="s">
        <v>101</v>
      </c>
      <c r="Q70" s="268">
        <f>1886*0.453592/996.96</f>
        <v>0.85808308457711435</v>
      </c>
      <c r="R70" s="264">
        <v>0</v>
      </c>
      <c r="S70" s="264">
        <v>0</v>
      </c>
      <c r="T70" s="264">
        <v>0</v>
      </c>
      <c r="U70" s="264">
        <v>0</v>
      </c>
      <c r="V70" s="264">
        <v>0</v>
      </c>
      <c r="W70" s="264">
        <v>0</v>
      </c>
      <c r="X70" s="264">
        <v>0</v>
      </c>
      <c r="Y70" s="264">
        <v>0</v>
      </c>
      <c r="Z70" s="264">
        <v>0</v>
      </c>
      <c r="AA70" s="59"/>
      <c r="AB70" s="416">
        <v>14</v>
      </c>
    </row>
    <row r="71" spans="1:28" x14ac:dyDescent="0.2">
      <c r="A71" s="166" t="s">
        <v>423</v>
      </c>
      <c r="B71" s="264">
        <v>0</v>
      </c>
      <c r="C71" s="264">
        <v>0</v>
      </c>
      <c r="D71" s="264">
        <v>16</v>
      </c>
      <c r="E71" s="264">
        <v>30</v>
      </c>
      <c r="F71" s="264">
        <v>0</v>
      </c>
      <c r="G71" s="264">
        <v>0</v>
      </c>
      <c r="H71" s="264">
        <v>0</v>
      </c>
      <c r="I71" s="265">
        <f t="shared" si="0"/>
        <v>14.042857981520964</v>
      </c>
      <c r="J71" s="268">
        <f>(30846*0.453592)/996.96</f>
        <v>14.034162686567162</v>
      </c>
      <c r="K71" s="267">
        <f>0.344*365*4/35</f>
        <v>14.349714285714285</v>
      </c>
      <c r="L71" s="268">
        <f>(32044*0.453592)/996.96</f>
        <v>14.579222885572138</v>
      </c>
      <c r="M71" s="268">
        <f>(29948*0.453592)/996.96</f>
        <v>13.62559502487562</v>
      </c>
      <c r="N71" s="268">
        <f>(29948*0.453592)/996.96</f>
        <v>13.62559502487562</v>
      </c>
      <c r="O71" s="271" t="s">
        <v>101</v>
      </c>
      <c r="P71" s="271"/>
      <c r="Q71" s="268">
        <f>14974*0.453592/996.96</f>
        <v>6.8127975124378102</v>
      </c>
      <c r="R71" s="264">
        <v>0</v>
      </c>
      <c r="S71" s="264">
        <v>0</v>
      </c>
      <c r="T71" s="264">
        <v>0</v>
      </c>
      <c r="U71" s="264">
        <v>0</v>
      </c>
      <c r="V71" s="264">
        <v>0</v>
      </c>
      <c r="W71" s="264">
        <v>0</v>
      </c>
      <c r="X71" s="264">
        <v>0</v>
      </c>
      <c r="Y71" s="264">
        <v>0</v>
      </c>
      <c r="Z71" s="264">
        <v>0</v>
      </c>
      <c r="AA71" s="59"/>
      <c r="AB71" s="416">
        <v>14</v>
      </c>
    </row>
    <row r="72" spans="1:28" x14ac:dyDescent="0.2">
      <c r="A72" s="166" t="s">
        <v>444</v>
      </c>
      <c r="B72" s="264">
        <v>0</v>
      </c>
      <c r="C72" s="264">
        <v>0</v>
      </c>
      <c r="D72" s="264">
        <v>16</v>
      </c>
      <c r="E72" s="264">
        <v>30</v>
      </c>
      <c r="F72" s="264">
        <v>0</v>
      </c>
      <c r="G72" s="264">
        <v>0</v>
      </c>
      <c r="H72" s="264">
        <v>0</v>
      </c>
      <c r="I72" s="265">
        <f t="shared" si="0"/>
        <v>42.286298009950251</v>
      </c>
      <c r="J72" s="272" t="s">
        <v>101</v>
      </c>
      <c r="K72" s="267" t="s">
        <v>101</v>
      </c>
      <c r="L72" s="272" t="s">
        <v>101</v>
      </c>
      <c r="M72" s="272" t="s">
        <v>101</v>
      </c>
      <c r="N72" s="272" t="s">
        <v>101</v>
      </c>
      <c r="O72" s="268">
        <f>(92942*0.453592)/996.96</f>
        <v>42.286298009950251</v>
      </c>
      <c r="P72" s="268">
        <f>(92942*0.453592)/996.96</f>
        <v>42.286298009950251</v>
      </c>
      <c r="Q72" s="268">
        <f>(46471*0.453592)/996.96</f>
        <v>21.143149004975125</v>
      </c>
      <c r="R72" s="264">
        <v>0</v>
      </c>
      <c r="S72" s="264">
        <v>0</v>
      </c>
      <c r="T72" s="264">
        <v>0</v>
      </c>
      <c r="U72" s="264">
        <v>0</v>
      </c>
      <c r="V72" s="264">
        <v>0</v>
      </c>
      <c r="W72" s="264">
        <v>0</v>
      </c>
      <c r="X72" s="264">
        <v>0</v>
      </c>
      <c r="Y72" s="264">
        <v>0</v>
      </c>
      <c r="Z72" s="264">
        <v>0</v>
      </c>
      <c r="AA72" s="59"/>
      <c r="AB72" s="416">
        <v>14</v>
      </c>
    </row>
    <row r="73" spans="1:28" x14ac:dyDescent="0.2">
      <c r="A73" s="166" t="s">
        <v>424</v>
      </c>
      <c r="B73" s="264">
        <v>0</v>
      </c>
      <c r="C73" s="264">
        <v>0</v>
      </c>
      <c r="D73" s="264">
        <v>16</v>
      </c>
      <c r="E73" s="264">
        <v>30</v>
      </c>
      <c r="F73" s="264">
        <v>0</v>
      </c>
      <c r="G73" s="264">
        <v>0</v>
      </c>
      <c r="H73" s="264">
        <v>0</v>
      </c>
      <c r="I73" s="265">
        <f t="shared" si="0"/>
        <v>30.781342039800997</v>
      </c>
      <c r="J73" s="268">
        <f>(67985*0.453592)/996.96</f>
        <v>30.931483830845767</v>
      </c>
      <c r="K73" s="267"/>
      <c r="L73" s="268">
        <f>(70625*0.453592)/996.96</f>
        <v>32.132618159203979</v>
      </c>
      <c r="M73" s="268">
        <f>(66005*0.453592)/996.96</f>
        <v>30.030633084577115</v>
      </c>
      <c r="N73" s="268">
        <f>(66005*0.453592)/996.96</f>
        <v>30.030633084577115</v>
      </c>
      <c r="O73" s="271" t="s">
        <v>101</v>
      </c>
      <c r="P73" s="272" t="s">
        <v>101</v>
      </c>
      <c r="Q73" s="268">
        <f>33002*0.453592/996.96</f>
        <v>15.015089054726367</v>
      </c>
      <c r="R73" s="264">
        <v>0</v>
      </c>
      <c r="S73" s="264">
        <v>0</v>
      </c>
      <c r="T73" s="264">
        <v>0</v>
      </c>
      <c r="U73" s="264">
        <v>0</v>
      </c>
      <c r="V73" s="264">
        <v>0</v>
      </c>
      <c r="W73" s="264">
        <v>0</v>
      </c>
      <c r="X73" s="264">
        <v>0</v>
      </c>
      <c r="Y73" s="264">
        <v>0</v>
      </c>
      <c r="Z73" s="264">
        <v>0</v>
      </c>
      <c r="AA73" s="59"/>
      <c r="AB73" s="416">
        <v>14</v>
      </c>
    </row>
    <row r="74" spans="1:28" x14ac:dyDescent="0.2">
      <c r="A74" s="166" t="s">
        <v>445</v>
      </c>
      <c r="B74" s="264">
        <v>0</v>
      </c>
      <c r="C74" s="264">
        <v>0</v>
      </c>
      <c r="D74" s="264">
        <v>16</v>
      </c>
      <c r="E74" s="264">
        <v>30</v>
      </c>
      <c r="F74" s="264">
        <v>0</v>
      </c>
      <c r="G74" s="264">
        <v>0</v>
      </c>
      <c r="H74" s="264">
        <v>0</v>
      </c>
      <c r="I74" s="265">
        <f t="shared" si="0"/>
        <v>0.57281368159203971</v>
      </c>
      <c r="J74" s="272" t="s">
        <v>101</v>
      </c>
      <c r="K74" s="267" t="s">
        <v>101</v>
      </c>
      <c r="L74" s="272" t="s">
        <v>101</v>
      </c>
      <c r="M74" s="272" t="s">
        <v>101</v>
      </c>
      <c r="N74" s="272" t="s">
        <v>101</v>
      </c>
      <c r="O74" s="268">
        <f>(1259*0.453592)/996.96</f>
        <v>0.57281368159203971</v>
      </c>
      <c r="P74" s="268">
        <f>(1259*0.453592)/996.96</f>
        <v>0.57281368159203971</v>
      </c>
      <c r="Q74" s="268">
        <f>629*0.453592/996.96</f>
        <v>0.28617935323383087</v>
      </c>
      <c r="R74" s="264">
        <v>0</v>
      </c>
      <c r="S74" s="264">
        <v>0</v>
      </c>
      <c r="T74" s="264">
        <v>0</v>
      </c>
      <c r="U74" s="264">
        <v>0</v>
      </c>
      <c r="V74" s="264">
        <v>0</v>
      </c>
      <c r="W74" s="264">
        <v>0</v>
      </c>
      <c r="X74" s="264">
        <v>0</v>
      </c>
      <c r="Y74" s="264">
        <v>0</v>
      </c>
      <c r="Z74" s="264">
        <v>0</v>
      </c>
      <c r="AA74" s="59"/>
      <c r="AB74" s="416">
        <v>14</v>
      </c>
    </row>
    <row r="75" spans="1:28" x14ac:dyDescent="0.2">
      <c r="A75" s="166" t="s">
        <v>426</v>
      </c>
      <c r="B75" s="264">
        <v>0</v>
      </c>
      <c r="C75" s="264">
        <v>0</v>
      </c>
      <c r="D75" s="264">
        <v>16</v>
      </c>
      <c r="E75" s="264">
        <v>30</v>
      </c>
      <c r="F75" s="264">
        <v>0</v>
      </c>
      <c r="G75" s="264">
        <v>0</v>
      </c>
      <c r="H75" s="264">
        <v>0</v>
      </c>
      <c r="I75" s="265">
        <f t="shared" si="0"/>
        <v>6.3869407960198998</v>
      </c>
      <c r="J75" s="272" t="s">
        <v>101</v>
      </c>
      <c r="K75" s="267" t="s">
        <v>101</v>
      </c>
      <c r="L75" s="272" t="s">
        <v>101</v>
      </c>
      <c r="M75" s="272" t="s">
        <v>101</v>
      </c>
      <c r="N75" s="272" t="s">
        <v>101</v>
      </c>
      <c r="O75" s="268">
        <f>(14038*0.453592)/996.96</f>
        <v>6.3869407960198998</v>
      </c>
      <c r="P75" s="272" t="s">
        <v>101</v>
      </c>
      <c r="Q75" s="268">
        <f>7019*0.453592/996.96</f>
        <v>3.1934703980099499</v>
      </c>
      <c r="R75" s="264">
        <v>0</v>
      </c>
      <c r="S75" s="264">
        <v>0</v>
      </c>
      <c r="T75" s="264">
        <v>0</v>
      </c>
      <c r="U75" s="264">
        <v>0</v>
      </c>
      <c r="V75" s="264">
        <v>0</v>
      </c>
      <c r="W75" s="264">
        <v>0</v>
      </c>
      <c r="X75" s="264">
        <v>0</v>
      </c>
      <c r="Y75" s="264">
        <v>0</v>
      </c>
      <c r="Z75" s="264">
        <v>0</v>
      </c>
      <c r="AA75" s="59"/>
      <c r="AB75" s="416">
        <v>14</v>
      </c>
    </row>
    <row r="76" spans="1:28" x14ac:dyDescent="0.2">
      <c r="A76" s="166" t="s">
        <v>427</v>
      </c>
      <c r="B76" s="264">
        <v>0</v>
      </c>
      <c r="C76" s="264">
        <v>0</v>
      </c>
      <c r="D76" s="264">
        <v>16</v>
      </c>
      <c r="E76" s="264">
        <v>30</v>
      </c>
      <c r="F76" s="264">
        <v>0</v>
      </c>
      <c r="G76" s="264">
        <v>0</v>
      </c>
      <c r="H76" s="264">
        <v>0</v>
      </c>
      <c r="I76" s="265">
        <f t="shared" si="0"/>
        <v>32.321205348258701</v>
      </c>
      <c r="J76" s="268">
        <f>(71386*0.453592)/996.96</f>
        <v>32.478854228855724</v>
      </c>
      <c r="K76" s="267" t="s">
        <v>101</v>
      </c>
      <c r="L76" s="268">
        <f>(74158*0.453592)/996.96</f>
        <v>33.740045273631836</v>
      </c>
      <c r="M76" s="268">
        <f>(69307*0.453592)/996.96</f>
        <v>31.532960945273629</v>
      </c>
      <c r="N76" s="268">
        <f>(69307*0.453592)/996.96</f>
        <v>31.532960945273629</v>
      </c>
      <c r="O76" s="271" t="s">
        <v>101</v>
      </c>
      <c r="P76" s="272" t="s">
        <v>101</v>
      </c>
      <c r="Q76" s="268">
        <f>34653*0.453592/996.96</f>
        <v>15.766252985074628</v>
      </c>
      <c r="R76" s="264">
        <v>0</v>
      </c>
      <c r="S76" s="264">
        <v>0</v>
      </c>
      <c r="T76" s="264">
        <v>0</v>
      </c>
      <c r="U76" s="264">
        <v>0</v>
      </c>
      <c r="V76" s="264">
        <v>0</v>
      </c>
      <c r="W76" s="264">
        <v>0</v>
      </c>
      <c r="X76" s="264">
        <v>0</v>
      </c>
      <c r="Y76" s="264">
        <v>0</v>
      </c>
      <c r="Z76" s="264">
        <v>0</v>
      </c>
      <c r="AA76" s="59"/>
      <c r="AB76" s="416">
        <v>14</v>
      </c>
    </row>
    <row r="77" spans="1:28" x14ac:dyDescent="0.2">
      <c r="A77" s="166" t="s">
        <v>429</v>
      </c>
      <c r="B77" s="264">
        <v>0</v>
      </c>
      <c r="C77" s="264">
        <v>0</v>
      </c>
      <c r="D77" s="264">
        <v>16</v>
      </c>
      <c r="E77" s="264">
        <v>30</v>
      </c>
      <c r="F77" s="264">
        <v>0</v>
      </c>
      <c r="G77" s="264">
        <v>0</v>
      </c>
      <c r="H77" s="264">
        <v>0</v>
      </c>
      <c r="I77" s="265">
        <f t="shared" si="0"/>
        <v>34.915018532338301</v>
      </c>
      <c r="J77" s="268">
        <f>(77115*0.453592)/996.96</f>
        <v>35.085406716417907</v>
      </c>
      <c r="K77" s="267" t="s">
        <v>101</v>
      </c>
      <c r="L77" s="268">
        <f>(80109*0.453592)/996.96</f>
        <v>36.447602238805963</v>
      </c>
      <c r="M77" s="268">
        <f>(74869*0.453592)/996.96</f>
        <v>34.063532587064671</v>
      </c>
      <c r="N77" s="268">
        <f>(74869*0.453592)/996.96</f>
        <v>34.063532587064671</v>
      </c>
      <c r="O77" s="271" t="s">
        <v>101</v>
      </c>
      <c r="P77" s="271" t="s">
        <v>101</v>
      </c>
      <c r="Q77" s="268">
        <f>37434*0.453592/996.96</f>
        <v>17.03153880597015</v>
      </c>
      <c r="R77" s="264">
        <v>0</v>
      </c>
      <c r="S77" s="264">
        <v>0</v>
      </c>
      <c r="T77" s="264">
        <v>0</v>
      </c>
      <c r="U77" s="264">
        <v>0</v>
      </c>
      <c r="V77" s="264">
        <v>0</v>
      </c>
      <c r="W77" s="264">
        <v>0</v>
      </c>
      <c r="X77" s="264">
        <v>0</v>
      </c>
      <c r="Y77" s="264">
        <v>0</v>
      </c>
      <c r="Z77" s="264">
        <v>0</v>
      </c>
      <c r="AA77" s="59"/>
      <c r="AB77" s="416">
        <v>14</v>
      </c>
    </row>
    <row r="78" spans="1:28" x14ac:dyDescent="0.2">
      <c r="A78" s="166" t="s">
        <v>428</v>
      </c>
      <c r="B78" s="264">
        <v>0</v>
      </c>
      <c r="C78" s="264">
        <v>0</v>
      </c>
      <c r="D78" s="264">
        <v>16</v>
      </c>
      <c r="E78" s="264">
        <v>30</v>
      </c>
      <c r="F78" s="264">
        <v>0</v>
      </c>
      <c r="G78" s="264">
        <v>0</v>
      </c>
      <c r="H78" s="264">
        <v>0</v>
      </c>
      <c r="I78" s="265">
        <f t="shared" si="0"/>
        <v>4.9927832711442779</v>
      </c>
      <c r="J78" s="268">
        <f>(11027*0.453592)/996.96</f>
        <v>5.0170106965174126</v>
      </c>
      <c r="K78" s="267" t="s">
        <v>101</v>
      </c>
      <c r="L78" s="268">
        <f>(11456*0.453592)/996.96</f>
        <v>5.212195024875621</v>
      </c>
      <c r="M78" s="268">
        <f>(10706*0.453592)/996.96</f>
        <v>4.8709636815920394</v>
      </c>
      <c r="N78" s="268">
        <f>(10706*0.453592)/996.96</f>
        <v>4.8709636815920394</v>
      </c>
      <c r="O78" s="271" t="s">
        <v>101</v>
      </c>
      <c r="P78" s="272" t="s">
        <v>101</v>
      </c>
      <c r="Q78" s="268">
        <f>5353*0.453592/996.96</f>
        <v>2.4354818407960197</v>
      </c>
      <c r="R78" s="264">
        <v>0</v>
      </c>
      <c r="S78" s="264">
        <v>0</v>
      </c>
      <c r="T78" s="264">
        <v>0</v>
      </c>
      <c r="U78" s="264">
        <v>0</v>
      </c>
      <c r="V78" s="264">
        <v>0</v>
      </c>
      <c r="W78" s="264">
        <v>0</v>
      </c>
      <c r="X78" s="264">
        <v>0</v>
      </c>
      <c r="Y78" s="264">
        <v>0</v>
      </c>
      <c r="Z78" s="264">
        <v>0</v>
      </c>
      <c r="AA78" s="59"/>
      <c r="AB78" s="416">
        <v>14</v>
      </c>
    </row>
    <row r="79" spans="1:28" x14ac:dyDescent="0.2">
      <c r="A79" s="166" t="s">
        <v>446</v>
      </c>
      <c r="B79" s="264">
        <v>0</v>
      </c>
      <c r="C79" s="264">
        <v>0</v>
      </c>
      <c r="D79" s="264">
        <v>16</v>
      </c>
      <c r="E79" s="264">
        <v>30</v>
      </c>
      <c r="F79" s="264">
        <v>0</v>
      </c>
      <c r="G79" s="264">
        <v>0</v>
      </c>
      <c r="H79" s="264">
        <v>0</v>
      </c>
      <c r="I79" s="265">
        <f t="shared" si="0"/>
        <v>9.5615297263681587</v>
      </c>
      <c r="J79" s="272" t="s">
        <v>101</v>
      </c>
      <c r="K79" s="267" t="s">
        <v>101</v>
      </c>
      <c r="L79" s="268">
        <f>(21726*0.453592)/996.96</f>
        <v>9.8847895522388054</v>
      </c>
      <c r="M79" s="268">
        <f>(20305*0.453592)/996.96</f>
        <v>9.238269900497512</v>
      </c>
      <c r="N79" s="272" t="s">
        <v>101</v>
      </c>
      <c r="O79" s="271" t="s">
        <v>101</v>
      </c>
      <c r="P79" s="272" t="s">
        <v>101</v>
      </c>
      <c r="Q79" s="268">
        <f>10152*0.453592/996.96</f>
        <v>4.6189074626865674</v>
      </c>
      <c r="R79" s="264">
        <v>0</v>
      </c>
      <c r="S79" s="264">
        <v>0</v>
      </c>
      <c r="T79" s="264">
        <v>0</v>
      </c>
      <c r="U79" s="264">
        <v>0</v>
      </c>
      <c r="V79" s="264">
        <v>0</v>
      </c>
      <c r="W79" s="264">
        <v>0</v>
      </c>
      <c r="X79" s="264">
        <v>0</v>
      </c>
      <c r="Y79" s="264">
        <v>0</v>
      </c>
      <c r="Z79" s="264">
        <v>0</v>
      </c>
      <c r="AA79" s="59"/>
      <c r="AB79" s="416">
        <v>14</v>
      </c>
    </row>
    <row r="80" spans="1:28" x14ac:dyDescent="0.2">
      <c r="A80" s="166" t="s">
        <v>432</v>
      </c>
      <c r="B80" s="264">
        <v>0</v>
      </c>
      <c r="C80" s="264">
        <v>0</v>
      </c>
      <c r="D80" s="264">
        <v>16</v>
      </c>
      <c r="E80" s="264">
        <v>30</v>
      </c>
      <c r="F80" s="264">
        <v>0</v>
      </c>
      <c r="G80" s="264">
        <v>0</v>
      </c>
      <c r="H80" s="264">
        <v>0</v>
      </c>
      <c r="I80" s="265">
        <f t="shared" ref="I80:I94" si="2">AVERAGE(J80:P80)</f>
        <v>15.752262499999997</v>
      </c>
      <c r="J80" s="268">
        <f>(34791*0.453592)/996.96</f>
        <v>15.829039552238804</v>
      </c>
      <c r="K80" s="267" t="s">
        <v>101</v>
      </c>
      <c r="L80" s="268">
        <f>(36142*0.453592)/996.96</f>
        <v>16.443710945273633</v>
      </c>
      <c r="M80" s="268">
        <f>(33778*0.453592)/996.96</f>
        <v>15.368149751243781</v>
      </c>
      <c r="N80" s="268">
        <f>(33778*0.453592)/996.96</f>
        <v>15.368149751243781</v>
      </c>
      <c r="O80" s="271" t="s">
        <v>101</v>
      </c>
      <c r="P80" s="272" t="s">
        <v>101</v>
      </c>
      <c r="Q80" s="268">
        <f>16889*0.453592/996.96</f>
        <v>7.6840748756218904</v>
      </c>
      <c r="R80" s="264">
        <v>0</v>
      </c>
      <c r="S80" s="264">
        <v>0</v>
      </c>
      <c r="T80" s="264">
        <v>0</v>
      </c>
      <c r="U80" s="264">
        <v>0</v>
      </c>
      <c r="V80" s="264">
        <v>0</v>
      </c>
      <c r="W80" s="264">
        <v>0</v>
      </c>
      <c r="X80" s="264">
        <v>0</v>
      </c>
      <c r="Y80" s="264">
        <v>0</v>
      </c>
      <c r="Z80" s="264">
        <v>0</v>
      </c>
      <c r="AA80" s="59"/>
      <c r="AB80" s="416">
        <v>14</v>
      </c>
    </row>
    <row r="81" spans="1:28" x14ac:dyDescent="0.2">
      <c r="A81" s="166" t="s">
        <v>430</v>
      </c>
      <c r="B81" s="264">
        <v>0</v>
      </c>
      <c r="C81" s="264">
        <v>0</v>
      </c>
      <c r="D81" s="264">
        <v>16</v>
      </c>
      <c r="E81" s="264">
        <v>30</v>
      </c>
      <c r="F81" s="264">
        <v>0</v>
      </c>
      <c r="G81" s="264">
        <v>0</v>
      </c>
      <c r="H81" s="264">
        <v>0</v>
      </c>
      <c r="I81" s="265">
        <f t="shared" si="2"/>
        <v>41.897862997512433</v>
      </c>
      <c r="J81" s="268">
        <f>(92538*0.453592)/996.96</f>
        <v>42.102488059701493</v>
      </c>
      <c r="K81" s="267" t="s">
        <v>101</v>
      </c>
      <c r="L81" s="268">
        <f>(96131*0.453592)/996.96</f>
        <v>43.737213681592038</v>
      </c>
      <c r="M81" s="268">
        <f>(89842*0.453592)/996.96</f>
        <v>40.875875124378105</v>
      </c>
      <c r="N81" s="268">
        <f>(89842*0.453592)/996.96</f>
        <v>40.875875124378105</v>
      </c>
      <c r="O81" s="271" t="s">
        <v>101</v>
      </c>
      <c r="P81" s="272" t="s">
        <v>101</v>
      </c>
      <c r="Q81" s="268">
        <f>44921*0.453592/996.96</f>
        <v>20.437937562189052</v>
      </c>
      <c r="R81" s="264">
        <v>0</v>
      </c>
      <c r="S81" s="264">
        <v>0</v>
      </c>
      <c r="T81" s="264">
        <v>0</v>
      </c>
      <c r="U81" s="264">
        <v>0</v>
      </c>
      <c r="V81" s="264">
        <v>0</v>
      </c>
      <c r="W81" s="264">
        <v>0</v>
      </c>
      <c r="X81" s="264">
        <v>0</v>
      </c>
      <c r="Y81" s="264">
        <v>0</v>
      </c>
      <c r="Z81" s="264">
        <v>0</v>
      </c>
      <c r="AA81" s="59"/>
      <c r="AB81" s="416">
        <v>14</v>
      </c>
    </row>
    <row r="82" spans="1:28" x14ac:dyDescent="0.2">
      <c r="A82" s="166" t="s">
        <v>199</v>
      </c>
      <c r="B82" s="269">
        <v>295</v>
      </c>
      <c r="C82" s="269">
        <v>17</v>
      </c>
      <c r="D82" s="269">
        <v>16</v>
      </c>
      <c r="E82" s="269">
        <v>30</v>
      </c>
      <c r="F82" s="269">
        <v>2E-3</v>
      </c>
      <c r="G82" s="269">
        <v>0.08</v>
      </c>
      <c r="H82" s="269">
        <v>43.1</v>
      </c>
      <c r="I82" s="265">
        <f t="shared" si="2"/>
        <v>22.706443532338305</v>
      </c>
      <c r="J82" s="268">
        <f>(50150*0.453592)/996.96</f>
        <v>22.817002487562188</v>
      </c>
      <c r="K82" s="267" t="s">
        <v>101</v>
      </c>
      <c r="L82" s="268">
        <f>(52098*0.453592)/996.96</f>
        <v>23.703294029850746</v>
      </c>
      <c r="M82" s="268">
        <f>(48690*0.453592)/996.96</f>
        <v>22.152738805970149</v>
      </c>
      <c r="N82" s="268">
        <f>(48690*0.453592)/996.96</f>
        <v>22.152738805970149</v>
      </c>
      <c r="O82" s="271" t="s">
        <v>101</v>
      </c>
      <c r="P82" s="272" t="s">
        <v>101</v>
      </c>
      <c r="Q82" s="268">
        <f>24345*0.453592/996.96</f>
        <v>11.076369402985074</v>
      </c>
      <c r="R82" s="269">
        <v>402</v>
      </c>
      <c r="S82" s="269">
        <v>0</v>
      </c>
      <c r="T82" s="269">
        <v>337</v>
      </c>
      <c r="U82" s="269">
        <v>0.2</v>
      </c>
      <c r="V82" s="269">
        <v>0.1</v>
      </c>
      <c r="W82" s="269">
        <v>0.2</v>
      </c>
      <c r="X82" s="269">
        <v>1.6999999999999999E-3</v>
      </c>
      <c r="Y82" s="273">
        <v>0.67</v>
      </c>
      <c r="Z82" s="269">
        <v>10.5</v>
      </c>
      <c r="AA82" s="59"/>
      <c r="AB82" s="416">
        <v>14</v>
      </c>
    </row>
    <row r="83" spans="1:28" x14ac:dyDescent="0.2">
      <c r="A83" s="166" t="s">
        <v>431</v>
      </c>
      <c r="B83" s="264">
        <v>0</v>
      </c>
      <c r="C83" s="264">
        <v>0</v>
      </c>
      <c r="D83" s="269">
        <v>16</v>
      </c>
      <c r="E83" s="264">
        <v>30</v>
      </c>
      <c r="F83" s="264">
        <v>0</v>
      </c>
      <c r="G83" s="264">
        <v>0</v>
      </c>
      <c r="H83" s="264">
        <v>0</v>
      </c>
      <c r="I83" s="265">
        <f t="shared" si="2"/>
        <v>8.4611723880597012</v>
      </c>
      <c r="J83" s="272" t="s">
        <v>101</v>
      </c>
      <c r="K83" s="267" t="s">
        <v>101</v>
      </c>
      <c r="L83" s="268">
        <f>(19226*0.453592)/996.96</f>
        <v>8.7473517412935333</v>
      </c>
      <c r="M83" s="268">
        <f>(17968*0.453592)/996.96</f>
        <v>8.174993034825869</v>
      </c>
      <c r="N83" s="272" t="s">
        <v>101</v>
      </c>
      <c r="O83" s="271" t="s">
        <v>101</v>
      </c>
      <c r="P83" s="272" t="s">
        <v>101</v>
      </c>
      <c r="Q83" s="268">
        <f>8984*0.453592/996.96</f>
        <v>4.0874965174129345</v>
      </c>
      <c r="R83" s="264">
        <v>0</v>
      </c>
      <c r="S83" s="264">
        <v>0</v>
      </c>
      <c r="T83" s="264">
        <v>0</v>
      </c>
      <c r="U83" s="264">
        <v>0</v>
      </c>
      <c r="V83" s="264">
        <v>0</v>
      </c>
      <c r="W83" s="264">
        <v>0</v>
      </c>
      <c r="X83" s="264">
        <v>0</v>
      </c>
      <c r="Y83" s="264">
        <v>0</v>
      </c>
      <c r="Z83" s="264">
        <v>0</v>
      </c>
      <c r="AA83" s="59"/>
      <c r="AB83" s="416">
        <v>14</v>
      </c>
    </row>
    <row r="84" spans="1:28" x14ac:dyDescent="0.2">
      <c r="A84" s="166" t="s">
        <v>433</v>
      </c>
      <c r="B84" s="264">
        <v>0</v>
      </c>
      <c r="C84" s="264">
        <v>0</v>
      </c>
      <c r="D84" s="264">
        <v>16</v>
      </c>
      <c r="E84" s="264">
        <v>30</v>
      </c>
      <c r="F84" s="264">
        <v>0</v>
      </c>
      <c r="G84" s="264">
        <v>0</v>
      </c>
      <c r="H84" s="264">
        <v>0</v>
      </c>
      <c r="I84" s="265">
        <f t="shared" si="2"/>
        <v>6.2845713930348257</v>
      </c>
      <c r="J84" s="268">
        <f>(13880*0.453592)/996.96</f>
        <v>6.3150547263681593</v>
      </c>
      <c r="K84" s="267" t="s">
        <v>101</v>
      </c>
      <c r="L84" s="268">
        <f>(14420*0.453592)/996.96</f>
        <v>6.5607412935323373</v>
      </c>
      <c r="M84" s="268">
        <f>(13476*0.453592)/996.96</f>
        <v>6.1312447761194031</v>
      </c>
      <c r="N84" s="268">
        <f>(13476*0.453592)/996.96</f>
        <v>6.1312447761194031</v>
      </c>
      <c r="O84" s="271" t="s">
        <v>101</v>
      </c>
      <c r="P84" s="272" t="s">
        <v>101</v>
      </c>
      <c r="Q84" s="268">
        <f>6738*0.453592/996.96</f>
        <v>3.0656223880597016</v>
      </c>
      <c r="R84" s="264">
        <v>0</v>
      </c>
      <c r="S84" s="264">
        <v>0</v>
      </c>
      <c r="T84" s="264">
        <v>0</v>
      </c>
      <c r="U84" s="264">
        <v>0</v>
      </c>
      <c r="V84" s="264">
        <v>0</v>
      </c>
      <c r="W84" s="264">
        <v>0</v>
      </c>
      <c r="X84" s="264">
        <v>0</v>
      </c>
      <c r="Y84" s="264">
        <v>0</v>
      </c>
      <c r="Z84" s="264">
        <v>0</v>
      </c>
      <c r="AA84" s="59"/>
      <c r="AB84" s="416">
        <v>14</v>
      </c>
    </row>
    <row r="85" spans="1:28" x14ac:dyDescent="0.2">
      <c r="A85" s="166" t="s">
        <v>181</v>
      </c>
      <c r="B85" s="269">
        <v>255</v>
      </c>
      <c r="C85" s="269">
        <v>11</v>
      </c>
      <c r="D85" s="269">
        <v>12</v>
      </c>
      <c r="E85" s="269">
        <v>85</v>
      </c>
      <c r="F85" s="269">
        <v>4.2000000000000003E-2</v>
      </c>
      <c r="G85" s="269">
        <v>0.08</v>
      </c>
      <c r="H85" s="269">
        <v>10.8</v>
      </c>
      <c r="I85" s="265">
        <f t="shared" si="2"/>
        <v>7.3721135986732991</v>
      </c>
      <c r="J85" s="268">
        <f>(16151*0.453592)/996.96</f>
        <v>7.3483032338308449</v>
      </c>
      <c r="K85" s="267" t="s">
        <v>101</v>
      </c>
      <c r="L85" s="268">
        <f>(16778*0.453592)/996.96</f>
        <v>7.6335726368159209</v>
      </c>
      <c r="M85" s="268">
        <f>(15681*0.453592)/996.96</f>
        <v>7.134464925373134</v>
      </c>
      <c r="N85" s="272" t="s">
        <v>101</v>
      </c>
      <c r="O85" s="271" t="s">
        <v>101</v>
      </c>
      <c r="P85" s="272" t="s">
        <v>101</v>
      </c>
      <c r="Q85" s="268">
        <f>7840*0.453592/996.96</f>
        <v>3.567004975124378</v>
      </c>
      <c r="R85" s="269">
        <v>198</v>
      </c>
      <c r="S85" s="269">
        <v>0.5</v>
      </c>
      <c r="T85" s="269">
        <v>382</v>
      </c>
      <c r="U85" s="269">
        <v>0.3</v>
      </c>
      <c r="V85" s="269">
        <v>0.2</v>
      </c>
      <c r="W85" s="269">
        <v>0.2</v>
      </c>
      <c r="X85" s="269">
        <v>6.0000000000000001E-3</v>
      </c>
      <c r="Y85" s="273">
        <v>0.33</v>
      </c>
      <c r="Z85" s="269">
        <v>24.1</v>
      </c>
      <c r="AA85" s="59"/>
      <c r="AB85" s="416">
        <v>14</v>
      </c>
    </row>
    <row r="86" spans="1:28" x14ac:dyDescent="0.2">
      <c r="A86" s="166" t="s">
        <v>179</v>
      </c>
      <c r="B86" s="269">
        <v>250</v>
      </c>
      <c r="C86" s="269">
        <v>10.8</v>
      </c>
      <c r="D86" s="269">
        <v>12</v>
      </c>
      <c r="E86" s="269">
        <v>68</v>
      </c>
      <c r="F86" s="269">
        <v>0.10100000000000001</v>
      </c>
      <c r="G86" s="269">
        <v>0.1</v>
      </c>
      <c r="H86" s="269">
        <v>10.8</v>
      </c>
      <c r="I86" s="265" t="e">
        <f t="shared" si="2"/>
        <v>#DIV/0!</v>
      </c>
      <c r="J86" s="272" t="s">
        <v>101</v>
      </c>
      <c r="K86" s="267" t="s">
        <v>101</v>
      </c>
      <c r="L86" s="272" t="s">
        <v>101</v>
      </c>
      <c r="M86" s="272" t="s">
        <v>101</v>
      </c>
      <c r="N86" s="272" t="s">
        <v>101</v>
      </c>
      <c r="O86" s="272" t="s">
        <v>101</v>
      </c>
      <c r="P86" s="272" t="s">
        <v>101</v>
      </c>
      <c r="Q86" s="272" t="s">
        <v>101</v>
      </c>
      <c r="R86" s="269">
        <v>150</v>
      </c>
      <c r="S86" s="269">
        <v>1</v>
      </c>
      <c r="T86" s="269">
        <v>876</v>
      </c>
      <c r="U86" s="269">
        <v>0.3</v>
      </c>
      <c r="V86" s="269">
        <v>0.8</v>
      </c>
      <c r="W86" s="269">
        <v>0.2</v>
      </c>
      <c r="X86" s="269">
        <v>1.4800000000000001E-2</v>
      </c>
      <c r="Y86" s="273">
        <v>0.25</v>
      </c>
      <c r="Z86" s="269">
        <v>58.4</v>
      </c>
      <c r="AA86" s="59"/>
      <c r="AB86" s="416">
        <v>14</v>
      </c>
    </row>
    <row r="87" spans="1:28" x14ac:dyDescent="0.2">
      <c r="A87" s="166" t="s">
        <v>434</v>
      </c>
      <c r="B87" s="264">
        <v>0</v>
      </c>
      <c r="C87" s="264">
        <v>0</v>
      </c>
      <c r="D87" s="264">
        <v>16</v>
      </c>
      <c r="E87" s="264">
        <v>30</v>
      </c>
      <c r="F87" s="264">
        <v>0</v>
      </c>
      <c r="G87" s="264">
        <v>0</v>
      </c>
      <c r="H87" s="264">
        <v>0</v>
      </c>
      <c r="I87" s="265">
        <f t="shared" si="2"/>
        <v>8.2981775497512444</v>
      </c>
      <c r="J87" s="268">
        <f>(18328*0.453592)/996.96</f>
        <v>8.3387840796019912</v>
      </c>
      <c r="K87" s="267" t="s">
        <v>101</v>
      </c>
      <c r="L87" s="268">
        <f>(19039*0.453592)/996.96</f>
        <v>8.6622713930348265</v>
      </c>
      <c r="M87" s="268">
        <f>(17794*0.453592)/996.96</f>
        <v>8.09582736318408</v>
      </c>
      <c r="N87" s="268">
        <f>(17794*0.453592)/996.96</f>
        <v>8.09582736318408</v>
      </c>
      <c r="O87" s="271" t="s">
        <v>101</v>
      </c>
      <c r="P87" s="272" t="s">
        <v>101</v>
      </c>
      <c r="Q87" s="268">
        <f>8897*0.453592/996.96</f>
        <v>4.04791368159204</v>
      </c>
      <c r="R87" s="264">
        <v>0</v>
      </c>
      <c r="S87" s="264">
        <v>0</v>
      </c>
      <c r="T87" s="264">
        <v>0</v>
      </c>
      <c r="U87" s="264">
        <v>0</v>
      </c>
      <c r="V87" s="264">
        <v>0</v>
      </c>
      <c r="W87" s="264">
        <v>0</v>
      </c>
      <c r="X87" s="264">
        <v>0</v>
      </c>
      <c r="Y87" s="264">
        <v>0</v>
      </c>
      <c r="Z87" s="264">
        <v>0</v>
      </c>
      <c r="AA87" s="59"/>
      <c r="AB87" s="416">
        <v>14</v>
      </c>
    </row>
    <row r="88" spans="1:28" x14ac:dyDescent="0.2">
      <c r="A88" s="166" t="s">
        <v>435</v>
      </c>
      <c r="B88" s="264">
        <v>0</v>
      </c>
      <c r="C88" s="264">
        <v>0</v>
      </c>
      <c r="D88" s="264">
        <v>16</v>
      </c>
      <c r="E88" s="264">
        <v>30</v>
      </c>
      <c r="F88" s="264">
        <v>0</v>
      </c>
      <c r="G88" s="264">
        <v>0</v>
      </c>
      <c r="H88" s="264">
        <v>0</v>
      </c>
      <c r="I88" s="265">
        <f t="shared" si="2"/>
        <v>18.394189303482587</v>
      </c>
      <c r="J88" s="272" t="s">
        <v>101</v>
      </c>
      <c r="K88" s="267" t="s">
        <v>101</v>
      </c>
      <c r="L88" s="272" t="s">
        <v>101</v>
      </c>
      <c r="M88" s="268">
        <f>(40429*0.453592)/996.96</f>
        <v>18.394189303482587</v>
      </c>
      <c r="N88" s="272" t="s">
        <v>101</v>
      </c>
      <c r="O88" s="271" t="s">
        <v>101</v>
      </c>
      <c r="P88" s="272" t="s">
        <v>101</v>
      </c>
      <c r="Q88" s="268">
        <f>20215*0.453592/996.96</f>
        <v>9.1973221393034823</v>
      </c>
      <c r="R88" s="264">
        <v>0</v>
      </c>
      <c r="S88" s="264">
        <v>0</v>
      </c>
      <c r="T88" s="264">
        <v>0</v>
      </c>
      <c r="U88" s="264">
        <v>0</v>
      </c>
      <c r="V88" s="264">
        <v>0</v>
      </c>
      <c r="W88" s="264">
        <v>0</v>
      </c>
      <c r="X88" s="264">
        <v>0</v>
      </c>
      <c r="Y88" s="264">
        <v>0</v>
      </c>
      <c r="Z88" s="264">
        <v>0</v>
      </c>
      <c r="AA88" s="59"/>
      <c r="AB88" s="416">
        <v>14</v>
      </c>
    </row>
    <row r="89" spans="1:28" x14ac:dyDescent="0.2">
      <c r="A89" s="166" t="s">
        <v>438</v>
      </c>
      <c r="B89" s="264">
        <v>0</v>
      </c>
      <c r="C89" s="264">
        <v>0</v>
      </c>
      <c r="D89" s="264">
        <v>16</v>
      </c>
      <c r="E89" s="264">
        <v>30</v>
      </c>
      <c r="F89" s="264">
        <v>0</v>
      </c>
      <c r="G89" s="264">
        <v>0</v>
      </c>
      <c r="H89" s="264">
        <v>0</v>
      </c>
      <c r="I89" s="265">
        <f t="shared" si="2"/>
        <v>57.32140597014925</v>
      </c>
      <c r="J89" s="271" t="s">
        <v>101</v>
      </c>
      <c r="K89" s="267" t="s">
        <v>101</v>
      </c>
      <c r="L89" s="271" t="s">
        <v>101</v>
      </c>
      <c r="M89" s="271" t="s">
        <v>101</v>
      </c>
      <c r="N89" s="271" t="s">
        <v>101</v>
      </c>
      <c r="O89" s="268">
        <f>(125988*0.453592)/996.96</f>
        <v>57.32140597014925</v>
      </c>
      <c r="P89" s="268">
        <f>(125988*0.453592)/996.96</f>
        <v>57.32140597014925</v>
      </c>
      <c r="Q89" s="268">
        <f>62994*0.453592/996.96</f>
        <v>28.660702985074625</v>
      </c>
      <c r="R89" s="264">
        <v>0</v>
      </c>
      <c r="S89" s="264">
        <v>0</v>
      </c>
      <c r="T89" s="264">
        <v>0</v>
      </c>
      <c r="U89" s="264">
        <v>0</v>
      </c>
      <c r="V89" s="264">
        <v>0</v>
      </c>
      <c r="W89" s="264">
        <v>0</v>
      </c>
      <c r="X89" s="264">
        <v>0</v>
      </c>
      <c r="Y89" s="264">
        <v>0</v>
      </c>
      <c r="Z89" s="264">
        <v>0</v>
      </c>
      <c r="AA89" s="59"/>
      <c r="AB89" s="416">
        <v>14</v>
      </c>
    </row>
    <row r="90" spans="1:28" x14ac:dyDescent="0.2">
      <c r="A90" s="166" t="s">
        <v>460</v>
      </c>
      <c r="B90" s="269">
        <v>313</v>
      </c>
      <c r="C90" s="269">
        <v>13.5</v>
      </c>
      <c r="D90" s="269">
        <v>12</v>
      </c>
      <c r="E90" s="269">
        <v>75</v>
      </c>
      <c r="F90" s="269">
        <v>0.29099999999999998</v>
      </c>
      <c r="G90" s="269">
        <v>0.06</v>
      </c>
      <c r="H90" s="269">
        <v>4.8</v>
      </c>
      <c r="I90" s="265">
        <f t="shared" si="2"/>
        <v>62.605487064676609</v>
      </c>
      <c r="J90" s="271" t="s">
        <v>101</v>
      </c>
      <c r="K90" s="267" t="s">
        <v>101</v>
      </c>
      <c r="L90" s="271" t="s">
        <v>101</v>
      </c>
      <c r="M90" s="271" t="s">
        <v>101</v>
      </c>
      <c r="N90" s="271" t="s">
        <v>101</v>
      </c>
      <c r="O90" s="268">
        <f>(137602*0.453592)/996.96</f>
        <v>62.605487064676609</v>
      </c>
      <c r="P90" s="268">
        <f>(137602*0.453592)/996.96</f>
        <v>62.605487064676609</v>
      </c>
      <c r="Q90" s="268">
        <f>68801*0.453592/996.96</f>
        <v>31.302743532338305</v>
      </c>
      <c r="R90" s="269">
        <v>300</v>
      </c>
      <c r="S90" s="269">
        <v>4.9000000000000004</v>
      </c>
      <c r="T90" s="269">
        <v>2036</v>
      </c>
      <c r="U90" s="269">
        <v>0.5</v>
      </c>
      <c r="V90" s="269">
        <v>1.2</v>
      </c>
      <c r="W90" s="269">
        <v>0.2</v>
      </c>
      <c r="X90" s="269">
        <v>2.4199999999999999E-2</v>
      </c>
      <c r="Y90" s="273">
        <v>0.5</v>
      </c>
      <c r="Z90" s="269">
        <v>113.1</v>
      </c>
      <c r="AA90" s="59"/>
      <c r="AB90" s="416">
        <v>14</v>
      </c>
    </row>
    <row r="91" spans="1:28" x14ac:dyDescent="0.2">
      <c r="A91" s="166" t="s">
        <v>461</v>
      </c>
      <c r="B91" s="264">
        <v>0</v>
      </c>
      <c r="C91" s="264">
        <v>0</v>
      </c>
      <c r="D91" s="264">
        <v>16</v>
      </c>
      <c r="E91" s="264">
        <v>30</v>
      </c>
      <c r="F91" s="264">
        <v>0</v>
      </c>
      <c r="G91" s="264">
        <v>0</v>
      </c>
      <c r="H91" s="264">
        <v>0</v>
      </c>
      <c r="I91" s="265">
        <f t="shared" si="2"/>
        <v>11.062265174129353</v>
      </c>
      <c r="J91" s="271" t="s">
        <v>101</v>
      </c>
      <c r="K91" s="267" t="s">
        <v>101</v>
      </c>
      <c r="L91" s="268">
        <f>(25136*0.453592)/996.96</f>
        <v>11.436254726368158</v>
      </c>
      <c r="M91" s="268">
        <f>(23492*0.453592)/996.96</f>
        <v>10.688275621890547</v>
      </c>
      <c r="N91" s="271" t="s">
        <v>101</v>
      </c>
      <c r="O91" s="271" t="s">
        <v>101</v>
      </c>
      <c r="P91" s="272" t="s">
        <v>101</v>
      </c>
      <c r="Q91" s="268">
        <f>11746*0.453592/996.96</f>
        <v>5.3441378109452735</v>
      </c>
      <c r="R91" s="264">
        <v>0</v>
      </c>
      <c r="S91" s="264">
        <v>0</v>
      </c>
      <c r="T91" s="264">
        <v>0</v>
      </c>
      <c r="U91" s="264">
        <v>0</v>
      </c>
      <c r="V91" s="264">
        <v>0</v>
      </c>
      <c r="W91" s="264">
        <v>0</v>
      </c>
      <c r="X91" s="264">
        <v>0</v>
      </c>
      <c r="Y91" s="264">
        <v>0</v>
      </c>
      <c r="Z91" s="264">
        <v>0</v>
      </c>
      <c r="AA91" s="59"/>
      <c r="AB91" s="416">
        <v>14</v>
      </c>
    </row>
    <row r="92" spans="1:28" x14ac:dyDescent="0.2">
      <c r="A92" s="166" t="s">
        <v>384</v>
      </c>
      <c r="B92" s="264">
        <v>0</v>
      </c>
      <c r="C92" s="264">
        <v>0</v>
      </c>
      <c r="D92" s="264">
        <v>16</v>
      </c>
      <c r="E92" s="264">
        <v>30</v>
      </c>
      <c r="F92" s="264">
        <v>0</v>
      </c>
      <c r="G92" s="264">
        <v>0</v>
      </c>
      <c r="H92" s="264">
        <v>0</v>
      </c>
      <c r="I92" s="265">
        <f t="shared" si="2"/>
        <v>12.9173125</v>
      </c>
      <c r="J92" s="268">
        <f>(28523*0.453592)/996.96</f>
        <v>12.977255472636815</v>
      </c>
      <c r="K92" s="267" t="s">
        <v>101</v>
      </c>
      <c r="L92" s="268">
        <f>(29640*0.453592)/996.96</f>
        <v>13.485462686567164</v>
      </c>
      <c r="M92" s="268">
        <f>(27701*0.453592)/996.96</f>
        <v>12.603265920398009</v>
      </c>
      <c r="N92" s="268">
        <f>(27701*0.453592)/996.96</f>
        <v>12.603265920398009</v>
      </c>
      <c r="O92" s="271" t="s">
        <v>101</v>
      </c>
      <c r="P92" s="272" t="s">
        <v>101</v>
      </c>
      <c r="Q92" s="268">
        <f>13851*0.453592/996.96</f>
        <v>6.3018604477611939</v>
      </c>
      <c r="R92" s="264">
        <v>0</v>
      </c>
      <c r="S92" s="264">
        <v>0</v>
      </c>
      <c r="T92" s="264">
        <v>0</v>
      </c>
      <c r="U92" s="264">
        <v>0</v>
      </c>
      <c r="V92" s="264">
        <v>0</v>
      </c>
      <c r="W92" s="264">
        <v>0</v>
      </c>
      <c r="X92" s="264">
        <v>0</v>
      </c>
      <c r="Y92" s="264">
        <v>0</v>
      </c>
      <c r="Z92" s="264">
        <v>0</v>
      </c>
      <c r="AA92" s="59"/>
      <c r="AB92" s="416">
        <v>14</v>
      </c>
    </row>
    <row r="93" spans="1:28" x14ac:dyDescent="0.2">
      <c r="A93" s="166" t="s">
        <v>437</v>
      </c>
      <c r="B93" s="269">
        <v>350</v>
      </c>
      <c r="C93" s="269">
        <v>15.1</v>
      </c>
      <c r="D93" s="269">
        <v>12</v>
      </c>
      <c r="E93" s="269">
        <v>85</v>
      </c>
      <c r="F93" s="269">
        <v>0.96</v>
      </c>
      <c r="G93" s="269">
        <v>0.08</v>
      </c>
      <c r="H93" s="269">
        <v>0.7</v>
      </c>
      <c r="I93" s="265">
        <f t="shared" si="2"/>
        <v>4.5047087064676612</v>
      </c>
      <c r="J93" s="271" t="s">
        <v>101</v>
      </c>
      <c r="K93" s="267" t="s">
        <v>101</v>
      </c>
      <c r="L93" s="271" t="s">
        <v>101</v>
      </c>
      <c r="M93" s="271" t="s">
        <v>101</v>
      </c>
      <c r="N93" s="271" t="s">
        <v>101</v>
      </c>
      <c r="O93" s="268">
        <f>(9901*0.453592)/996.96</f>
        <v>4.5047087064676612</v>
      </c>
      <c r="P93" s="268">
        <f>(9901*0.453592)/996.96</f>
        <v>4.5047087064676612</v>
      </c>
      <c r="Q93" s="268">
        <f>4950*0.453592/996.96</f>
        <v>2.252126865671642</v>
      </c>
      <c r="R93" s="269">
        <v>198</v>
      </c>
      <c r="S93" s="269">
        <v>12</v>
      </c>
      <c r="T93" s="269">
        <v>549</v>
      </c>
      <c r="U93" s="269">
        <v>1.2</v>
      </c>
      <c r="V93" s="269">
        <v>0.6</v>
      </c>
      <c r="W93" s="269">
        <v>0.3</v>
      </c>
      <c r="X93" s="269">
        <v>6.3E-3</v>
      </c>
      <c r="Y93" s="273">
        <v>0.33</v>
      </c>
      <c r="Z93" s="269">
        <v>34.700000000000003</v>
      </c>
      <c r="AA93" s="59"/>
      <c r="AB93" s="416">
        <v>14</v>
      </c>
    </row>
    <row r="94" spans="1:28" x14ac:dyDescent="0.2">
      <c r="A94" s="166" t="s">
        <v>459</v>
      </c>
      <c r="B94" s="264">
        <v>0</v>
      </c>
      <c r="C94" s="264">
        <v>0</v>
      </c>
      <c r="D94" s="264">
        <v>12</v>
      </c>
      <c r="E94" s="264">
        <v>85</v>
      </c>
      <c r="F94" s="264">
        <v>0</v>
      </c>
      <c r="G94" s="264">
        <v>0</v>
      </c>
      <c r="H94" s="264">
        <v>0</v>
      </c>
      <c r="I94" s="265">
        <f t="shared" si="2"/>
        <v>7.7700651741293525</v>
      </c>
      <c r="J94" s="273" t="s">
        <v>101</v>
      </c>
      <c r="K94" s="267" t="s">
        <v>101</v>
      </c>
      <c r="L94" s="273" t="s">
        <v>101</v>
      </c>
      <c r="M94" s="273" t="s">
        <v>101</v>
      </c>
      <c r="N94" s="273" t="s">
        <v>101</v>
      </c>
      <c r="O94" s="273">
        <f>(17078*0.453592)/996.96</f>
        <v>7.7700651741293525</v>
      </c>
      <c r="P94" s="273">
        <f>(17078*0.453592)/996.96</f>
        <v>7.7700651741293525</v>
      </c>
      <c r="Q94" s="268">
        <f>8539*0.453592/996.96</f>
        <v>3.8850325870646762</v>
      </c>
      <c r="R94" s="264">
        <v>0</v>
      </c>
      <c r="S94" s="264">
        <v>0</v>
      </c>
      <c r="T94" s="264">
        <v>0</v>
      </c>
      <c r="U94" s="264">
        <v>0</v>
      </c>
      <c r="V94" s="264">
        <v>0</v>
      </c>
      <c r="W94" s="264">
        <v>0</v>
      </c>
      <c r="X94" s="264">
        <v>0</v>
      </c>
      <c r="Y94" s="264">
        <v>0</v>
      </c>
      <c r="Z94" s="264">
        <v>0</v>
      </c>
      <c r="AA94" s="59"/>
      <c r="AB94" s="416">
        <v>14</v>
      </c>
    </row>
    <row r="95" spans="1:28" x14ac:dyDescent="0.2">
      <c r="A95" s="58"/>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8" ht="34" x14ac:dyDescent="0.2">
      <c r="A96" s="215" t="s">
        <v>317</v>
      </c>
      <c r="B96" s="249" t="s">
        <v>476</v>
      </c>
      <c r="C96" s="249" t="s">
        <v>477</v>
      </c>
      <c r="D96" s="249" t="s">
        <v>478</v>
      </c>
      <c r="E96" s="249" t="s">
        <v>479</v>
      </c>
      <c r="F96" s="410" t="s">
        <v>983</v>
      </c>
      <c r="G96" s="249" t="s">
        <v>480</v>
      </c>
      <c r="H96" s="286" t="s">
        <v>697</v>
      </c>
      <c r="I96" s="249" t="s">
        <v>698</v>
      </c>
      <c r="J96" s="249" t="s">
        <v>343</v>
      </c>
      <c r="K96" s="59"/>
      <c r="L96" s="59"/>
      <c r="M96" s="59"/>
      <c r="N96" s="59"/>
      <c r="O96" s="59"/>
      <c r="P96" s="59"/>
      <c r="Q96" s="59"/>
      <c r="R96" s="59"/>
      <c r="S96" s="59"/>
      <c r="T96" s="59"/>
      <c r="U96" s="59"/>
      <c r="V96" s="59"/>
      <c r="W96" s="59"/>
      <c r="X96" s="59"/>
      <c r="Y96" s="59"/>
      <c r="Z96" s="59"/>
      <c r="AA96" s="59"/>
    </row>
    <row r="97" spans="1:27" x14ac:dyDescent="0.2">
      <c r="A97" s="166" t="s">
        <v>226</v>
      </c>
      <c r="B97" s="287">
        <v>1</v>
      </c>
      <c r="C97" s="411" t="s">
        <v>984</v>
      </c>
      <c r="D97" s="249">
        <f>(((1/3)*1.686)+0.4)*(5.823+1.22+0.61)</f>
        <v>7.3621860000000003</v>
      </c>
      <c r="E97" s="287">
        <f>180*2</f>
        <v>360</v>
      </c>
      <c r="F97" s="170">
        <f>5.02*2.4384*2</f>
        <v>24.481535999999998</v>
      </c>
      <c r="G97" s="287">
        <v>0</v>
      </c>
      <c r="H97" s="287">
        <v>0</v>
      </c>
      <c r="I97" s="287">
        <v>0</v>
      </c>
      <c r="J97" s="288" t="s">
        <v>688</v>
      </c>
      <c r="K97" s="59"/>
      <c r="L97" s="59"/>
      <c r="M97" s="59"/>
      <c r="N97" s="59"/>
      <c r="O97" s="59"/>
      <c r="P97" s="59"/>
      <c r="Q97" s="59"/>
      <c r="R97" s="59"/>
      <c r="S97" s="59"/>
      <c r="T97" s="59"/>
      <c r="U97" s="59"/>
      <c r="V97" s="59"/>
      <c r="W97" s="59"/>
      <c r="X97" s="59"/>
      <c r="Y97" s="59"/>
      <c r="Z97" s="59"/>
      <c r="AA97" s="59"/>
    </row>
    <row r="98" spans="1:27" x14ac:dyDescent="0.2">
      <c r="A98" s="166" t="s">
        <v>227</v>
      </c>
      <c r="B98" s="287">
        <v>1</v>
      </c>
      <c r="C98" s="287">
        <v>0</v>
      </c>
      <c r="D98" s="287">
        <v>0</v>
      </c>
      <c r="E98" s="287">
        <v>0</v>
      </c>
      <c r="F98" s="170"/>
      <c r="G98" s="287">
        <v>0</v>
      </c>
      <c r="H98" s="287">
        <v>0</v>
      </c>
      <c r="I98" s="287">
        <v>0</v>
      </c>
      <c r="J98" s="288" t="s">
        <v>689</v>
      </c>
      <c r="K98" s="59"/>
      <c r="L98" s="59"/>
      <c r="M98" s="59"/>
      <c r="N98" s="59"/>
      <c r="O98" s="59"/>
      <c r="P98" s="59"/>
      <c r="Q98" s="59"/>
      <c r="R98" s="59"/>
      <c r="S98" s="59"/>
      <c r="T98" s="59"/>
      <c r="U98" s="59"/>
      <c r="V98" s="59"/>
      <c r="W98" s="59"/>
      <c r="X98" s="59"/>
      <c r="Y98" s="59"/>
      <c r="Z98" s="59"/>
      <c r="AA98" s="59"/>
    </row>
    <row r="99" spans="1:27" x14ac:dyDescent="0.2">
      <c r="A99" s="166" t="s">
        <v>660</v>
      </c>
      <c r="B99" s="287">
        <v>1</v>
      </c>
      <c r="C99" s="287">
        <v>0</v>
      </c>
      <c r="D99" s="287">
        <v>0</v>
      </c>
      <c r="E99" s="287">
        <v>0</v>
      </c>
      <c r="F99" s="170"/>
      <c r="G99" s="287">
        <v>0</v>
      </c>
      <c r="H99" s="287">
        <v>0</v>
      </c>
      <c r="I99" s="287">
        <v>0</v>
      </c>
      <c r="J99" s="288" t="s">
        <v>690</v>
      </c>
      <c r="K99" s="59"/>
      <c r="L99" s="59"/>
      <c r="M99" s="59"/>
      <c r="N99" s="59"/>
      <c r="O99" s="59"/>
      <c r="P99" s="59"/>
      <c r="Q99" s="59"/>
      <c r="R99" s="59"/>
      <c r="S99" s="59"/>
      <c r="T99" s="59"/>
      <c r="U99" s="59"/>
      <c r="V99" s="59"/>
      <c r="W99" s="59"/>
      <c r="X99" s="59"/>
      <c r="Y99" s="59"/>
      <c r="Z99" s="59"/>
      <c r="AA99" s="59"/>
    </row>
    <row r="100" spans="1:27" x14ac:dyDescent="0.2">
      <c r="A100" s="166" t="s">
        <v>657</v>
      </c>
      <c r="B100" s="287">
        <v>1</v>
      </c>
      <c r="C100" s="287">
        <v>0</v>
      </c>
      <c r="D100" s="287">
        <v>0</v>
      </c>
      <c r="E100" s="287">
        <v>0</v>
      </c>
      <c r="F100" s="170"/>
      <c r="G100" s="287">
        <v>0</v>
      </c>
      <c r="H100" s="287">
        <v>0</v>
      </c>
      <c r="I100" s="287">
        <v>0</v>
      </c>
      <c r="J100" s="288" t="s">
        <v>691</v>
      </c>
      <c r="K100" s="59"/>
      <c r="L100" s="59"/>
      <c r="M100" s="59"/>
      <c r="N100" s="59"/>
      <c r="O100" s="59"/>
      <c r="P100" s="59"/>
      <c r="Q100" s="59"/>
      <c r="R100" s="59"/>
      <c r="S100" s="59"/>
      <c r="T100" s="59"/>
      <c r="U100" s="59"/>
      <c r="V100" s="59"/>
      <c r="W100" s="59"/>
      <c r="X100" s="59"/>
      <c r="Y100" s="59"/>
      <c r="Z100" s="59"/>
      <c r="AA100" s="59"/>
    </row>
    <row r="101" spans="1:27" x14ac:dyDescent="0.2">
      <c r="A101" s="166" t="s">
        <v>658</v>
      </c>
      <c r="B101" s="287">
        <v>1</v>
      </c>
      <c r="C101" s="287">
        <v>0</v>
      </c>
      <c r="D101" s="287">
        <v>0</v>
      </c>
      <c r="E101" s="287">
        <v>0</v>
      </c>
      <c r="F101" s="170"/>
      <c r="G101" s="287">
        <v>0</v>
      </c>
      <c r="H101" s="287">
        <v>0</v>
      </c>
      <c r="I101" s="287">
        <v>0</v>
      </c>
      <c r="J101" s="288" t="s">
        <v>692</v>
      </c>
      <c r="K101" s="59"/>
      <c r="L101" s="59"/>
      <c r="M101" s="59"/>
      <c r="N101" s="59"/>
      <c r="O101" s="59"/>
      <c r="P101" s="59"/>
      <c r="Q101" s="59"/>
      <c r="R101" s="59"/>
      <c r="S101" s="59"/>
      <c r="T101" s="59"/>
      <c r="U101" s="59"/>
      <c r="V101" s="59"/>
      <c r="W101" s="59"/>
      <c r="X101" s="59"/>
      <c r="Y101" s="59"/>
      <c r="Z101" s="59"/>
      <c r="AA101" s="59"/>
    </row>
    <row r="102" spans="1:27" x14ac:dyDescent="0.2">
      <c r="A102" s="166" t="s">
        <v>659</v>
      </c>
      <c r="B102" s="287">
        <v>1</v>
      </c>
      <c r="C102" s="287">
        <v>0</v>
      </c>
      <c r="D102" s="287">
        <v>0</v>
      </c>
      <c r="E102" s="287">
        <v>0</v>
      </c>
      <c r="F102" s="170"/>
      <c r="G102" s="287">
        <v>0</v>
      </c>
      <c r="H102" s="287">
        <v>0</v>
      </c>
      <c r="I102" s="287">
        <v>0</v>
      </c>
      <c r="J102" s="288" t="s">
        <v>693</v>
      </c>
      <c r="K102" s="59"/>
      <c r="L102" s="59"/>
      <c r="M102" s="59"/>
      <c r="N102" s="59"/>
      <c r="O102" s="59"/>
      <c r="P102" s="59"/>
      <c r="Q102" s="59"/>
      <c r="R102" s="59"/>
      <c r="S102" s="59"/>
      <c r="T102" s="59"/>
      <c r="U102" s="59"/>
      <c r="V102" s="59"/>
      <c r="W102" s="59"/>
      <c r="X102" s="59"/>
      <c r="Y102" s="59"/>
      <c r="Z102" s="59"/>
      <c r="AA102" s="59"/>
    </row>
    <row r="103" spans="1:27" x14ac:dyDescent="0.2">
      <c r="A103" s="166" t="s">
        <v>661</v>
      </c>
      <c r="B103" s="287">
        <v>1</v>
      </c>
      <c r="C103" s="287">
        <v>0</v>
      </c>
      <c r="D103" s="287">
        <v>0</v>
      </c>
      <c r="E103" s="287">
        <v>0</v>
      </c>
      <c r="F103" s="170"/>
      <c r="G103" s="287">
        <v>0</v>
      </c>
      <c r="H103" s="287">
        <v>0</v>
      </c>
      <c r="I103" s="287">
        <v>0</v>
      </c>
      <c r="J103" s="288" t="s">
        <v>694</v>
      </c>
      <c r="K103" s="59"/>
      <c r="L103" s="59"/>
      <c r="M103" s="59"/>
      <c r="N103" s="59"/>
      <c r="O103" s="59"/>
      <c r="P103" s="59"/>
      <c r="Q103" s="59"/>
      <c r="R103" s="59"/>
      <c r="S103" s="59"/>
      <c r="T103" s="59"/>
      <c r="U103" s="59"/>
      <c r="V103" s="59"/>
      <c r="W103" s="59"/>
      <c r="X103" s="59"/>
      <c r="Y103" s="59"/>
      <c r="Z103" s="59"/>
      <c r="AA103" s="59"/>
    </row>
    <row r="104" spans="1:27" x14ac:dyDescent="0.2">
      <c r="A104" s="166" t="s">
        <v>662</v>
      </c>
      <c r="B104" s="287">
        <v>1</v>
      </c>
      <c r="C104" s="287">
        <v>0</v>
      </c>
      <c r="D104" s="287">
        <v>0</v>
      </c>
      <c r="E104" s="287">
        <v>0</v>
      </c>
      <c r="F104" s="170"/>
      <c r="G104" s="287">
        <v>0</v>
      </c>
      <c r="H104" s="287">
        <v>0</v>
      </c>
      <c r="I104" s="287">
        <v>0</v>
      </c>
      <c r="J104" s="288" t="s">
        <v>695</v>
      </c>
      <c r="K104" s="59"/>
      <c r="L104" s="59"/>
      <c r="M104" s="59"/>
      <c r="N104" s="59"/>
      <c r="O104" s="59"/>
      <c r="P104" s="59"/>
      <c r="Q104" s="59"/>
      <c r="R104" s="59"/>
      <c r="S104" s="59"/>
      <c r="T104" s="59"/>
      <c r="U104" s="59"/>
      <c r="V104" s="59"/>
      <c r="W104" s="59"/>
      <c r="X104" s="59"/>
      <c r="Y104" s="59"/>
      <c r="Z104" s="59"/>
      <c r="AA104" s="59"/>
    </row>
    <row r="105" spans="1:27" x14ac:dyDescent="0.2">
      <c r="A105" s="166" t="s">
        <v>663</v>
      </c>
      <c r="B105" s="287">
        <v>1</v>
      </c>
      <c r="C105" s="287">
        <v>0</v>
      </c>
      <c r="D105" s="287">
        <v>0</v>
      </c>
      <c r="E105" s="287">
        <v>0</v>
      </c>
      <c r="F105" s="170"/>
      <c r="G105" s="287">
        <v>0</v>
      </c>
      <c r="H105" s="287">
        <v>0</v>
      </c>
      <c r="I105" s="287">
        <v>0</v>
      </c>
      <c r="J105" s="288" t="s">
        <v>696</v>
      </c>
      <c r="K105" s="59"/>
      <c r="L105" s="59"/>
      <c r="M105" s="59"/>
      <c r="N105" s="59"/>
      <c r="O105" s="59"/>
      <c r="P105" s="59"/>
      <c r="Q105" s="59"/>
      <c r="R105" s="59"/>
      <c r="S105" s="59"/>
      <c r="T105" s="59"/>
      <c r="U105" s="59"/>
      <c r="V105" s="59"/>
      <c r="W105" s="59"/>
      <c r="X105" s="59"/>
      <c r="Y105" s="59"/>
      <c r="Z105" s="59"/>
      <c r="AA105" s="59"/>
    </row>
    <row r="106" spans="1:27" x14ac:dyDescent="0.2">
      <c r="A106" s="166" t="s">
        <v>664</v>
      </c>
      <c r="B106" s="287">
        <v>1</v>
      </c>
      <c r="C106" s="287">
        <v>0</v>
      </c>
      <c r="D106" s="287">
        <v>0</v>
      </c>
      <c r="E106" s="287">
        <v>0</v>
      </c>
      <c r="F106" s="170"/>
      <c r="G106" s="287">
        <v>0</v>
      </c>
      <c r="H106" s="287">
        <v>0</v>
      </c>
      <c r="I106" s="287">
        <v>0</v>
      </c>
      <c r="J106" s="249" t="s">
        <v>101</v>
      </c>
      <c r="K106" s="59"/>
      <c r="L106" s="59"/>
      <c r="M106" s="59"/>
      <c r="N106" s="59"/>
      <c r="O106" s="59"/>
      <c r="P106" s="59"/>
      <c r="Q106" s="59"/>
      <c r="R106" s="59"/>
      <c r="S106" s="59"/>
      <c r="T106" s="59"/>
      <c r="U106" s="59"/>
      <c r="V106" s="59"/>
      <c r="W106" s="59"/>
      <c r="X106" s="59"/>
      <c r="Y106" s="59"/>
      <c r="Z106" s="59"/>
      <c r="AA106" s="59"/>
    </row>
    <row r="107" spans="1:27" x14ac:dyDescent="0.2">
      <c r="A107" s="166" t="s">
        <v>306</v>
      </c>
      <c r="B107" s="287">
        <v>1</v>
      </c>
      <c r="C107" s="287">
        <v>0</v>
      </c>
      <c r="D107" s="287">
        <v>0</v>
      </c>
      <c r="E107" s="287">
        <v>0</v>
      </c>
      <c r="F107" s="170"/>
      <c r="G107" s="287">
        <v>0</v>
      </c>
      <c r="H107" s="287">
        <v>0</v>
      </c>
      <c r="I107" s="287">
        <v>0</v>
      </c>
      <c r="J107" s="249" t="s">
        <v>101</v>
      </c>
      <c r="K107" s="59"/>
      <c r="L107" s="59"/>
      <c r="M107" s="59"/>
      <c r="N107" s="59"/>
      <c r="O107" s="59"/>
      <c r="P107" s="59"/>
      <c r="Q107" s="59"/>
      <c r="R107" s="59"/>
      <c r="S107" s="59"/>
      <c r="T107" s="59"/>
      <c r="U107" s="59"/>
      <c r="V107" s="59"/>
      <c r="W107" s="59"/>
      <c r="X107" s="59"/>
      <c r="Y107" s="59"/>
      <c r="Z107" s="59"/>
      <c r="AA107" s="59"/>
    </row>
    <row r="108" spans="1:27" x14ac:dyDescent="0.2">
      <c r="A108" s="38"/>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x14ac:dyDescent="0.2">
      <c r="A109" s="215" t="s">
        <v>318</v>
      </c>
      <c r="B109" s="249" t="s">
        <v>320</v>
      </c>
      <c r="C109" s="249" t="s">
        <v>322</v>
      </c>
      <c r="D109" s="249" t="s">
        <v>370</v>
      </c>
      <c r="E109" s="249" t="s">
        <v>324</v>
      </c>
      <c r="F109" s="280" t="s">
        <v>482</v>
      </c>
      <c r="G109" s="249" t="s">
        <v>372</v>
      </c>
      <c r="H109" s="249" t="s">
        <v>327</v>
      </c>
      <c r="I109" s="171" t="s">
        <v>371</v>
      </c>
      <c r="J109" s="249" t="s">
        <v>328</v>
      </c>
      <c r="K109" s="171" t="s">
        <v>352</v>
      </c>
      <c r="L109" s="249" t="s">
        <v>330</v>
      </c>
      <c r="M109" s="249" t="s">
        <v>332</v>
      </c>
      <c r="N109" s="249" t="s">
        <v>334</v>
      </c>
      <c r="O109" s="249" t="s">
        <v>335</v>
      </c>
      <c r="P109" s="249" t="s">
        <v>337</v>
      </c>
      <c r="Q109" s="171" t="s">
        <v>349</v>
      </c>
      <c r="R109" s="171" t="s">
        <v>350</v>
      </c>
      <c r="S109" s="171" t="s">
        <v>355</v>
      </c>
      <c r="T109" s="249" t="s">
        <v>338</v>
      </c>
      <c r="U109" s="249" t="s">
        <v>339</v>
      </c>
      <c r="V109" s="249" t="s">
        <v>341</v>
      </c>
      <c r="W109" s="249" t="s">
        <v>343</v>
      </c>
      <c r="X109" s="289" t="s">
        <v>652</v>
      </c>
    </row>
    <row r="110" spans="1:27" x14ac:dyDescent="0.2">
      <c r="A110" s="166" t="s">
        <v>632</v>
      </c>
      <c r="B110" s="249" t="s">
        <v>321</v>
      </c>
      <c r="C110" s="249" t="s">
        <v>644</v>
      </c>
      <c r="D110" s="249">
        <v>200</v>
      </c>
      <c r="E110" s="287">
        <v>0</v>
      </c>
      <c r="F110" s="290">
        <v>160</v>
      </c>
      <c r="G110" s="287">
        <v>0</v>
      </c>
      <c r="H110" s="249">
        <v>2.2000000000000002</v>
      </c>
      <c r="I110" s="290">
        <v>0</v>
      </c>
      <c r="J110" s="290">
        <v>0</v>
      </c>
      <c r="K110" s="290">
        <v>0</v>
      </c>
      <c r="L110" s="290">
        <v>0</v>
      </c>
      <c r="M110" s="290">
        <v>0</v>
      </c>
      <c r="N110" s="290">
        <v>0</v>
      </c>
      <c r="O110" s="290">
        <v>0</v>
      </c>
      <c r="P110" s="287">
        <v>50000</v>
      </c>
      <c r="Q110" s="290">
        <v>0</v>
      </c>
      <c r="R110" s="290">
        <v>0</v>
      </c>
      <c r="S110" s="290">
        <v>0</v>
      </c>
      <c r="T110" s="290">
        <v>0</v>
      </c>
      <c r="U110" s="290">
        <v>0</v>
      </c>
      <c r="V110" s="290">
        <v>0</v>
      </c>
      <c r="W110" s="288" t="s">
        <v>680</v>
      </c>
      <c r="X110" s="289" t="s">
        <v>654</v>
      </c>
    </row>
    <row r="111" spans="1:27" x14ac:dyDescent="0.2">
      <c r="A111" s="166" t="s">
        <v>633</v>
      </c>
      <c r="B111" s="249" t="s">
        <v>321</v>
      </c>
      <c r="C111" s="249" t="s">
        <v>644</v>
      </c>
      <c r="D111" s="249">
        <v>852</v>
      </c>
      <c r="E111" s="287">
        <v>0</v>
      </c>
      <c r="F111" s="290">
        <v>160</v>
      </c>
      <c r="G111" s="287">
        <v>0</v>
      </c>
      <c r="H111" s="249">
        <v>2.4</v>
      </c>
      <c r="I111" s="290">
        <v>0</v>
      </c>
      <c r="J111" s="290">
        <v>0</v>
      </c>
      <c r="K111" s="290">
        <v>0</v>
      </c>
      <c r="L111" s="290">
        <v>0</v>
      </c>
      <c r="M111" s="290">
        <v>0</v>
      </c>
      <c r="N111" s="290">
        <v>0</v>
      </c>
      <c r="O111" s="290">
        <v>0</v>
      </c>
      <c r="P111" s="287">
        <v>50000</v>
      </c>
      <c r="Q111" s="290">
        <v>0</v>
      </c>
      <c r="R111" s="290">
        <v>0</v>
      </c>
      <c r="S111" s="290">
        <v>0</v>
      </c>
      <c r="T111" s="290">
        <v>0</v>
      </c>
      <c r="U111" s="249" t="s">
        <v>655</v>
      </c>
      <c r="V111" s="290">
        <v>0</v>
      </c>
      <c r="W111" s="288" t="s">
        <v>681</v>
      </c>
      <c r="X111" s="289" t="s">
        <v>653</v>
      </c>
    </row>
    <row r="112" spans="1:27" x14ac:dyDescent="0.2">
      <c r="A112" s="166" t="s">
        <v>634</v>
      </c>
      <c r="B112" s="249" t="s">
        <v>321</v>
      </c>
      <c r="C112" s="249" t="s">
        <v>644</v>
      </c>
      <c r="D112" s="249">
        <v>1593</v>
      </c>
      <c r="E112" s="287">
        <v>0</v>
      </c>
      <c r="F112" s="290">
        <v>160</v>
      </c>
      <c r="G112" s="287">
        <v>0</v>
      </c>
      <c r="H112" s="249">
        <v>2.5</v>
      </c>
      <c r="I112" s="290">
        <v>0</v>
      </c>
      <c r="J112" s="290">
        <v>0</v>
      </c>
      <c r="K112" s="290">
        <v>0</v>
      </c>
      <c r="L112" s="290">
        <v>0</v>
      </c>
      <c r="M112" s="290">
        <v>0</v>
      </c>
      <c r="N112" s="290">
        <v>0</v>
      </c>
      <c r="O112" s="290">
        <v>0</v>
      </c>
      <c r="P112" s="287">
        <v>50000</v>
      </c>
      <c r="Q112" s="290">
        <v>0</v>
      </c>
      <c r="R112" s="290">
        <v>0</v>
      </c>
      <c r="S112" s="290">
        <v>0</v>
      </c>
      <c r="T112" s="290">
        <v>0</v>
      </c>
      <c r="U112" s="249" t="s">
        <v>656</v>
      </c>
      <c r="V112" s="290">
        <v>0</v>
      </c>
      <c r="W112" s="288" t="s">
        <v>681</v>
      </c>
      <c r="X112" s="289" t="s">
        <v>653</v>
      </c>
    </row>
    <row r="113" spans="1:24" x14ac:dyDescent="0.2">
      <c r="A113" s="124" t="s">
        <v>319</v>
      </c>
      <c r="B113" s="249" t="s">
        <v>321</v>
      </c>
      <c r="C113" s="249" t="s">
        <v>323</v>
      </c>
      <c r="D113" s="249">
        <v>320</v>
      </c>
      <c r="E113" s="249" t="s">
        <v>325</v>
      </c>
      <c r="F113" s="290">
        <v>0</v>
      </c>
      <c r="G113" s="249" t="s">
        <v>326</v>
      </c>
      <c r="H113" s="249">
        <v>2.4</v>
      </c>
      <c r="I113" s="290">
        <v>0</v>
      </c>
      <c r="J113" s="249" t="s">
        <v>329</v>
      </c>
      <c r="K113" s="290">
        <v>0</v>
      </c>
      <c r="L113" s="249" t="s">
        <v>331</v>
      </c>
      <c r="M113" s="249" t="s">
        <v>333</v>
      </c>
      <c r="N113" s="249" t="s">
        <v>228</v>
      </c>
      <c r="O113" s="249" t="s">
        <v>336</v>
      </c>
      <c r="P113" s="249">
        <v>50000</v>
      </c>
      <c r="Q113" s="290">
        <v>0</v>
      </c>
      <c r="R113" s="290">
        <v>0</v>
      </c>
      <c r="S113" s="290">
        <v>0</v>
      </c>
      <c r="T113" s="249" t="s">
        <v>306</v>
      </c>
      <c r="U113" s="249" t="s">
        <v>340</v>
      </c>
      <c r="V113" s="249" t="s">
        <v>342</v>
      </c>
      <c r="W113" s="291" t="s">
        <v>344</v>
      </c>
      <c r="X113" s="289" t="s">
        <v>654</v>
      </c>
    </row>
    <row r="114" spans="1:24" x14ac:dyDescent="0.2">
      <c r="A114" s="166" t="s">
        <v>635</v>
      </c>
      <c r="B114" s="249" t="s">
        <v>321</v>
      </c>
      <c r="C114" s="249" t="s">
        <v>644</v>
      </c>
      <c r="D114" s="249">
        <v>81</v>
      </c>
      <c r="E114" s="287">
        <v>0</v>
      </c>
      <c r="F114" s="290">
        <v>160</v>
      </c>
      <c r="G114" s="287">
        <v>0</v>
      </c>
      <c r="H114" s="249">
        <v>2.5</v>
      </c>
      <c r="I114" s="290">
        <v>0</v>
      </c>
      <c r="J114" s="290">
        <v>0</v>
      </c>
      <c r="K114" s="290">
        <v>0</v>
      </c>
      <c r="L114" s="290">
        <v>0</v>
      </c>
      <c r="M114" s="290">
        <v>0</v>
      </c>
      <c r="N114" s="290">
        <v>0</v>
      </c>
      <c r="O114" s="290">
        <v>0</v>
      </c>
      <c r="P114" s="287">
        <v>50000</v>
      </c>
      <c r="Q114" s="290">
        <v>0</v>
      </c>
      <c r="R114" s="290">
        <v>0</v>
      </c>
      <c r="S114" s="290">
        <v>0</v>
      </c>
      <c r="T114" s="290">
        <v>0</v>
      </c>
      <c r="U114" s="290">
        <v>0</v>
      </c>
      <c r="V114" s="290">
        <v>0</v>
      </c>
      <c r="W114" s="288" t="s">
        <v>682</v>
      </c>
      <c r="X114" s="289" t="s">
        <v>654</v>
      </c>
    </row>
    <row r="115" spans="1:24" x14ac:dyDescent="0.2">
      <c r="A115" s="166" t="s">
        <v>635</v>
      </c>
      <c r="B115" s="249" t="s">
        <v>321</v>
      </c>
      <c r="C115" s="249" t="s">
        <v>645</v>
      </c>
      <c r="D115" s="249">
        <v>91</v>
      </c>
      <c r="E115" s="287">
        <v>0</v>
      </c>
      <c r="F115" s="290">
        <v>160</v>
      </c>
      <c r="G115" s="287">
        <v>0</v>
      </c>
      <c r="H115" s="249">
        <v>2.8</v>
      </c>
      <c r="I115" s="290">
        <v>0</v>
      </c>
      <c r="J115" s="290">
        <v>0</v>
      </c>
      <c r="K115" s="290">
        <v>0</v>
      </c>
      <c r="L115" s="290">
        <v>0</v>
      </c>
      <c r="M115" s="290">
        <v>0</v>
      </c>
      <c r="N115" s="290">
        <v>0</v>
      </c>
      <c r="O115" s="290">
        <v>0</v>
      </c>
      <c r="P115" s="287">
        <v>50000</v>
      </c>
      <c r="Q115" s="290">
        <v>0</v>
      </c>
      <c r="R115" s="290">
        <v>0</v>
      </c>
      <c r="S115" s="290">
        <v>0</v>
      </c>
      <c r="T115" s="290">
        <v>0</v>
      </c>
      <c r="U115" s="290">
        <v>0</v>
      </c>
      <c r="V115" s="290">
        <v>0</v>
      </c>
      <c r="W115" s="288" t="s">
        <v>682</v>
      </c>
      <c r="X115" s="289" t="s">
        <v>654</v>
      </c>
    </row>
    <row r="116" spans="1:24" x14ac:dyDescent="0.2">
      <c r="A116" s="166" t="s">
        <v>665</v>
      </c>
      <c r="B116" s="249"/>
      <c r="C116" s="249"/>
      <c r="D116" s="249"/>
      <c r="E116" s="287">
        <v>0</v>
      </c>
      <c r="F116" s="290">
        <v>0</v>
      </c>
      <c r="G116" s="287">
        <v>0</v>
      </c>
      <c r="H116" s="290">
        <v>0</v>
      </c>
      <c r="I116" s="290">
        <v>0</v>
      </c>
      <c r="J116" s="290">
        <v>0</v>
      </c>
      <c r="K116" s="290">
        <v>0</v>
      </c>
      <c r="L116" s="290">
        <v>0</v>
      </c>
      <c r="M116" s="290">
        <v>0</v>
      </c>
      <c r="N116" s="290">
        <v>0</v>
      </c>
      <c r="O116" s="290">
        <v>0</v>
      </c>
      <c r="P116" s="287">
        <v>50000</v>
      </c>
      <c r="Q116" s="290">
        <v>0</v>
      </c>
      <c r="R116" s="290">
        <v>0</v>
      </c>
      <c r="S116" s="290">
        <v>0</v>
      </c>
      <c r="T116" s="290">
        <v>0</v>
      </c>
      <c r="U116" s="290">
        <v>0</v>
      </c>
      <c r="V116" s="290">
        <v>0</v>
      </c>
      <c r="W116" s="288" t="s">
        <v>683</v>
      </c>
      <c r="X116" s="289"/>
    </row>
    <row r="117" spans="1:24" x14ac:dyDescent="0.2">
      <c r="A117" s="292" t="s">
        <v>373</v>
      </c>
      <c r="B117" s="249" t="s">
        <v>321</v>
      </c>
      <c r="C117" s="249" t="s">
        <v>365</v>
      </c>
      <c r="D117" s="249">
        <v>250</v>
      </c>
      <c r="E117" s="249" t="s">
        <v>346</v>
      </c>
      <c r="F117" s="171">
        <v>120</v>
      </c>
      <c r="G117" s="249" t="s">
        <v>368</v>
      </c>
      <c r="H117" s="249" t="s">
        <v>345</v>
      </c>
      <c r="I117" s="170">
        <v>2.5</v>
      </c>
      <c r="J117" s="290">
        <v>0</v>
      </c>
      <c r="K117" s="171" t="s">
        <v>353</v>
      </c>
      <c r="L117" s="249" t="s">
        <v>348</v>
      </c>
      <c r="M117" s="290">
        <v>0</v>
      </c>
      <c r="N117" s="290">
        <v>0</v>
      </c>
      <c r="O117" s="290">
        <v>0</v>
      </c>
      <c r="P117" s="249">
        <v>60000</v>
      </c>
      <c r="Q117" s="171" t="s">
        <v>351</v>
      </c>
      <c r="R117" s="249">
        <v>3.5</v>
      </c>
      <c r="S117" s="249" t="s">
        <v>356</v>
      </c>
      <c r="T117" s="287">
        <v>0</v>
      </c>
      <c r="U117" s="249" t="s">
        <v>357</v>
      </c>
      <c r="V117" s="290">
        <v>0</v>
      </c>
      <c r="W117" s="288" t="s">
        <v>684</v>
      </c>
      <c r="X117" s="289" t="s">
        <v>654</v>
      </c>
    </row>
    <row r="118" spans="1:24" x14ac:dyDescent="0.2">
      <c r="A118" s="292" t="s">
        <v>374</v>
      </c>
      <c r="B118" s="249" t="s">
        <v>321</v>
      </c>
      <c r="C118" s="249" t="s">
        <v>366</v>
      </c>
      <c r="D118" s="249">
        <v>220</v>
      </c>
      <c r="E118" s="249" t="s">
        <v>346</v>
      </c>
      <c r="F118" s="171">
        <v>120</v>
      </c>
      <c r="G118" s="249" t="s">
        <v>368</v>
      </c>
      <c r="H118" s="249" t="s">
        <v>359</v>
      </c>
      <c r="I118" s="170">
        <v>2.2000000000000002</v>
      </c>
      <c r="J118" s="290">
        <v>0</v>
      </c>
      <c r="K118" s="171" t="s">
        <v>360</v>
      </c>
      <c r="L118" s="249" t="s">
        <v>348</v>
      </c>
      <c r="M118" s="290">
        <v>0</v>
      </c>
      <c r="N118" s="290">
        <v>0</v>
      </c>
      <c r="O118" s="290">
        <v>0</v>
      </c>
      <c r="P118" s="249">
        <v>60000</v>
      </c>
      <c r="Q118" s="171" t="s">
        <v>351</v>
      </c>
      <c r="R118" s="249">
        <v>4.5</v>
      </c>
      <c r="S118" s="249" t="s">
        <v>356</v>
      </c>
      <c r="T118" s="287">
        <v>0</v>
      </c>
      <c r="U118" s="249" t="s">
        <v>357</v>
      </c>
      <c r="V118" s="290">
        <v>0</v>
      </c>
      <c r="W118" s="288" t="s">
        <v>684</v>
      </c>
      <c r="X118" s="289" t="s">
        <v>654</v>
      </c>
    </row>
    <row r="119" spans="1:24" x14ac:dyDescent="0.2">
      <c r="A119" s="292" t="s">
        <v>375</v>
      </c>
      <c r="B119" s="249" t="s">
        <v>321</v>
      </c>
      <c r="C119" s="249" t="s">
        <v>367</v>
      </c>
      <c r="D119" s="249">
        <v>160</v>
      </c>
      <c r="E119" s="249" t="s">
        <v>346</v>
      </c>
      <c r="F119" s="171">
        <v>120</v>
      </c>
      <c r="G119" s="249" t="s">
        <v>368</v>
      </c>
      <c r="H119" s="249" t="s">
        <v>361</v>
      </c>
      <c r="I119" s="170">
        <v>1.6</v>
      </c>
      <c r="J119" s="290">
        <v>0</v>
      </c>
      <c r="K119" s="171" t="s">
        <v>362</v>
      </c>
      <c r="L119" s="249" t="s">
        <v>348</v>
      </c>
      <c r="M119" s="290">
        <v>0</v>
      </c>
      <c r="N119" s="290">
        <v>0</v>
      </c>
      <c r="O119" s="290">
        <v>0</v>
      </c>
      <c r="P119" s="249">
        <v>60000</v>
      </c>
      <c r="Q119" s="171" t="s">
        <v>351</v>
      </c>
      <c r="R119" s="249">
        <v>5.5</v>
      </c>
      <c r="S119" s="249" t="s">
        <v>356</v>
      </c>
      <c r="T119" s="287">
        <v>0</v>
      </c>
      <c r="U119" s="249" t="s">
        <v>357</v>
      </c>
      <c r="V119" s="290">
        <v>0</v>
      </c>
      <c r="W119" s="288" t="s">
        <v>684</v>
      </c>
      <c r="X119" s="289" t="s">
        <v>654</v>
      </c>
    </row>
    <row r="120" spans="1:24" x14ac:dyDescent="0.2">
      <c r="A120" s="292" t="s">
        <v>376</v>
      </c>
      <c r="B120" s="249" t="s">
        <v>321</v>
      </c>
      <c r="C120" s="249" t="s">
        <v>365</v>
      </c>
      <c r="D120" s="249">
        <v>375</v>
      </c>
      <c r="E120" s="249" t="s">
        <v>347</v>
      </c>
      <c r="F120" s="171">
        <v>160</v>
      </c>
      <c r="G120" s="249" t="s">
        <v>369</v>
      </c>
      <c r="H120" s="249" t="s">
        <v>345</v>
      </c>
      <c r="I120" s="170">
        <v>2.5</v>
      </c>
      <c r="J120" s="290">
        <v>0</v>
      </c>
      <c r="K120" s="171" t="s">
        <v>354</v>
      </c>
      <c r="L120" s="249" t="s">
        <v>348</v>
      </c>
      <c r="M120" s="290">
        <v>0</v>
      </c>
      <c r="N120" s="290">
        <v>0</v>
      </c>
      <c r="O120" s="290">
        <v>0</v>
      </c>
      <c r="P120" s="249">
        <v>60000</v>
      </c>
      <c r="Q120" s="249" t="s">
        <v>351</v>
      </c>
      <c r="R120" s="249">
        <v>5.3</v>
      </c>
      <c r="S120" s="249" t="s">
        <v>356</v>
      </c>
      <c r="T120" s="287">
        <v>0</v>
      </c>
      <c r="U120" s="249" t="s">
        <v>358</v>
      </c>
      <c r="V120" s="290">
        <v>0</v>
      </c>
      <c r="W120" s="288" t="s">
        <v>684</v>
      </c>
      <c r="X120" s="289" t="s">
        <v>654</v>
      </c>
    </row>
    <row r="121" spans="1:24" x14ac:dyDescent="0.2">
      <c r="A121" s="292" t="s">
        <v>377</v>
      </c>
      <c r="B121" s="249" t="s">
        <v>321</v>
      </c>
      <c r="C121" s="249" t="s">
        <v>366</v>
      </c>
      <c r="D121" s="249">
        <v>330</v>
      </c>
      <c r="E121" s="249" t="s">
        <v>347</v>
      </c>
      <c r="F121" s="171">
        <v>160</v>
      </c>
      <c r="G121" s="249" t="s">
        <v>369</v>
      </c>
      <c r="H121" s="249" t="s">
        <v>359</v>
      </c>
      <c r="I121" s="170">
        <v>2.2000000000000002</v>
      </c>
      <c r="J121" s="290">
        <v>0</v>
      </c>
      <c r="K121" s="171" t="s">
        <v>363</v>
      </c>
      <c r="L121" s="249" t="s">
        <v>348</v>
      </c>
      <c r="M121" s="290">
        <v>0</v>
      </c>
      <c r="N121" s="290">
        <v>0</v>
      </c>
      <c r="O121" s="290">
        <v>0</v>
      </c>
      <c r="P121" s="249">
        <v>60000</v>
      </c>
      <c r="Q121" s="249" t="s">
        <v>351</v>
      </c>
      <c r="R121" s="249">
        <v>6.3</v>
      </c>
      <c r="S121" s="249" t="s">
        <v>356</v>
      </c>
      <c r="T121" s="287">
        <v>0</v>
      </c>
      <c r="U121" s="249" t="s">
        <v>358</v>
      </c>
      <c r="V121" s="290">
        <v>0</v>
      </c>
      <c r="W121" s="288" t="s">
        <v>684</v>
      </c>
      <c r="X121" s="289" t="s">
        <v>654</v>
      </c>
    </row>
    <row r="122" spans="1:24" x14ac:dyDescent="0.2">
      <c r="A122" s="292" t="s">
        <v>378</v>
      </c>
      <c r="B122" s="249" t="s">
        <v>321</v>
      </c>
      <c r="C122" s="249" t="s">
        <v>367</v>
      </c>
      <c r="D122" s="249">
        <v>240</v>
      </c>
      <c r="E122" s="249" t="s">
        <v>347</v>
      </c>
      <c r="F122" s="171">
        <v>160</v>
      </c>
      <c r="G122" s="249" t="s">
        <v>369</v>
      </c>
      <c r="H122" s="249" t="s">
        <v>361</v>
      </c>
      <c r="I122" s="170">
        <v>1.6</v>
      </c>
      <c r="J122" s="290">
        <v>0</v>
      </c>
      <c r="K122" s="171" t="s">
        <v>364</v>
      </c>
      <c r="L122" s="249" t="s">
        <v>348</v>
      </c>
      <c r="M122" s="290">
        <v>0</v>
      </c>
      <c r="N122" s="290">
        <v>0</v>
      </c>
      <c r="O122" s="290">
        <v>0</v>
      </c>
      <c r="P122" s="249">
        <v>60000</v>
      </c>
      <c r="Q122" s="249" t="s">
        <v>351</v>
      </c>
      <c r="R122" s="249">
        <v>7.3</v>
      </c>
      <c r="S122" s="249" t="s">
        <v>356</v>
      </c>
      <c r="T122" s="287">
        <v>0</v>
      </c>
      <c r="U122" s="249" t="s">
        <v>358</v>
      </c>
      <c r="V122" s="290">
        <v>0</v>
      </c>
      <c r="W122" s="288" t="s">
        <v>684</v>
      </c>
      <c r="X122" s="289" t="s">
        <v>654</v>
      </c>
    </row>
    <row r="123" spans="1:24" x14ac:dyDescent="0.2">
      <c r="A123" s="292" t="s">
        <v>636</v>
      </c>
      <c r="B123" s="249" t="s">
        <v>321</v>
      </c>
      <c r="C123" s="249" t="s">
        <v>646</v>
      </c>
      <c r="D123" s="249">
        <v>1712</v>
      </c>
      <c r="E123" s="287">
        <v>0</v>
      </c>
      <c r="F123" s="290">
        <v>160</v>
      </c>
      <c r="G123" s="287">
        <v>0</v>
      </c>
      <c r="H123" s="249">
        <v>2.5</v>
      </c>
      <c r="I123" s="290">
        <v>0</v>
      </c>
      <c r="J123" s="290">
        <v>0</v>
      </c>
      <c r="K123" s="290">
        <v>0</v>
      </c>
      <c r="L123" s="290">
        <v>0</v>
      </c>
      <c r="M123" s="290">
        <v>0</v>
      </c>
      <c r="N123" s="290">
        <v>0</v>
      </c>
      <c r="O123" s="290">
        <v>0</v>
      </c>
      <c r="P123" s="287">
        <v>50000</v>
      </c>
      <c r="Q123" s="290">
        <v>0</v>
      </c>
      <c r="R123" s="290">
        <v>0</v>
      </c>
      <c r="S123" s="290">
        <v>0</v>
      </c>
      <c r="T123" s="290">
        <v>0</v>
      </c>
      <c r="U123" s="287">
        <v>0</v>
      </c>
      <c r="V123" s="290">
        <v>0</v>
      </c>
      <c r="W123" s="288" t="s">
        <v>685</v>
      </c>
      <c r="X123" s="289" t="s">
        <v>654</v>
      </c>
    </row>
    <row r="124" spans="1:24" x14ac:dyDescent="0.2">
      <c r="A124" s="292" t="s">
        <v>637</v>
      </c>
      <c r="B124" s="249" t="s">
        <v>321</v>
      </c>
      <c r="C124" s="249" t="s">
        <v>646</v>
      </c>
      <c r="D124" s="249">
        <v>491</v>
      </c>
      <c r="E124" s="287">
        <v>0</v>
      </c>
      <c r="F124" s="290">
        <v>160</v>
      </c>
      <c r="G124" s="287">
        <v>0</v>
      </c>
      <c r="H124" s="249">
        <v>2.4</v>
      </c>
      <c r="I124" s="290">
        <v>0</v>
      </c>
      <c r="J124" s="290">
        <v>0</v>
      </c>
      <c r="K124" s="290">
        <v>0</v>
      </c>
      <c r="L124" s="290">
        <v>0</v>
      </c>
      <c r="M124" s="290">
        <v>0</v>
      </c>
      <c r="N124" s="290">
        <v>0</v>
      </c>
      <c r="O124" s="290">
        <v>0</v>
      </c>
      <c r="P124" s="287">
        <v>50000</v>
      </c>
      <c r="Q124" s="290">
        <v>0</v>
      </c>
      <c r="R124" s="290">
        <v>0</v>
      </c>
      <c r="S124" s="290">
        <v>0</v>
      </c>
      <c r="T124" s="290">
        <v>0</v>
      </c>
      <c r="U124" s="249" t="s">
        <v>655</v>
      </c>
      <c r="V124" s="290">
        <v>0</v>
      </c>
      <c r="W124" s="288" t="s">
        <v>686</v>
      </c>
      <c r="X124" s="289" t="s">
        <v>653</v>
      </c>
    </row>
    <row r="125" spans="1:24" x14ac:dyDescent="0.2">
      <c r="A125" s="292" t="s">
        <v>638</v>
      </c>
      <c r="B125" s="249" t="s">
        <v>321</v>
      </c>
      <c r="C125" s="249" t="s">
        <v>647</v>
      </c>
      <c r="D125" s="249">
        <v>533</v>
      </c>
      <c r="E125" s="287">
        <v>0</v>
      </c>
      <c r="F125" s="290">
        <v>160</v>
      </c>
      <c r="G125" s="287">
        <v>0</v>
      </c>
      <c r="H125" s="249">
        <v>2.7</v>
      </c>
      <c r="I125" s="290">
        <v>0</v>
      </c>
      <c r="J125" s="290">
        <v>0</v>
      </c>
      <c r="K125" s="290">
        <v>0</v>
      </c>
      <c r="L125" s="290">
        <v>0</v>
      </c>
      <c r="M125" s="290">
        <v>0</v>
      </c>
      <c r="N125" s="290">
        <v>0</v>
      </c>
      <c r="O125" s="290">
        <v>0</v>
      </c>
      <c r="P125" s="287">
        <v>50000</v>
      </c>
      <c r="Q125" s="290">
        <v>0</v>
      </c>
      <c r="R125" s="290">
        <v>0</v>
      </c>
      <c r="S125" s="290">
        <v>0</v>
      </c>
      <c r="T125" s="290">
        <v>0</v>
      </c>
      <c r="U125" s="249" t="s">
        <v>655</v>
      </c>
      <c r="V125" s="290">
        <v>0</v>
      </c>
      <c r="W125" s="288" t="s">
        <v>686</v>
      </c>
      <c r="X125" s="289" t="s">
        <v>653</v>
      </c>
    </row>
    <row r="126" spans="1:24" x14ac:dyDescent="0.2">
      <c r="A126" s="292" t="s">
        <v>640</v>
      </c>
      <c r="B126" s="249" t="s">
        <v>321</v>
      </c>
      <c r="C126" s="249" t="s">
        <v>648</v>
      </c>
      <c r="D126" s="249">
        <v>210</v>
      </c>
      <c r="E126" s="287">
        <v>0</v>
      </c>
      <c r="F126" s="290">
        <v>160</v>
      </c>
      <c r="G126" s="287">
        <v>0</v>
      </c>
      <c r="H126" s="249">
        <v>3</v>
      </c>
      <c r="I126" s="290">
        <v>0</v>
      </c>
      <c r="J126" s="290">
        <v>0</v>
      </c>
      <c r="K126" s="290">
        <v>0</v>
      </c>
      <c r="L126" s="290">
        <v>0</v>
      </c>
      <c r="M126" s="290">
        <v>0</v>
      </c>
      <c r="N126" s="290">
        <v>0</v>
      </c>
      <c r="O126" s="290">
        <v>0</v>
      </c>
      <c r="P126" s="287">
        <v>50000</v>
      </c>
      <c r="Q126" s="290">
        <v>0</v>
      </c>
      <c r="R126" s="290">
        <v>0</v>
      </c>
      <c r="S126" s="290">
        <v>0</v>
      </c>
      <c r="T126" s="290">
        <v>0</v>
      </c>
      <c r="U126" s="287">
        <v>0</v>
      </c>
      <c r="V126" s="290">
        <v>0</v>
      </c>
      <c r="W126" s="288" t="s">
        <v>687</v>
      </c>
      <c r="X126" s="289" t="s">
        <v>654</v>
      </c>
    </row>
    <row r="127" spans="1:24" x14ac:dyDescent="0.2">
      <c r="A127" s="292" t="s">
        <v>641</v>
      </c>
      <c r="B127" s="249" t="s">
        <v>321</v>
      </c>
      <c r="C127" s="249" t="s">
        <v>649</v>
      </c>
      <c r="D127" s="249">
        <v>210</v>
      </c>
      <c r="E127" s="287">
        <v>0</v>
      </c>
      <c r="F127" s="290">
        <v>160</v>
      </c>
      <c r="G127" s="287">
        <v>0</v>
      </c>
      <c r="H127" s="249">
        <v>3</v>
      </c>
      <c r="I127" s="290">
        <v>0</v>
      </c>
      <c r="J127" s="290">
        <v>0</v>
      </c>
      <c r="K127" s="290">
        <v>0</v>
      </c>
      <c r="L127" s="290">
        <v>0</v>
      </c>
      <c r="M127" s="290">
        <v>0</v>
      </c>
      <c r="N127" s="290">
        <v>0</v>
      </c>
      <c r="O127" s="290">
        <v>0</v>
      </c>
      <c r="P127" s="287">
        <v>50000</v>
      </c>
      <c r="Q127" s="290">
        <v>0</v>
      </c>
      <c r="R127" s="290">
        <v>0</v>
      </c>
      <c r="S127" s="290">
        <v>0</v>
      </c>
      <c r="T127" s="290">
        <v>0</v>
      </c>
      <c r="U127" s="287">
        <v>0</v>
      </c>
      <c r="V127" s="290">
        <v>0</v>
      </c>
      <c r="W127" s="288" t="s">
        <v>687</v>
      </c>
      <c r="X127" s="289" t="s">
        <v>654</v>
      </c>
    </row>
    <row r="128" spans="1:24" x14ac:dyDescent="0.2">
      <c r="A128" s="292" t="s">
        <v>642</v>
      </c>
      <c r="B128" s="249" t="s">
        <v>321</v>
      </c>
      <c r="C128" s="249" t="s">
        <v>650</v>
      </c>
      <c r="D128" s="249">
        <v>210</v>
      </c>
      <c r="E128" s="287">
        <v>0</v>
      </c>
      <c r="F128" s="290">
        <v>160</v>
      </c>
      <c r="G128" s="287">
        <v>0</v>
      </c>
      <c r="H128" s="249">
        <v>2.8</v>
      </c>
      <c r="I128" s="290">
        <v>0</v>
      </c>
      <c r="J128" s="290">
        <v>0</v>
      </c>
      <c r="K128" s="290">
        <v>0</v>
      </c>
      <c r="L128" s="290">
        <v>0</v>
      </c>
      <c r="M128" s="290">
        <v>0</v>
      </c>
      <c r="N128" s="290">
        <v>0</v>
      </c>
      <c r="O128" s="290">
        <v>0</v>
      </c>
      <c r="P128" s="287">
        <v>50000</v>
      </c>
      <c r="Q128" s="290">
        <v>0</v>
      </c>
      <c r="R128" s="290">
        <v>0</v>
      </c>
      <c r="S128" s="290">
        <v>0</v>
      </c>
      <c r="T128" s="290">
        <v>0</v>
      </c>
      <c r="U128" s="287">
        <v>0</v>
      </c>
      <c r="V128" s="290">
        <v>0</v>
      </c>
      <c r="W128" s="288" t="s">
        <v>687</v>
      </c>
      <c r="X128" s="289" t="s">
        <v>654</v>
      </c>
    </row>
    <row r="129" spans="1:27" x14ac:dyDescent="0.2">
      <c r="A129" s="292" t="s">
        <v>643</v>
      </c>
      <c r="B129" s="249" t="s">
        <v>321</v>
      </c>
      <c r="C129" s="249" t="s">
        <v>651</v>
      </c>
      <c r="D129" s="249">
        <v>210</v>
      </c>
      <c r="E129" s="287">
        <v>0</v>
      </c>
      <c r="F129" s="290">
        <v>160</v>
      </c>
      <c r="G129" s="287">
        <v>0</v>
      </c>
      <c r="H129" s="249">
        <v>2.7</v>
      </c>
      <c r="I129" s="290">
        <v>0</v>
      </c>
      <c r="J129" s="290">
        <v>0</v>
      </c>
      <c r="K129" s="290">
        <v>0</v>
      </c>
      <c r="L129" s="290">
        <v>0</v>
      </c>
      <c r="M129" s="290">
        <v>0</v>
      </c>
      <c r="N129" s="290">
        <v>0</v>
      </c>
      <c r="O129" s="290">
        <v>0</v>
      </c>
      <c r="P129" s="287">
        <v>50000</v>
      </c>
      <c r="Q129" s="290">
        <v>0</v>
      </c>
      <c r="R129" s="290">
        <v>0</v>
      </c>
      <c r="S129" s="290">
        <v>0</v>
      </c>
      <c r="T129" s="290">
        <v>0</v>
      </c>
      <c r="U129" s="287">
        <v>0</v>
      </c>
      <c r="V129" s="290">
        <v>0</v>
      </c>
      <c r="W129" s="288" t="s">
        <v>687</v>
      </c>
      <c r="X129" s="289" t="s">
        <v>654</v>
      </c>
    </row>
    <row r="130" spans="1:27" x14ac:dyDescent="0.2">
      <c r="X130" s="59"/>
      <c r="Y130" s="59"/>
    </row>
    <row r="131" spans="1:27" x14ac:dyDescent="0.2">
      <c r="A131" s="245" t="s">
        <v>615</v>
      </c>
      <c r="B131" s="249"/>
      <c r="C131" s="249"/>
      <c r="D131" s="249"/>
      <c r="E131" s="249"/>
      <c r="F131" s="249"/>
      <c r="G131" s="249"/>
      <c r="H131" s="249"/>
      <c r="I131" s="249"/>
      <c r="J131" s="59"/>
      <c r="K131" s="59"/>
      <c r="L131" s="59"/>
      <c r="M131" s="59"/>
      <c r="N131" s="59"/>
      <c r="O131" s="59"/>
      <c r="P131" s="59"/>
      <c r="Q131" s="59"/>
      <c r="R131" s="59"/>
      <c r="S131" s="59"/>
      <c r="T131" s="59"/>
      <c r="U131" s="59"/>
      <c r="V131" s="59"/>
      <c r="W131" s="59"/>
      <c r="X131" s="59"/>
      <c r="Y131" s="59"/>
      <c r="Z131" s="59"/>
      <c r="AA131" s="59"/>
    </row>
    <row r="132" spans="1:27" x14ac:dyDescent="0.2">
      <c r="A132" s="170"/>
      <c r="B132" s="289" t="s">
        <v>616</v>
      </c>
      <c r="C132" s="249" t="s">
        <v>617</v>
      </c>
      <c r="D132" s="249" t="s">
        <v>618</v>
      </c>
      <c r="E132" s="249" t="s">
        <v>619</v>
      </c>
      <c r="F132" s="249" t="s">
        <v>339</v>
      </c>
      <c r="G132" s="249" t="s">
        <v>620</v>
      </c>
      <c r="H132" s="249" t="s">
        <v>621</v>
      </c>
      <c r="I132" s="249" t="s">
        <v>622</v>
      </c>
      <c r="J132" s="59"/>
      <c r="K132" s="59"/>
      <c r="L132" s="59"/>
      <c r="M132" s="59"/>
      <c r="N132" s="59"/>
      <c r="O132" s="59"/>
      <c r="P132" s="59"/>
      <c r="Q132" s="59"/>
      <c r="R132" s="59"/>
      <c r="S132" s="59"/>
      <c r="T132" s="59"/>
      <c r="U132" s="59"/>
      <c r="V132" s="59"/>
      <c r="W132" s="59"/>
      <c r="X132" s="59"/>
      <c r="Y132" s="59"/>
      <c r="Z132" s="59"/>
      <c r="AA132" s="59"/>
    </row>
    <row r="133" spans="1:27" x14ac:dyDescent="0.2">
      <c r="A133" s="289" t="s">
        <v>639</v>
      </c>
      <c r="B133" s="289" t="s">
        <v>630</v>
      </c>
      <c r="C133" s="249" t="s">
        <v>624</v>
      </c>
      <c r="D133" s="293" t="s">
        <v>625</v>
      </c>
      <c r="E133" s="293" t="s">
        <v>625</v>
      </c>
      <c r="F133" s="293" t="s">
        <v>626</v>
      </c>
      <c r="G133" s="293" t="s">
        <v>627</v>
      </c>
      <c r="H133" s="293" t="s">
        <v>628</v>
      </c>
      <c r="I133" s="249" t="s">
        <v>629</v>
      </c>
      <c r="J133" s="59"/>
      <c r="K133" s="59"/>
      <c r="L133" s="59"/>
      <c r="M133" s="59"/>
      <c r="N133" s="59"/>
      <c r="O133" s="59"/>
      <c r="P133" s="59"/>
      <c r="Q133" s="59"/>
      <c r="R133" s="59"/>
      <c r="S133" s="59"/>
      <c r="T133" s="59"/>
      <c r="U133" s="59"/>
      <c r="V133" s="59"/>
      <c r="W133" s="59"/>
      <c r="X133" s="59"/>
      <c r="Y133" s="59"/>
      <c r="Z133" s="59"/>
      <c r="AA133" s="59"/>
    </row>
    <row r="134" spans="1:27" x14ac:dyDescent="0.2">
      <c r="A134" s="294">
        <v>44197</v>
      </c>
      <c r="B134" s="289" t="s">
        <v>623</v>
      </c>
      <c r="C134" s="249" t="s">
        <v>624</v>
      </c>
      <c r="D134" s="293" t="s">
        <v>625</v>
      </c>
      <c r="E134" s="293" t="s">
        <v>625</v>
      </c>
      <c r="F134" s="293" t="s">
        <v>626</v>
      </c>
      <c r="G134" s="293" t="s">
        <v>631</v>
      </c>
      <c r="H134" s="293" t="s">
        <v>628</v>
      </c>
      <c r="I134" s="249" t="s">
        <v>629</v>
      </c>
      <c r="J134" s="59"/>
      <c r="K134" s="59"/>
      <c r="L134" s="59"/>
      <c r="M134" s="59"/>
    </row>
    <row r="136" spans="1:27" x14ac:dyDescent="0.2">
      <c r="A136" s="295" t="s">
        <v>87</v>
      </c>
      <c r="B136" s="295" t="s">
        <v>86</v>
      </c>
    </row>
    <row r="137" spans="1:27" x14ac:dyDescent="0.2">
      <c r="A137" s="295" t="s">
        <v>85</v>
      </c>
      <c r="B137" s="295">
        <v>2</v>
      </c>
    </row>
    <row r="138" spans="1:27" x14ac:dyDescent="0.2">
      <c r="A138" s="295" t="s">
        <v>84</v>
      </c>
      <c r="B138" s="295">
        <v>1.5</v>
      </c>
    </row>
    <row r="139" spans="1:27" x14ac:dyDescent="0.2">
      <c r="A139" s="295" t="s">
        <v>83</v>
      </c>
      <c r="B139" s="295">
        <v>1.3</v>
      </c>
    </row>
    <row r="140" spans="1:27" x14ac:dyDescent="0.2">
      <c r="A140" s="295" t="s">
        <v>82</v>
      </c>
      <c r="B140" s="295">
        <v>1.3</v>
      </c>
    </row>
    <row r="141" spans="1:27" x14ac:dyDescent="0.2">
      <c r="A141" s="57"/>
    </row>
    <row r="142" spans="1:27" x14ac:dyDescent="0.2">
      <c r="A142" s="245" t="s">
        <v>835</v>
      </c>
      <c r="B142" s="246"/>
      <c r="C142" s="246"/>
      <c r="D142" s="246"/>
      <c r="E142" s="246"/>
      <c r="F142" s="246"/>
      <c r="G142" s="246"/>
      <c r="H142" s="246"/>
      <c r="I142" s="246"/>
      <c r="J142" s="246"/>
      <c r="K142" s="246"/>
      <c r="L142" s="246"/>
      <c r="M142" s="246"/>
      <c r="N142" s="246"/>
      <c r="O142" s="246"/>
      <c r="P142" s="246"/>
    </row>
    <row r="143" spans="1:27" x14ac:dyDescent="0.2">
      <c r="A143" s="247" t="s">
        <v>836</v>
      </c>
      <c r="B143" s="248">
        <v>1</v>
      </c>
      <c r="C143" s="248">
        <v>2</v>
      </c>
      <c r="D143" s="248">
        <v>3</v>
      </c>
      <c r="E143" s="248">
        <v>4</v>
      </c>
      <c r="F143" s="248">
        <v>5</v>
      </c>
      <c r="G143" s="248">
        <v>6</v>
      </c>
      <c r="H143" s="248">
        <v>7</v>
      </c>
      <c r="I143" s="248">
        <v>8</v>
      </c>
      <c r="J143" s="248">
        <v>9</v>
      </c>
      <c r="K143" s="248">
        <v>10</v>
      </c>
      <c r="L143" s="248">
        <v>11</v>
      </c>
      <c r="M143" s="248">
        <v>12</v>
      </c>
      <c r="N143" s="248">
        <v>13</v>
      </c>
      <c r="O143" s="248">
        <v>14</v>
      </c>
      <c r="P143" s="248">
        <v>15</v>
      </c>
    </row>
    <row r="144" spans="1:27" x14ac:dyDescent="0.2">
      <c r="A144" s="249" t="s">
        <v>162</v>
      </c>
      <c r="B144" s="387">
        <v>0.12540000000000001</v>
      </c>
      <c r="C144" s="387">
        <v>0.1129</v>
      </c>
      <c r="D144" s="387">
        <v>0.1016</v>
      </c>
      <c r="E144" s="387">
        <v>9.3399999999999997E-2</v>
      </c>
      <c r="F144" s="387">
        <v>8.5999999999999993E-2</v>
      </c>
      <c r="G144" s="387">
        <v>7.9100000000000004E-2</v>
      </c>
      <c r="H144" s="387">
        <v>7.2800000000000004E-2</v>
      </c>
      <c r="I144" s="387">
        <v>6.8400000000000002E-2</v>
      </c>
      <c r="J144" s="387">
        <v>6.4299999999999996E-2</v>
      </c>
      <c r="K144" s="387">
        <v>6.0400000000000002E-2</v>
      </c>
      <c r="L144" s="387">
        <v>5.6800000000000003E-2</v>
      </c>
      <c r="M144" s="387">
        <v>5.3400000000000003E-2</v>
      </c>
      <c r="N144" s="387">
        <v>5.0200000000000002E-2</v>
      </c>
      <c r="O144" s="387">
        <v>4.7199999999999999E-2</v>
      </c>
      <c r="P144" s="387">
        <v>4.4400000000000002E-2</v>
      </c>
    </row>
    <row r="145" spans="1:20" x14ac:dyDescent="0.2">
      <c r="A145" s="247" t="s">
        <v>164</v>
      </c>
      <c r="B145" s="388">
        <v>0.1777</v>
      </c>
      <c r="C145" s="388">
        <v>0.15989999999999999</v>
      </c>
      <c r="D145" s="388">
        <v>0.1439</v>
      </c>
      <c r="E145" s="388">
        <v>0.13239999999999999</v>
      </c>
      <c r="F145" s="388">
        <v>0.12180000000000001</v>
      </c>
      <c r="G145" s="388">
        <v>0.11210000000000001</v>
      </c>
      <c r="H145" s="388">
        <v>0.1031</v>
      </c>
      <c r="I145" s="388">
        <v>9.69E-2</v>
      </c>
      <c r="J145" s="388">
        <v>9.11E-2</v>
      </c>
      <c r="K145" s="388">
        <v>8.5599999999999996E-2</v>
      </c>
      <c r="L145" s="388">
        <v>8.0500000000000002E-2</v>
      </c>
      <c r="M145" s="388">
        <v>7.5700000000000003E-2</v>
      </c>
      <c r="N145" s="388">
        <v>7.1099999999999997E-2</v>
      </c>
      <c r="O145" s="388">
        <v>6.6799999999999998E-2</v>
      </c>
      <c r="P145" s="388">
        <v>6.2799999999999995E-2</v>
      </c>
    </row>
    <row r="146" spans="1:20" x14ac:dyDescent="0.2">
      <c r="A146" s="249" t="s">
        <v>163</v>
      </c>
      <c r="B146" s="387">
        <v>0.2404</v>
      </c>
      <c r="C146" s="387">
        <v>0.21629999999999999</v>
      </c>
      <c r="D146" s="387">
        <v>0.19470000000000001</v>
      </c>
      <c r="E146" s="387">
        <v>0.17910000000000001</v>
      </c>
      <c r="F146" s="387">
        <v>0.1648</v>
      </c>
      <c r="G146" s="387">
        <v>0.15160000000000001</v>
      </c>
      <c r="H146" s="387">
        <v>0.13950000000000001</v>
      </c>
      <c r="I146" s="387">
        <v>0.13109999999999999</v>
      </c>
      <c r="J146" s="387">
        <v>0.1232</v>
      </c>
      <c r="K146" s="387">
        <v>0.1158</v>
      </c>
      <c r="L146" s="387">
        <v>0.1089</v>
      </c>
      <c r="M146" s="387">
        <v>0.1024</v>
      </c>
      <c r="N146" s="387">
        <v>9.6199999999999994E-2</v>
      </c>
      <c r="O146" s="387">
        <v>9.0399999999999994E-2</v>
      </c>
      <c r="P146" s="387">
        <v>8.5000000000000006E-2</v>
      </c>
    </row>
    <row r="147" spans="1:20" x14ac:dyDescent="0.2">
      <c r="A147" s="57"/>
    </row>
    <row r="148" spans="1:20" x14ac:dyDescent="0.2">
      <c r="A148" s="215" t="s">
        <v>834</v>
      </c>
      <c r="B148" s="166" t="s">
        <v>529</v>
      </c>
      <c r="C148" s="166" t="s">
        <v>75</v>
      </c>
      <c r="D148" s="166" t="s">
        <v>526</v>
      </c>
      <c r="E148" s="166" t="s">
        <v>527</v>
      </c>
      <c r="F148" s="166" t="s">
        <v>229</v>
      </c>
    </row>
    <row r="149" spans="1:20" x14ac:dyDescent="0.2">
      <c r="A149" s="166" t="s">
        <v>162</v>
      </c>
      <c r="B149" s="166">
        <v>1</v>
      </c>
      <c r="C149" s="166">
        <v>1</v>
      </c>
      <c r="D149" s="166">
        <v>1</v>
      </c>
      <c r="E149" s="166">
        <v>1</v>
      </c>
      <c r="F149" s="166" t="s">
        <v>101</v>
      </c>
    </row>
    <row r="150" spans="1:20" x14ac:dyDescent="0.2">
      <c r="A150" s="166" t="s">
        <v>164</v>
      </c>
      <c r="B150" s="166">
        <v>0.9</v>
      </c>
      <c r="C150" s="166">
        <v>0.9</v>
      </c>
      <c r="D150" s="166">
        <v>0.9</v>
      </c>
      <c r="E150" s="166">
        <v>0.97</v>
      </c>
      <c r="F150" s="166" t="s">
        <v>101</v>
      </c>
    </row>
    <row r="151" spans="1:20" x14ac:dyDescent="0.2">
      <c r="A151" s="166" t="s">
        <v>163</v>
      </c>
      <c r="B151" s="166">
        <v>0.6</v>
      </c>
      <c r="C151" s="166">
        <v>0.85</v>
      </c>
      <c r="D151" s="166">
        <v>0.85</v>
      </c>
      <c r="E151" s="166">
        <v>0.95</v>
      </c>
      <c r="F151" s="166" t="s">
        <v>101</v>
      </c>
    </row>
    <row r="152" spans="1:20" x14ac:dyDescent="0.2">
      <c r="A152" s="166" t="s">
        <v>228</v>
      </c>
      <c r="B152" s="166" t="s">
        <v>101</v>
      </c>
      <c r="C152" s="166" t="s">
        <v>101</v>
      </c>
      <c r="D152" s="166" t="s">
        <v>101</v>
      </c>
      <c r="E152" s="166" t="s">
        <v>101</v>
      </c>
      <c r="F152" s="166">
        <v>1</v>
      </c>
    </row>
    <row r="153" spans="1:20" x14ac:dyDescent="0.2">
      <c r="A153" s="166" t="s">
        <v>528</v>
      </c>
      <c r="B153" s="166" t="s">
        <v>101</v>
      </c>
      <c r="C153" s="166" t="s">
        <v>101</v>
      </c>
      <c r="D153" s="166" t="s">
        <v>101</v>
      </c>
      <c r="E153" s="166" t="s">
        <v>101</v>
      </c>
      <c r="F153" s="166">
        <v>0.9</v>
      </c>
    </row>
    <row r="154" spans="1:20" x14ac:dyDescent="0.2">
      <c r="A154"/>
    </row>
    <row r="155" spans="1:20" x14ac:dyDescent="0.2">
      <c r="A155" s="389" t="s">
        <v>933</v>
      </c>
      <c r="B155" s="390"/>
      <c r="C155" s="390"/>
      <c r="D155" s="390"/>
      <c r="E155" s="390"/>
      <c r="F155" s="390"/>
      <c r="G155" s="390"/>
      <c r="H155" s="390"/>
      <c r="I155" s="390"/>
      <c r="J155" s="390"/>
      <c r="K155" s="390"/>
      <c r="L155" s="390"/>
      <c r="M155" s="390"/>
      <c r="N155" s="390"/>
      <c r="O155" s="390"/>
      <c r="P155" s="390"/>
      <c r="Q155" s="390"/>
      <c r="R155" s="390"/>
      <c r="S155" s="390"/>
    </row>
    <row r="156" spans="1:20" x14ac:dyDescent="0.2">
      <c r="A156" s="390" t="s">
        <v>934</v>
      </c>
      <c r="B156" s="390"/>
      <c r="C156" s="390"/>
      <c r="D156" s="390"/>
      <c r="E156" s="390"/>
      <c r="F156" s="390"/>
      <c r="G156" s="390"/>
      <c r="H156" s="390"/>
      <c r="I156" s="390"/>
      <c r="J156" s="390"/>
      <c r="K156" s="390"/>
      <c r="L156" s="391" t="s">
        <v>935</v>
      </c>
      <c r="M156" s="392"/>
      <c r="N156" s="392"/>
      <c r="O156" s="392"/>
      <c r="P156" s="392"/>
      <c r="Q156" s="392"/>
      <c r="R156" s="390"/>
      <c r="S156" s="390"/>
    </row>
    <row r="157" spans="1:20" x14ac:dyDescent="0.2">
      <c r="A157" s="390" t="s">
        <v>936</v>
      </c>
      <c r="B157" s="390"/>
      <c r="C157" s="390"/>
      <c r="D157" s="390"/>
      <c r="E157" s="390"/>
      <c r="F157" s="390"/>
      <c r="G157" s="390"/>
      <c r="H157" s="390"/>
      <c r="I157" s="390"/>
      <c r="J157" s="390"/>
      <c r="K157" s="390"/>
      <c r="L157" s="390"/>
      <c r="M157" s="390"/>
      <c r="N157" s="390"/>
      <c r="O157" s="390"/>
      <c r="P157" s="390"/>
      <c r="Q157" s="390"/>
      <c r="R157" s="390"/>
      <c r="S157" s="390"/>
    </row>
    <row r="158" spans="1:20" x14ac:dyDescent="0.2">
      <c r="A158" s="390" t="s">
        <v>937</v>
      </c>
      <c r="B158" s="390"/>
      <c r="C158" s="390"/>
      <c r="D158" s="390"/>
      <c r="E158" s="390"/>
      <c r="F158" s="390"/>
      <c r="G158" s="390"/>
      <c r="H158" s="390"/>
      <c r="I158" s="390"/>
      <c r="J158" s="390"/>
      <c r="K158" s="390"/>
      <c r="L158" s="390"/>
      <c r="M158" s="390"/>
      <c r="N158" s="390"/>
      <c r="O158" s="390"/>
      <c r="P158" s="390"/>
      <c r="Q158" s="390"/>
      <c r="R158" s="390"/>
      <c r="S158" s="390"/>
    </row>
    <row r="159" spans="1:20" x14ac:dyDescent="0.2">
      <c r="A159" s="390"/>
      <c r="B159" s="390"/>
      <c r="C159" s="390"/>
      <c r="D159" s="390"/>
      <c r="E159" s="390"/>
      <c r="F159" s="390"/>
      <c r="G159" s="390"/>
      <c r="H159" s="390"/>
      <c r="I159" s="390"/>
      <c r="J159" s="390"/>
      <c r="K159" s="390"/>
      <c r="L159" s="390"/>
      <c r="M159" s="390"/>
      <c r="N159" s="390"/>
      <c r="O159" s="390"/>
      <c r="P159" s="390"/>
      <c r="Q159" s="390"/>
      <c r="R159" s="390"/>
      <c r="S159" s="390"/>
    </row>
    <row r="160" spans="1:20" x14ac:dyDescent="0.2">
      <c r="A160" s="390"/>
      <c r="B160" s="390"/>
      <c r="C160" s="409" t="s">
        <v>980</v>
      </c>
      <c r="D160" s="393" t="s">
        <v>923</v>
      </c>
      <c r="E160" s="393" t="s">
        <v>938</v>
      </c>
      <c r="F160" s="393" t="s">
        <v>926</v>
      </c>
      <c r="G160" s="393" t="s">
        <v>922</v>
      </c>
      <c r="H160" s="393" t="s">
        <v>939</v>
      </c>
      <c r="I160" s="393" t="s">
        <v>940</v>
      </c>
      <c r="J160" s="393" t="s">
        <v>921</v>
      </c>
      <c r="K160" s="393" t="s">
        <v>941</v>
      </c>
      <c r="L160" s="393" t="s">
        <v>919</v>
      </c>
      <c r="M160" s="393" t="s">
        <v>942</v>
      </c>
      <c r="N160" s="393" t="s">
        <v>943</v>
      </c>
      <c r="O160" s="393" t="s">
        <v>920</v>
      </c>
      <c r="P160" s="393" t="s">
        <v>944</v>
      </c>
      <c r="Q160" s="393" t="s">
        <v>945</v>
      </c>
      <c r="R160" s="393" t="s">
        <v>946</v>
      </c>
      <c r="S160" s="393" t="s">
        <v>947</v>
      </c>
      <c r="T160" s="393"/>
    </row>
    <row r="161" spans="1:20" x14ac:dyDescent="0.2">
      <c r="A161" s="484" t="s">
        <v>948</v>
      </c>
      <c r="B161" s="405" t="s">
        <v>949</v>
      </c>
      <c r="C161" s="268"/>
      <c r="D161" s="394" t="s">
        <v>924</v>
      </c>
      <c r="E161" s="394" t="s">
        <v>950</v>
      </c>
      <c r="F161" s="394" t="s">
        <v>925</v>
      </c>
      <c r="G161" s="394" t="s">
        <v>927</v>
      </c>
      <c r="H161" s="394" t="s">
        <v>951</v>
      </c>
      <c r="I161" s="394" t="s">
        <v>952</v>
      </c>
      <c r="J161" s="395" t="s">
        <v>953</v>
      </c>
      <c r="K161" s="394" t="s">
        <v>954</v>
      </c>
      <c r="L161" s="394" t="s">
        <v>930</v>
      </c>
      <c r="M161" s="395" t="s">
        <v>929</v>
      </c>
      <c r="N161" s="394" t="s">
        <v>928</v>
      </c>
      <c r="O161" s="395" t="s">
        <v>931</v>
      </c>
      <c r="P161" s="394" t="s">
        <v>101</v>
      </c>
      <c r="Q161" s="394" t="s">
        <v>101</v>
      </c>
      <c r="R161" s="394" t="s">
        <v>101</v>
      </c>
      <c r="S161" s="395" t="s">
        <v>955</v>
      </c>
      <c r="T161" s="400" t="s">
        <v>956</v>
      </c>
    </row>
    <row r="162" spans="1:20" x14ac:dyDescent="0.2">
      <c r="A162" s="484"/>
      <c r="B162" s="405" t="s">
        <v>957</v>
      </c>
      <c r="C162" s="268"/>
      <c r="D162" s="394">
        <v>1000</v>
      </c>
      <c r="E162" s="394">
        <v>250</v>
      </c>
      <c r="F162" s="394"/>
      <c r="G162" s="394">
        <v>480</v>
      </c>
      <c r="H162" s="394">
        <v>150</v>
      </c>
      <c r="I162" s="394">
        <v>20</v>
      </c>
      <c r="J162" s="395" t="s">
        <v>958</v>
      </c>
      <c r="K162" s="394">
        <v>5</v>
      </c>
      <c r="L162" s="394">
        <v>20</v>
      </c>
      <c r="M162" s="394">
        <v>25</v>
      </c>
      <c r="N162" s="394">
        <v>40</v>
      </c>
      <c r="O162" s="394">
        <v>15</v>
      </c>
      <c r="P162" s="394" t="s">
        <v>101</v>
      </c>
      <c r="Q162" s="394" t="s">
        <v>101</v>
      </c>
      <c r="R162" s="394" t="s">
        <v>101</v>
      </c>
      <c r="S162" s="394">
        <v>5</v>
      </c>
      <c r="T162" s="400"/>
    </row>
    <row r="163" spans="1:20" x14ac:dyDescent="0.2">
      <c r="A163" s="484"/>
      <c r="B163" s="406" t="s">
        <v>949</v>
      </c>
      <c r="C163" s="170"/>
      <c r="D163" s="393" t="s">
        <v>959</v>
      </c>
      <c r="E163" s="393" t="s">
        <v>960</v>
      </c>
      <c r="F163" s="393"/>
      <c r="G163" s="393" t="s">
        <v>961</v>
      </c>
      <c r="H163" s="393" t="s">
        <v>962</v>
      </c>
      <c r="I163" s="393" t="s">
        <v>101</v>
      </c>
      <c r="J163" s="396" t="s">
        <v>963</v>
      </c>
      <c r="K163" s="393" t="s">
        <v>964</v>
      </c>
      <c r="L163" s="393" t="s">
        <v>965</v>
      </c>
      <c r="M163" s="396" t="s">
        <v>963</v>
      </c>
      <c r="N163" s="393" t="s">
        <v>966</v>
      </c>
      <c r="O163" s="393" t="s">
        <v>967</v>
      </c>
      <c r="P163" s="393" t="s">
        <v>101</v>
      </c>
      <c r="Q163" s="393" t="s">
        <v>101</v>
      </c>
      <c r="R163" s="393" t="s">
        <v>101</v>
      </c>
      <c r="S163" s="393" t="s">
        <v>968</v>
      </c>
      <c r="T163" s="399" t="s">
        <v>969</v>
      </c>
    </row>
    <row r="164" spans="1:20" x14ac:dyDescent="0.2">
      <c r="A164" s="484"/>
      <c r="B164" s="407" t="s">
        <v>957</v>
      </c>
      <c r="C164" s="170"/>
      <c r="D164" s="393">
        <v>800</v>
      </c>
      <c r="E164" s="393">
        <v>140</v>
      </c>
      <c r="F164" s="393"/>
      <c r="G164" s="393">
        <v>600</v>
      </c>
      <c r="H164" s="393">
        <v>130</v>
      </c>
      <c r="I164" s="393" t="s">
        <v>101</v>
      </c>
      <c r="J164" s="396" t="s">
        <v>970</v>
      </c>
      <c r="K164" s="393">
        <v>30</v>
      </c>
      <c r="L164" s="393">
        <v>10</v>
      </c>
      <c r="M164" s="393">
        <v>30</v>
      </c>
      <c r="N164" s="393">
        <v>40</v>
      </c>
      <c r="O164" s="393">
        <v>20</v>
      </c>
      <c r="P164" s="393" t="s">
        <v>101</v>
      </c>
      <c r="Q164" s="393" t="s">
        <v>101</v>
      </c>
      <c r="R164" s="393" t="s">
        <v>101</v>
      </c>
      <c r="S164" s="393">
        <v>20</v>
      </c>
      <c r="T164" s="399"/>
    </row>
    <row r="165" spans="1:20" x14ac:dyDescent="0.2">
      <c r="A165" s="484"/>
      <c r="B165" s="405" t="s">
        <v>949</v>
      </c>
      <c r="C165" s="268"/>
      <c r="D165" s="397"/>
      <c r="E165" s="397"/>
      <c r="F165" s="397"/>
      <c r="G165" s="397"/>
      <c r="H165" s="397"/>
      <c r="I165" s="397"/>
      <c r="J165" s="397"/>
      <c r="K165" s="397"/>
      <c r="L165" s="397"/>
      <c r="M165" s="397"/>
      <c r="N165" s="397"/>
      <c r="O165" s="397"/>
      <c r="P165" s="397"/>
      <c r="Q165" s="394" t="s">
        <v>971</v>
      </c>
      <c r="R165" s="394" t="s">
        <v>972</v>
      </c>
      <c r="S165" s="397"/>
      <c r="T165" s="404" t="s">
        <v>973</v>
      </c>
    </row>
    <row r="166" spans="1:20" x14ac:dyDescent="0.2">
      <c r="A166" s="484"/>
      <c r="B166" s="405" t="s">
        <v>298</v>
      </c>
      <c r="C166" s="268"/>
      <c r="D166" s="397"/>
      <c r="E166" s="397"/>
      <c r="F166" s="397"/>
      <c r="G166" s="397"/>
      <c r="H166" s="397"/>
      <c r="I166" s="397"/>
      <c r="J166" s="397"/>
      <c r="K166" s="397"/>
      <c r="L166" s="397"/>
      <c r="M166" s="397"/>
      <c r="N166" s="397"/>
      <c r="O166" s="397"/>
      <c r="P166" s="397"/>
      <c r="Q166" s="397"/>
      <c r="R166" s="397">
        <v>100</v>
      </c>
      <c r="S166" s="397"/>
      <c r="T166" s="404"/>
    </row>
    <row r="167" spans="1:20" x14ac:dyDescent="0.2">
      <c r="A167" s="390"/>
      <c r="B167" s="408" t="s">
        <v>974</v>
      </c>
      <c r="C167" s="170"/>
      <c r="D167" s="393" t="s">
        <v>101</v>
      </c>
      <c r="E167" s="393" t="s">
        <v>101</v>
      </c>
      <c r="F167" s="393" t="s">
        <v>101</v>
      </c>
      <c r="G167" s="393" t="s">
        <v>101</v>
      </c>
      <c r="H167" s="393" t="s">
        <v>101</v>
      </c>
      <c r="I167" s="393" t="s">
        <v>101</v>
      </c>
      <c r="J167" s="393" t="s">
        <v>101</v>
      </c>
      <c r="K167" s="393" t="s">
        <v>101</v>
      </c>
      <c r="L167" s="393" t="s">
        <v>101</v>
      </c>
      <c r="M167" s="393" t="s">
        <v>101</v>
      </c>
      <c r="N167" s="393" t="s">
        <v>101</v>
      </c>
      <c r="O167" s="393" t="s">
        <v>101</v>
      </c>
      <c r="P167" s="393">
        <v>280</v>
      </c>
      <c r="Q167" s="398">
        <v>131</v>
      </c>
      <c r="R167" s="398">
        <v>100</v>
      </c>
      <c r="S167" s="399" t="s">
        <v>101</v>
      </c>
      <c r="T167" s="399" t="s">
        <v>975</v>
      </c>
    </row>
    <row r="168" spans="1:20" x14ac:dyDescent="0.2">
      <c r="A168" s="390"/>
      <c r="B168" s="405" t="s">
        <v>976</v>
      </c>
      <c r="C168" s="268">
        <v>233</v>
      </c>
      <c r="D168" s="394">
        <f>(D162+D164)/2</f>
        <v>900</v>
      </c>
      <c r="E168" s="394">
        <f t="shared" ref="E168:H168" si="3">(E162+E164)/2</f>
        <v>195</v>
      </c>
      <c r="F168" s="394">
        <v>660</v>
      </c>
      <c r="G168" s="394">
        <f t="shared" si="3"/>
        <v>540</v>
      </c>
      <c r="H168" s="394">
        <f t="shared" si="3"/>
        <v>140</v>
      </c>
      <c r="I168" s="394">
        <v>20</v>
      </c>
      <c r="J168" s="395">
        <f t="shared" ref="J168:O168" si="4">(J162+J164)/2</f>
        <v>27.5</v>
      </c>
      <c r="K168" s="395">
        <f t="shared" si="4"/>
        <v>17.5</v>
      </c>
      <c r="L168" s="395">
        <f t="shared" si="4"/>
        <v>15</v>
      </c>
      <c r="M168" s="395">
        <f t="shared" si="4"/>
        <v>27.5</v>
      </c>
      <c r="N168" s="395">
        <f t="shared" si="4"/>
        <v>40</v>
      </c>
      <c r="O168" s="395">
        <f t="shared" si="4"/>
        <v>17.5</v>
      </c>
      <c r="P168" s="394">
        <v>280</v>
      </c>
      <c r="Q168" s="397">
        <v>131</v>
      </c>
      <c r="R168" s="397">
        <v>100</v>
      </c>
      <c r="S168" s="400">
        <f>(S162+S164)/2</f>
        <v>12.5</v>
      </c>
      <c r="T168" s="400" t="s">
        <v>977</v>
      </c>
    </row>
    <row r="169" spans="1:20" x14ac:dyDescent="0.2">
      <c r="A169" s="390"/>
      <c r="B169" s="390"/>
      <c r="C169" s="390"/>
      <c r="D169" s="390"/>
      <c r="E169" s="390"/>
      <c r="F169" s="390"/>
      <c r="G169" s="390"/>
      <c r="H169" s="390"/>
      <c r="I169" s="390"/>
      <c r="J169" s="390"/>
      <c r="K169" s="390"/>
      <c r="L169" s="390"/>
      <c r="M169" s="390"/>
      <c r="N169" s="390"/>
      <c r="O169" s="390"/>
      <c r="P169" s="401"/>
      <c r="Q169" s="401"/>
      <c r="R169" s="402"/>
      <c r="S169" s="402"/>
    </row>
    <row r="170" spans="1:20" x14ac:dyDescent="0.2">
      <c r="A170" s="403" t="s">
        <v>978</v>
      </c>
      <c r="B170" s="403" t="str">
        <f>Overview!B54</f>
        <v>Average UK energy mix</v>
      </c>
      <c r="C170" s="390"/>
      <c r="D170" s="390"/>
      <c r="E170" s="390"/>
      <c r="F170" s="390"/>
      <c r="G170" s="390"/>
      <c r="H170" s="390"/>
      <c r="I170" s="390"/>
      <c r="J170" s="390"/>
      <c r="K170" s="390"/>
      <c r="L170" s="390"/>
      <c r="M170" s="390"/>
      <c r="N170" s="390"/>
      <c r="O170" s="390"/>
      <c r="P170" s="390"/>
      <c r="Q170" s="390"/>
      <c r="R170" s="390"/>
      <c r="S170" s="390"/>
    </row>
    <row r="171" spans="1:20" x14ac:dyDescent="0.2">
      <c r="A171" s="390" t="s">
        <v>981</v>
      </c>
      <c r="B171" s="390">
        <f>HLOOKUP(Overview!B54,C160:S168, 9, FALSE)</f>
        <v>233</v>
      </c>
      <c r="C171" s="390"/>
      <c r="D171" s="390"/>
      <c r="E171" s="390"/>
      <c r="F171" s="390"/>
      <c r="G171" s="390"/>
      <c r="H171" s="390"/>
      <c r="I171" s="390"/>
      <c r="J171" s="390"/>
      <c r="K171" s="390"/>
      <c r="L171" s="390"/>
      <c r="M171" s="390"/>
      <c r="N171" s="390"/>
      <c r="O171" s="390"/>
      <c r="P171" s="390"/>
      <c r="Q171" s="390"/>
      <c r="R171" s="390"/>
      <c r="S171" s="390"/>
    </row>
    <row r="172" spans="1:20" x14ac:dyDescent="0.2">
      <c r="A172" s="390"/>
      <c r="B172" s="390"/>
      <c r="C172" s="390"/>
      <c r="D172" s="390"/>
      <c r="E172" s="390"/>
      <c r="F172" s="390"/>
      <c r="G172" s="390"/>
      <c r="H172" s="390"/>
      <c r="I172" s="390"/>
      <c r="J172" s="390"/>
      <c r="K172" s="390"/>
      <c r="L172" s="390"/>
      <c r="M172" s="390"/>
      <c r="N172" s="390"/>
      <c r="O172" s="390"/>
      <c r="P172" s="390"/>
      <c r="Q172" s="390"/>
      <c r="R172" s="390"/>
      <c r="S172" s="390"/>
    </row>
    <row r="173" spans="1:20" x14ac:dyDescent="0.2">
      <c r="A173" s="38" t="s">
        <v>1007</v>
      </c>
    </row>
    <row r="174" spans="1:20" x14ac:dyDescent="0.2">
      <c r="A174" s="44" t="s">
        <v>1008</v>
      </c>
      <c r="B174" s="44" t="s">
        <v>1009</v>
      </c>
      <c r="C174" s="44" t="s">
        <v>1010</v>
      </c>
      <c r="D174" s="44" t="s">
        <v>1011</v>
      </c>
      <c r="E174" s="44" t="s">
        <v>1012</v>
      </c>
      <c r="F174" s="44" t="s">
        <v>1013</v>
      </c>
      <c r="G174" s="44" t="s">
        <v>1014</v>
      </c>
      <c r="H174" s="44" t="s">
        <v>1015</v>
      </c>
      <c r="I174" s="44" t="s">
        <v>1016</v>
      </c>
      <c r="J174" s="44" t="s">
        <v>1017</v>
      </c>
      <c r="K174" s="44" t="s">
        <v>1018</v>
      </c>
      <c r="L174" s="44" t="s">
        <v>1019</v>
      </c>
      <c r="M174" s="44" t="s">
        <v>20</v>
      </c>
    </row>
    <row r="175" spans="1:20" x14ac:dyDescent="0.2">
      <c r="A175" s="38" t="s">
        <v>1020</v>
      </c>
      <c r="B175" s="38" t="s">
        <v>1021</v>
      </c>
      <c r="C175" s="38" t="s">
        <v>670</v>
      </c>
      <c r="D175" s="38" t="s">
        <v>1022</v>
      </c>
      <c r="E175" s="38">
        <v>1</v>
      </c>
      <c r="F175" s="38">
        <v>200</v>
      </c>
      <c r="G175" s="38">
        <v>200</v>
      </c>
      <c r="H175" s="38">
        <v>24</v>
      </c>
      <c r="I175" s="38">
        <v>4800</v>
      </c>
      <c r="J175" s="38"/>
      <c r="K175" s="38"/>
      <c r="L175" s="38"/>
      <c r="M175" s="38"/>
    </row>
    <row r="176" spans="1:20" x14ac:dyDescent="0.2">
      <c r="A176" s="38" t="s">
        <v>1023</v>
      </c>
      <c r="B176" s="38" t="s">
        <v>1024</v>
      </c>
      <c r="C176" s="38" t="s">
        <v>1025</v>
      </c>
      <c r="D176" s="38" t="s">
        <v>1026</v>
      </c>
      <c r="E176" s="38">
        <v>1</v>
      </c>
      <c r="F176" s="38">
        <v>0</v>
      </c>
      <c r="G176" s="38">
        <v>0</v>
      </c>
      <c r="H176" s="38">
        <v>0</v>
      </c>
      <c r="I176" s="38">
        <v>0</v>
      </c>
      <c r="J176" s="38"/>
      <c r="K176" s="38"/>
      <c r="L176" s="38"/>
      <c r="M176" s="38" t="s">
        <v>1027</v>
      </c>
    </row>
    <row r="177" spans="1:13" x14ac:dyDescent="0.2">
      <c r="A177" s="38" t="s">
        <v>1028</v>
      </c>
      <c r="B177" s="38" t="s">
        <v>1029</v>
      </c>
      <c r="C177" s="38" t="s">
        <v>1030</v>
      </c>
      <c r="D177" s="391" t="s">
        <v>684</v>
      </c>
      <c r="E177" s="38">
        <v>32</v>
      </c>
      <c r="F177" s="38">
        <v>100</v>
      </c>
      <c r="G177" s="38">
        <v>3200</v>
      </c>
      <c r="H177" s="38">
        <v>16</v>
      </c>
      <c r="I177" s="38">
        <v>51200</v>
      </c>
      <c r="J177" s="38" t="s">
        <v>1031</v>
      </c>
      <c r="K177" s="38"/>
      <c r="L177" s="38"/>
      <c r="M177" s="38"/>
    </row>
    <row r="178" spans="1:13" x14ac:dyDescent="0.2">
      <c r="A178" s="38" t="s">
        <v>1028</v>
      </c>
      <c r="B178" s="38" t="s">
        <v>1032</v>
      </c>
      <c r="C178" s="38" t="s">
        <v>1033</v>
      </c>
      <c r="D178" s="38" t="s">
        <v>1034</v>
      </c>
      <c r="E178" s="38">
        <v>96</v>
      </c>
      <c r="F178" s="38">
        <v>100</v>
      </c>
      <c r="G178" s="38">
        <v>9600</v>
      </c>
      <c r="H178" s="38">
        <v>16</v>
      </c>
      <c r="I178" s="38">
        <v>153600</v>
      </c>
      <c r="J178" s="38" t="s">
        <v>1031</v>
      </c>
      <c r="K178" s="38"/>
      <c r="L178" s="38"/>
      <c r="M178" s="38"/>
    </row>
    <row r="179" spans="1:13" x14ac:dyDescent="0.2">
      <c r="A179" s="38" t="s">
        <v>1028</v>
      </c>
      <c r="B179" s="38" t="s">
        <v>1035</v>
      </c>
      <c r="C179" s="428" t="s">
        <v>1036</v>
      </c>
      <c r="D179" s="391" t="s">
        <v>1037</v>
      </c>
      <c r="E179" s="38">
        <v>16</v>
      </c>
      <c r="F179" s="38">
        <v>600</v>
      </c>
      <c r="G179" s="38">
        <v>9600</v>
      </c>
      <c r="H179" s="38">
        <v>0</v>
      </c>
      <c r="I179" s="38">
        <v>0</v>
      </c>
      <c r="J179" s="38"/>
      <c r="K179" s="38"/>
      <c r="L179" s="38"/>
      <c r="M179" s="38" t="s">
        <v>1038</v>
      </c>
    </row>
    <row r="180" spans="1:13" x14ac:dyDescent="0.2">
      <c r="A180" s="38" t="s">
        <v>1039</v>
      </c>
      <c r="B180" s="38" t="s">
        <v>1040</v>
      </c>
      <c r="C180" s="38" t="s">
        <v>1041</v>
      </c>
      <c r="D180" s="391" t="s">
        <v>1042</v>
      </c>
      <c r="E180" s="38">
        <v>1</v>
      </c>
      <c r="F180" s="38">
        <v>25</v>
      </c>
      <c r="G180" s="38">
        <v>25</v>
      </c>
      <c r="H180" s="38">
        <v>24</v>
      </c>
      <c r="I180" s="38">
        <v>600</v>
      </c>
      <c r="J180" s="38"/>
      <c r="K180" s="38"/>
      <c r="L180" s="38"/>
      <c r="M180" s="38"/>
    </row>
    <row r="181" spans="1:13" x14ac:dyDescent="0.2">
      <c r="A181" s="38" t="s">
        <v>1039</v>
      </c>
      <c r="B181" s="38" t="s">
        <v>1043</v>
      </c>
      <c r="C181" s="38" t="s">
        <v>1044</v>
      </c>
      <c r="D181" s="391" t="s">
        <v>1045</v>
      </c>
      <c r="E181" s="38">
        <v>1</v>
      </c>
      <c r="F181" s="38">
        <v>550</v>
      </c>
      <c r="G181" s="38">
        <v>550</v>
      </c>
      <c r="H181" s="38">
        <v>24</v>
      </c>
      <c r="I181" s="38">
        <v>13200</v>
      </c>
      <c r="J181" s="38"/>
      <c r="K181" s="38"/>
      <c r="L181" s="38"/>
      <c r="M181" s="38"/>
    </row>
    <row r="182" spans="1:13" x14ac:dyDescent="0.2">
      <c r="A182" s="38" t="s">
        <v>1046</v>
      </c>
      <c r="B182" s="38" t="s">
        <v>1047</v>
      </c>
      <c r="C182" s="38" t="s">
        <v>1048</v>
      </c>
      <c r="D182" s="391" t="s">
        <v>1049</v>
      </c>
      <c r="E182" s="38">
        <v>1</v>
      </c>
      <c r="F182" s="38">
        <v>23</v>
      </c>
      <c r="G182" s="38">
        <v>23</v>
      </c>
      <c r="H182" s="38">
        <v>24</v>
      </c>
      <c r="I182" s="38">
        <v>552</v>
      </c>
      <c r="J182" s="38"/>
      <c r="K182" s="38"/>
      <c r="L182" s="38"/>
      <c r="M182" s="38"/>
    </row>
    <row r="183" spans="1:13" x14ac:dyDescent="0.2">
      <c r="A183" s="38" t="s">
        <v>1046</v>
      </c>
      <c r="B183" s="38" t="s">
        <v>1050</v>
      </c>
      <c r="C183" s="38" t="s">
        <v>1048</v>
      </c>
      <c r="D183" s="391" t="s">
        <v>1049</v>
      </c>
      <c r="E183" s="38">
        <v>1</v>
      </c>
      <c r="F183" s="38">
        <v>23</v>
      </c>
      <c r="G183" s="38">
        <v>23</v>
      </c>
      <c r="H183" s="38">
        <v>1</v>
      </c>
      <c r="I183" s="38">
        <v>23</v>
      </c>
      <c r="J183" s="38"/>
      <c r="K183" s="38"/>
      <c r="L183" s="38"/>
      <c r="M183" s="38" t="s">
        <v>1051</v>
      </c>
    </row>
    <row r="184" spans="1:13" x14ac:dyDescent="0.2">
      <c r="A184" s="38" t="s">
        <v>1052</v>
      </c>
      <c r="B184" s="38" t="s">
        <v>1053</v>
      </c>
      <c r="C184" s="38" t="s">
        <v>1048</v>
      </c>
      <c r="D184" s="391" t="s">
        <v>1049</v>
      </c>
      <c r="E184" s="38">
        <v>1</v>
      </c>
      <c r="F184" s="38">
        <v>23</v>
      </c>
      <c r="G184" s="38">
        <v>23</v>
      </c>
      <c r="H184" s="38">
        <v>2</v>
      </c>
      <c r="I184" s="38">
        <v>46</v>
      </c>
      <c r="J184" s="38"/>
      <c r="K184" s="38"/>
      <c r="L184" s="38"/>
      <c r="M184" s="38"/>
    </row>
    <row r="185" spans="1:13" x14ac:dyDescent="0.2">
      <c r="A185" s="38" t="s">
        <v>1054</v>
      </c>
      <c r="B185" s="38" t="s">
        <v>1053</v>
      </c>
      <c r="C185" s="38" t="s">
        <v>1048</v>
      </c>
      <c r="D185" s="391" t="s">
        <v>1049</v>
      </c>
      <c r="E185" s="38">
        <v>1</v>
      </c>
      <c r="F185" s="38">
        <v>23</v>
      </c>
      <c r="G185" s="38">
        <v>23</v>
      </c>
      <c r="H185" s="38">
        <v>2</v>
      </c>
      <c r="I185" s="38">
        <v>46</v>
      </c>
      <c r="J185" s="38"/>
      <c r="K185" s="38"/>
      <c r="L185" s="38"/>
      <c r="M185" s="38"/>
    </row>
    <row r="186" spans="1:13" x14ac:dyDescent="0.2">
      <c r="A186" s="38" t="s">
        <v>1052</v>
      </c>
      <c r="B186" s="38" t="s">
        <v>1055</v>
      </c>
      <c r="C186" s="38" t="s">
        <v>1056</v>
      </c>
      <c r="D186" s="38" t="s">
        <v>1057</v>
      </c>
      <c r="E186" s="38">
        <v>2</v>
      </c>
      <c r="F186" s="38">
        <v>3</v>
      </c>
      <c r="G186" s="38">
        <v>6</v>
      </c>
      <c r="H186" s="38">
        <v>2</v>
      </c>
      <c r="I186" s="38">
        <v>12</v>
      </c>
      <c r="J186" s="38"/>
      <c r="K186" s="38"/>
      <c r="L186" s="38"/>
      <c r="M186" s="38"/>
    </row>
    <row r="187" spans="1:13" x14ac:dyDescent="0.2">
      <c r="A187" s="38" t="s">
        <v>1054</v>
      </c>
      <c r="B187" s="38" t="s">
        <v>1055</v>
      </c>
      <c r="C187" s="38" t="s">
        <v>1056</v>
      </c>
      <c r="D187" s="38" t="s">
        <v>1057</v>
      </c>
      <c r="E187" s="38">
        <v>2</v>
      </c>
      <c r="F187" s="38">
        <v>3</v>
      </c>
      <c r="G187" s="38">
        <v>6</v>
      </c>
      <c r="H187" s="38">
        <v>2</v>
      </c>
      <c r="I187" s="38">
        <v>12</v>
      </c>
      <c r="J187" s="38"/>
      <c r="K187" s="38"/>
      <c r="L187" s="38"/>
      <c r="M187" s="38"/>
    </row>
    <row r="188" spans="1:13" x14ac:dyDescent="0.2">
      <c r="A188" s="38" t="s">
        <v>1052</v>
      </c>
      <c r="B188" s="38" t="s">
        <v>1058</v>
      </c>
      <c r="C188" s="38" t="s">
        <v>1059</v>
      </c>
      <c r="D188" s="38"/>
      <c r="E188" s="38">
        <v>16</v>
      </c>
      <c r="F188" s="38">
        <v>28</v>
      </c>
      <c r="G188" s="38">
        <v>448</v>
      </c>
      <c r="H188" s="38">
        <v>16</v>
      </c>
      <c r="I188" s="38">
        <v>7168</v>
      </c>
      <c r="J188" s="38" t="s">
        <v>1031</v>
      </c>
      <c r="K188" s="38"/>
      <c r="L188" s="38"/>
      <c r="M188" s="38"/>
    </row>
    <row r="189" spans="1:13" x14ac:dyDescent="0.2">
      <c r="A189" s="38" t="s">
        <v>1054</v>
      </c>
      <c r="B189" s="38" t="s">
        <v>1060</v>
      </c>
      <c r="C189" s="38" t="s">
        <v>1061</v>
      </c>
      <c r="D189" s="38"/>
      <c r="E189" s="38">
        <v>9</v>
      </c>
      <c r="F189" s="38">
        <v>54</v>
      </c>
      <c r="G189" s="38">
        <v>486</v>
      </c>
      <c r="H189" s="38">
        <v>16</v>
      </c>
      <c r="I189" s="38">
        <v>7776</v>
      </c>
      <c r="J189" s="38" t="s">
        <v>1031</v>
      </c>
      <c r="K189" s="38"/>
      <c r="L189" s="38"/>
      <c r="M189" s="38"/>
    </row>
    <row r="190" spans="1:13" x14ac:dyDescent="0.2">
      <c r="A190" s="38" t="s">
        <v>1062</v>
      </c>
      <c r="B190" s="38" t="s">
        <v>1063</v>
      </c>
      <c r="C190" s="38" t="s">
        <v>1064</v>
      </c>
      <c r="D190" s="391" t="s">
        <v>1065</v>
      </c>
      <c r="E190" s="38">
        <v>4</v>
      </c>
      <c r="F190" s="38">
        <v>145</v>
      </c>
      <c r="G190" s="38">
        <v>580</v>
      </c>
      <c r="H190" s="38">
        <v>16</v>
      </c>
      <c r="I190" s="38">
        <v>9280</v>
      </c>
      <c r="J190" s="38" t="s">
        <v>1031</v>
      </c>
      <c r="K190" s="38"/>
      <c r="L190" s="38"/>
      <c r="M190" s="38"/>
    </row>
    <row r="191" spans="1:13" x14ac:dyDescent="0.2">
      <c r="A191" s="38" t="s">
        <v>1066</v>
      </c>
      <c r="B191" s="38" t="s">
        <v>1067</v>
      </c>
      <c r="C191" s="38">
        <v>3100306</v>
      </c>
      <c r="D191" s="391" t="s">
        <v>1068</v>
      </c>
      <c r="E191" s="38">
        <v>1</v>
      </c>
      <c r="F191" s="38">
        <v>2000</v>
      </c>
      <c r="G191" s="38">
        <v>2000</v>
      </c>
      <c r="H191" s="38">
        <v>1</v>
      </c>
      <c r="I191" s="38">
        <v>2000</v>
      </c>
      <c r="J191" s="38"/>
      <c r="K191" s="38"/>
      <c r="L191" s="38"/>
      <c r="M191" s="38"/>
    </row>
    <row r="192" spans="1:13" x14ac:dyDescent="0.2">
      <c r="A192" s="38" t="s">
        <v>1069</v>
      </c>
      <c r="B192" s="38" t="s">
        <v>1067</v>
      </c>
      <c r="C192" s="38">
        <v>3100306</v>
      </c>
      <c r="D192" s="391" t="s">
        <v>1068</v>
      </c>
      <c r="E192" s="38">
        <v>1</v>
      </c>
      <c r="F192" s="38">
        <v>2000</v>
      </c>
      <c r="G192" s="38">
        <v>2000</v>
      </c>
      <c r="H192" s="38">
        <v>0</v>
      </c>
      <c r="I192" s="38">
        <v>0</v>
      </c>
      <c r="J192" s="38"/>
      <c r="K192" s="38"/>
      <c r="L192" s="38"/>
      <c r="M192" s="38" t="s">
        <v>1070</v>
      </c>
    </row>
    <row r="193" spans="1:13" x14ac:dyDescent="0.2">
      <c r="A193" s="38" t="s">
        <v>1071</v>
      </c>
      <c r="B193" s="38" t="s">
        <v>1067</v>
      </c>
      <c r="C193" s="38">
        <v>3100306</v>
      </c>
      <c r="D193" s="391" t="s">
        <v>1068</v>
      </c>
      <c r="E193" s="38">
        <v>1</v>
      </c>
      <c r="F193" s="38">
        <v>2000</v>
      </c>
      <c r="G193" s="38">
        <v>2000</v>
      </c>
      <c r="H193" s="38">
        <v>0</v>
      </c>
      <c r="I193" s="38">
        <v>0</v>
      </c>
      <c r="J193" s="38"/>
      <c r="K193" s="38"/>
      <c r="L193" s="38"/>
      <c r="M193" s="38" t="s">
        <v>1070</v>
      </c>
    </row>
    <row r="194" spans="1:13" x14ac:dyDescent="0.2">
      <c r="A194" s="38" t="s">
        <v>1072</v>
      </c>
      <c r="B194" s="38" t="s">
        <v>1073</v>
      </c>
      <c r="C194" s="38">
        <v>97775332</v>
      </c>
      <c r="D194" s="38" t="s">
        <v>1074</v>
      </c>
      <c r="E194" s="38">
        <v>1</v>
      </c>
      <c r="F194" s="38">
        <v>650</v>
      </c>
      <c r="G194" s="38">
        <v>650</v>
      </c>
      <c r="H194" s="38">
        <v>1</v>
      </c>
      <c r="I194" s="38">
        <v>650</v>
      </c>
      <c r="J194" s="38"/>
      <c r="K194" s="38"/>
      <c r="L194" s="38"/>
      <c r="M194" s="38"/>
    </row>
    <row r="195" spans="1:13" x14ac:dyDescent="0.2">
      <c r="A195" s="38" t="s">
        <v>1075</v>
      </c>
      <c r="B195" s="38" t="s">
        <v>1076</v>
      </c>
      <c r="C195" s="38">
        <v>97775332</v>
      </c>
      <c r="D195" s="38" t="s">
        <v>1074</v>
      </c>
      <c r="E195" s="38">
        <v>1</v>
      </c>
      <c r="F195" s="38">
        <v>650</v>
      </c>
      <c r="G195" s="38">
        <v>650</v>
      </c>
      <c r="H195" s="38">
        <v>1</v>
      </c>
      <c r="I195" s="38">
        <v>650</v>
      </c>
      <c r="J195" s="38"/>
      <c r="K195" s="38"/>
      <c r="L195" s="38"/>
      <c r="M195" s="38"/>
    </row>
    <row r="196" spans="1:13" x14ac:dyDescent="0.2">
      <c r="A196" s="38" t="s">
        <v>1077</v>
      </c>
      <c r="B196" s="38" t="s">
        <v>1078</v>
      </c>
      <c r="C196" s="38" t="s">
        <v>1079</v>
      </c>
      <c r="D196" s="38" t="s">
        <v>1080</v>
      </c>
      <c r="E196" s="38">
        <v>1</v>
      </c>
      <c r="F196" s="38">
        <v>16</v>
      </c>
      <c r="G196" s="38">
        <v>16</v>
      </c>
      <c r="H196" s="38">
        <v>24</v>
      </c>
      <c r="I196" s="38">
        <v>384</v>
      </c>
      <c r="J196" s="38"/>
      <c r="K196" s="38"/>
      <c r="L196" s="38"/>
      <c r="M196" s="38"/>
    </row>
    <row r="197" spans="1:13" x14ac:dyDescent="0.2">
      <c r="A197" s="38" t="s">
        <v>1081</v>
      </c>
      <c r="B197" s="38" t="s">
        <v>1078</v>
      </c>
      <c r="C197" s="38" t="s">
        <v>1079</v>
      </c>
      <c r="D197" s="38" t="s">
        <v>1080</v>
      </c>
      <c r="E197" s="38">
        <v>1</v>
      </c>
      <c r="F197" s="38">
        <v>16</v>
      </c>
      <c r="G197" s="38">
        <v>16</v>
      </c>
      <c r="H197" s="38">
        <v>24</v>
      </c>
      <c r="I197" s="38">
        <v>384</v>
      </c>
      <c r="J197" s="38"/>
      <c r="K197" s="38"/>
      <c r="L197" s="38"/>
      <c r="M197" s="38"/>
    </row>
    <row r="198" spans="1:13" x14ac:dyDescent="0.2">
      <c r="A198" s="38"/>
      <c r="B198" s="38"/>
      <c r="C198" s="38"/>
      <c r="D198" s="38"/>
      <c r="E198" s="38"/>
      <c r="F198" s="38"/>
      <c r="G198" s="38"/>
      <c r="H198" s="38"/>
      <c r="I198" s="38"/>
      <c r="J198" s="38"/>
      <c r="K198" s="38"/>
      <c r="L198" s="38"/>
      <c r="M198" s="38"/>
    </row>
    <row r="199" spans="1:13" x14ac:dyDescent="0.2">
      <c r="A199" s="38"/>
      <c r="B199" s="38"/>
      <c r="C199" s="38"/>
      <c r="D199" s="38"/>
      <c r="E199" s="38"/>
      <c r="F199" s="38" t="s">
        <v>1082</v>
      </c>
      <c r="G199" s="38">
        <v>32125</v>
      </c>
      <c r="H199" s="44" t="s">
        <v>1083</v>
      </c>
      <c r="I199" s="44">
        <v>252383</v>
      </c>
      <c r="J199" s="44"/>
      <c r="K199" s="44">
        <v>10.79</v>
      </c>
      <c r="L199" s="44">
        <v>7.34</v>
      </c>
      <c r="M199" s="38"/>
    </row>
    <row r="200" spans="1:13" x14ac:dyDescent="0.2">
      <c r="A200" s="38"/>
      <c r="B200" s="38"/>
      <c r="C200" s="38"/>
      <c r="D200" s="38"/>
      <c r="E200" s="38"/>
      <c r="F200" s="38" t="s">
        <v>1084</v>
      </c>
      <c r="G200" s="38">
        <v>32.125</v>
      </c>
      <c r="H200" s="44" t="s">
        <v>1085</v>
      </c>
      <c r="I200" s="44">
        <v>252.38300000000001</v>
      </c>
      <c r="J200" s="44"/>
      <c r="K200" s="44"/>
      <c r="L200" s="44"/>
      <c r="M200" s="38"/>
    </row>
    <row r="201" spans="1:13" x14ac:dyDescent="0.2">
      <c r="A201" s="38"/>
      <c r="B201" s="38"/>
      <c r="C201" s="38"/>
      <c r="D201" s="38"/>
      <c r="E201" s="38"/>
      <c r="F201" s="38"/>
      <c r="G201" s="38"/>
      <c r="H201" s="38" t="s">
        <v>1086</v>
      </c>
      <c r="I201" s="38">
        <f>(I200-(I177-I178))/1000</f>
        <v>102.652383</v>
      </c>
      <c r="J201" s="44"/>
      <c r="K201" s="38"/>
      <c r="L201" s="38"/>
      <c r="M201" s="38"/>
    </row>
    <row r="202" spans="1:13" x14ac:dyDescent="0.2">
      <c r="A202" s="38"/>
      <c r="B202" s="38"/>
      <c r="C202" s="38"/>
      <c r="D202" s="38"/>
      <c r="E202" s="38"/>
      <c r="F202" s="38"/>
      <c r="G202" s="38"/>
      <c r="H202" s="38"/>
      <c r="I202" s="38"/>
      <c r="J202" s="44"/>
      <c r="K202" s="38"/>
      <c r="L202" s="38"/>
      <c r="M202" s="38"/>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2">
    <mergeCell ref="J6:O6"/>
    <mergeCell ref="A161:A166"/>
  </mergeCells>
  <phoneticPr fontId="32"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4" r:id="rId15" xr:uid="{5308E1AC-7785-B246-8A5C-2210C5F9555A}"/>
    <hyperlink ref="W125" r:id="rId16" xr:uid="{EA8C5E19-E5DD-564F-BB07-F748436CFB83}"/>
    <hyperlink ref="W126" r:id="rId17" xr:uid="{5A4D0E22-AAB9-DB44-BE42-FAA2114E755F}"/>
    <hyperlink ref="W127" r:id="rId18" xr:uid="{5B3B389F-480E-3343-8B46-3F4CB9EA2DAF}"/>
    <hyperlink ref="W128" r:id="rId19" xr:uid="{A47C6449-8247-2446-8B24-D7BA9D9D4EEF}"/>
    <hyperlink ref="W129" r:id="rId20" xr:uid="{BCD09910-93FA-AC4B-B269-37418DC2EDFA}"/>
    <hyperlink ref="J97" r:id="rId21" xr:uid="{4E92167C-2CB9-FE45-9D62-4B86B9AD7652}"/>
    <hyperlink ref="J98" r:id="rId22" xr:uid="{FFCCF47B-D00D-0247-B88F-86B731B1E6F1}"/>
    <hyperlink ref="J99" r:id="rId23" xr:uid="{994EF342-B1C2-424D-A965-8684B5072B5E}"/>
    <hyperlink ref="J100" r:id="rId24" xr:uid="{2DF0013D-89B2-6E42-9C75-70E547890B28}"/>
    <hyperlink ref="J101" r:id="rId25" xr:uid="{B428DDE2-A642-AE48-97FC-D947F361CE97}"/>
    <hyperlink ref="J102" r:id="rId26" xr:uid="{E7D3C99E-4842-9046-84BA-9225003C77F7}"/>
    <hyperlink ref="J103" r:id="rId27" xr:uid="{6EF6B8DE-98BF-2E47-9A26-B11AD068BB4D}"/>
    <hyperlink ref="J104" r:id="rId28" xr:uid="{F1852188-9572-CF46-BC58-A88F035F6762}"/>
    <hyperlink ref="J105" r:id="rId29" xr:uid="{7956F2A3-30AD-544F-ABA6-F8D9EAF6B0B2}"/>
    <hyperlink ref="L156" r:id="rId30" xr:uid="{7DA255E5-BBAA-7E48-84AF-DFFBE4512BAE}"/>
    <hyperlink ref="D177" r:id="rId31" xr:uid="{9276DCE4-2897-0E45-A973-799B5979850D}"/>
    <hyperlink ref="D179" r:id="rId32" xr:uid="{EF992754-456F-3646-A673-79ADFA0B492F}"/>
    <hyperlink ref="D180" r:id="rId33" xr:uid="{EFBAD916-9EF5-754B-B161-C363FDC2A808}"/>
    <hyperlink ref="D181" r:id="rId34" xr:uid="{675604DF-0EDA-FF4C-AC39-4E292A75C6D7}"/>
    <hyperlink ref="D182" r:id="rId35" display="http://www.jecod.com/" xr:uid="{C375E64F-9794-5F4B-9852-33551C4ED66A}"/>
    <hyperlink ref="D183" r:id="rId36" display="http://www.jecod.com/" xr:uid="{4C69BB18-31BB-0941-BE7E-F6A987DE65CB}"/>
    <hyperlink ref="D184" r:id="rId37" display="http://www.jecod.com/" xr:uid="{2C1312E7-8985-FF41-BA00-E9E09C2BFDD6}"/>
    <hyperlink ref="D185" r:id="rId38" display="http://www.jecod.com/" xr:uid="{859AC2F3-73AF-F54E-A90E-DAEFF067DFBA}"/>
    <hyperlink ref="D190" r:id="rId39" display="http://www.bflc.com.cn/" xr:uid="{A13B02F1-BBA7-4044-BF18-328982FB3377}"/>
    <hyperlink ref="D191" r:id="rId40" xr:uid="{07285233-17AB-DD4B-BCB6-0E847EAB4FBC}"/>
    <hyperlink ref="D192" r:id="rId41" xr:uid="{2B9A57BE-D56F-8141-9D36-83FA2FC19AC4}"/>
    <hyperlink ref="D193" r:id="rId42" xr:uid="{242BC5FE-5520-4842-AF11-56A76192672D}"/>
  </hyperlinks>
  <pageMargins left="0.7" right="0.7" top="0.75" bottom="0.75" header="0.3" footer="0.3"/>
  <pageSetup paperSize="9" orientation="portrait" horizontalDpi="0" verticalDpi="0"/>
  <drawing r:id="rId43"/>
  <legacyDrawing r:id="rId4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66" t="s">
        <v>867</v>
      </c>
      <c r="B1" s="372">
        <v>43910</v>
      </c>
      <c r="C1" s="488" t="s">
        <v>851</v>
      </c>
      <c r="D1" s="488"/>
      <c r="E1" s="488"/>
      <c r="F1" s="485" t="s">
        <v>852</v>
      </c>
      <c r="G1" s="485"/>
      <c r="H1" s="485"/>
      <c r="I1" s="486" t="s">
        <v>853</v>
      </c>
      <c r="J1" s="486"/>
      <c r="K1" s="487" t="s">
        <v>854</v>
      </c>
      <c r="L1" s="487"/>
    </row>
    <row r="2" spans="1:14" ht="16" x14ac:dyDescent="0.2">
      <c r="A2" s="166" t="s">
        <v>855</v>
      </c>
      <c r="B2" s="215" t="s">
        <v>856</v>
      </c>
      <c r="C2" s="215" t="s">
        <v>857</v>
      </c>
      <c r="D2" s="215" t="s">
        <v>858</v>
      </c>
      <c r="E2" s="215" t="s">
        <v>859</v>
      </c>
      <c r="F2" s="215" t="s">
        <v>860</v>
      </c>
      <c r="G2" s="215" t="s">
        <v>861</v>
      </c>
      <c r="H2" s="215" t="s">
        <v>868</v>
      </c>
      <c r="I2" s="215" t="s">
        <v>862</v>
      </c>
      <c r="J2" s="215" t="s">
        <v>863</v>
      </c>
      <c r="K2" s="215" t="s">
        <v>864</v>
      </c>
      <c r="L2" s="215" t="s">
        <v>869</v>
      </c>
      <c r="M2" s="44"/>
      <c r="N2" s="44"/>
    </row>
    <row r="3" spans="1:14" ht="16" x14ac:dyDescent="0.2">
      <c r="A3" s="373">
        <v>1</v>
      </c>
      <c r="B3" s="373"/>
      <c r="C3" s="374" t="s">
        <v>873</v>
      </c>
      <c r="D3" s="374"/>
      <c r="E3" s="373"/>
      <c r="F3" s="373"/>
      <c r="G3" s="373"/>
      <c r="H3" s="373"/>
      <c r="I3" s="373"/>
      <c r="J3" s="373"/>
      <c r="K3" s="373"/>
      <c r="L3" s="373"/>
      <c r="M3" s="38"/>
      <c r="N3" s="38"/>
    </row>
    <row r="4" spans="1:14" ht="16" x14ac:dyDescent="0.2">
      <c r="A4" s="166">
        <v>1.1000000000000001</v>
      </c>
      <c r="B4" s="375" t="s">
        <v>885</v>
      </c>
      <c r="C4" s="375" t="s">
        <v>894</v>
      </c>
      <c r="D4" s="375">
        <v>2</v>
      </c>
      <c r="E4" s="375">
        <v>2</v>
      </c>
      <c r="F4" s="376"/>
      <c r="G4" s="376"/>
      <c r="H4" s="377" t="s">
        <v>903</v>
      </c>
      <c r="I4" s="378"/>
      <c r="J4" s="378"/>
      <c r="K4" s="166">
        <f>D4*E4</f>
        <v>4</v>
      </c>
      <c r="L4" s="166">
        <f>J4*D4</f>
        <v>0</v>
      </c>
      <c r="M4" s="38"/>
      <c r="N4" s="38"/>
    </row>
    <row r="5" spans="1:14" ht="16" x14ac:dyDescent="0.2">
      <c r="A5" s="166">
        <v>1.2</v>
      </c>
      <c r="B5" s="375"/>
      <c r="C5" s="375"/>
      <c r="D5" s="375"/>
      <c r="E5" s="375"/>
      <c r="F5" s="376"/>
      <c r="G5" s="376"/>
      <c r="H5" s="376"/>
      <c r="I5" s="378"/>
      <c r="J5" s="378"/>
      <c r="K5" s="166">
        <f>D5*E5</f>
        <v>0</v>
      </c>
      <c r="L5" s="166">
        <f>J5*D5</f>
        <v>0</v>
      </c>
      <c r="M5" s="38"/>
      <c r="N5" s="38"/>
    </row>
    <row r="6" spans="1:14" ht="16" x14ac:dyDescent="0.2">
      <c r="A6" s="373">
        <v>2</v>
      </c>
      <c r="B6" s="373"/>
      <c r="C6" s="374" t="s">
        <v>875</v>
      </c>
      <c r="D6" s="373"/>
      <c r="E6" s="373"/>
      <c r="F6" s="373"/>
      <c r="G6" s="373"/>
      <c r="H6" s="373"/>
      <c r="I6" s="373"/>
      <c r="J6" s="373"/>
      <c r="K6" s="373"/>
      <c r="L6" s="373"/>
      <c r="M6" s="38"/>
      <c r="N6" s="38"/>
    </row>
    <row r="7" spans="1:14" ht="16" x14ac:dyDescent="0.2">
      <c r="A7" s="166">
        <v>2.1</v>
      </c>
      <c r="B7" s="375" t="s">
        <v>880</v>
      </c>
      <c r="C7" s="375" t="s">
        <v>891</v>
      </c>
      <c r="D7" s="375">
        <v>3</v>
      </c>
      <c r="E7" s="375">
        <v>1</v>
      </c>
      <c r="F7" s="376"/>
      <c r="G7" s="376"/>
      <c r="H7" s="376" t="s">
        <v>895</v>
      </c>
      <c r="I7" s="378"/>
      <c r="J7" s="378"/>
      <c r="K7" s="166">
        <f>D7*E7</f>
        <v>3</v>
      </c>
      <c r="L7" s="166">
        <f t="shared" ref="L7:L22" si="0">J7*D7</f>
        <v>0</v>
      </c>
      <c r="M7" s="38"/>
      <c r="N7" s="38"/>
    </row>
    <row r="8" spans="1:14" ht="16" x14ac:dyDescent="0.2">
      <c r="A8" s="166">
        <v>2.2000000000000002</v>
      </c>
      <c r="B8" s="375" t="s">
        <v>886</v>
      </c>
      <c r="C8" s="375" t="s">
        <v>892</v>
      </c>
      <c r="D8" s="375">
        <v>1</v>
      </c>
      <c r="E8" s="375">
        <v>2</v>
      </c>
      <c r="F8" s="376"/>
      <c r="G8" s="376"/>
      <c r="H8" s="376" t="s">
        <v>896</v>
      </c>
      <c r="I8" s="378"/>
      <c r="J8" s="378"/>
      <c r="K8" s="166">
        <f t="shared" ref="K8:K22" si="1">D8*E8</f>
        <v>2</v>
      </c>
      <c r="L8" s="166">
        <f t="shared" si="0"/>
        <v>0</v>
      </c>
      <c r="M8" s="38"/>
      <c r="N8" s="38"/>
    </row>
    <row r="9" spans="1:14" ht="16" x14ac:dyDescent="0.2">
      <c r="A9" s="166">
        <v>2.2999999999999998</v>
      </c>
      <c r="B9" s="375" t="s">
        <v>887</v>
      </c>
      <c r="C9" s="375" t="s">
        <v>893</v>
      </c>
      <c r="D9" s="375">
        <v>4</v>
      </c>
      <c r="E9" s="375">
        <v>1</v>
      </c>
      <c r="F9" s="376"/>
      <c r="G9" s="376"/>
      <c r="H9" s="376" t="s">
        <v>897</v>
      </c>
      <c r="I9" s="378"/>
      <c r="J9" s="378"/>
      <c r="K9" s="166">
        <f t="shared" si="1"/>
        <v>4</v>
      </c>
      <c r="L9" s="166">
        <f t="shared" si="0"/>
        <v>0</v>
      </c>
      <c r="M9" s="38"/>
      <c r="N9" s="38"/>
    </row>
    <row r="10" spans="1:14" ht="16" x14ac:dyDescent="0.2">
      <c r="A10" s="373">
        <v>3</v>
      </c>
      <c r="B10" s="373"/>
      <c r="C10" s="374" t="s">
        <v>872</v>
      </c>
      <c r="D10" s="373"/>
      <c r="E10" s="373"/>
      <c r="F10" s="373"/>
      <c r="G10" s="373"/>
      <c r="H10" s="373"/>
      <c r="I10" s="373"/>
      <c r="J10" s="373"/>
      <c r="K10" s="373"/>
      <c r="L10" s="373"/>
      <c r="M10" s="38"/>
      <c r="N10" s="38"/>
    </row>
    <row r="11" spans="1:14" ht="16" x14ac:dyDescent="0.2">
      <c r="A11" s="166">
        <v>3.1</v>
      </c>
      <c r="B11" s="375" t="s">
        <v>876</v>
      </c>
      <c r="C11" s="375" t="s">
        <v>890</v>
      </c>
      <c r="D11" s="375">
        <v>2</v>
      </c>
      <c r="E11" s="375">
        <v>1</v>
      </c>
      <c r="F11" s="376"/>
      <c r="G11" s="376"/>
      <c r="H11" s="376" t="s">
        <v>898</v>
      </c>
      <c r="I11" s="378"/>
      <c r="J11" s="378"/>
      <c r="K11" s="166">
        <f t="shared" si="1"/>
        <v>2</v>
      </c>
      <c r="L11" s="166">
        <f t="shared" si="0"/>
        <v>0</v>
      </c>
      <c r="M11" s="38"/>
      <c r="N11" s="38"/>
    </row>
    <row r="12" spans="1:14" ht="16" x14ac:dyDescent="0.2">
      <c r="A12" s="166">
        <v>3.2</v>
      </c>
      <c r="B12" s="375" t="s">
        <v>865</v>
      </c>
      <c r="C12" s="375" t="s">
        <v>889</v>
      </c>
      <c r="D12" s="375">
        <v>2</v>
      </c>
      <c r="E12" s="375">
        <v>2</v>
      </c>
      <c r="F12" s="376"/>
      <c r="G12" s="376"/>
      <c r="H12" s="376" t="s">
        <v>898</v>
      </c>
      <c r="I12" s="378"/>
      <c r="J12" s="378"/>
      <c r="K12" s="166">
        <f t="shared" si="1"/>
        <v>4</v>
      </c>
      <c r="L12" s="166">
        <f t="shared" si="0"/>
        <v>0</v>
      </c>
      <c r="M12" s="38"/>
      <c r="N12" s="38"/>
    </row>
    <row r="13" spans="1:14" ht="16" x14ac:dyDescent="0.2">
      <c r="A13" s="373">
        <v>4</v>
      </c>
      <c r="B13" s="373"/>
      <c r="C13" s="374" t="s">
        <v>871</v>
      </c>
      <c r="D13" s="373"/>
      <c r="E13" s="373"/>
      <c r="F13" s="373"/>
      <c r="G13" s="373"/>
      <c r="H13" s="373"/>
      <c r="I13" s="373"/>
      <c r="J13" s="373"/>
      <c r="K13" s="373"/>
      <c r="L13" s="373"/>
      <c r="M13" s="38"/>
      <c r="N13" s="38"/>
    </row>
    <row r="14" spans="1:14" ht="16" x14ac:dyDescent="0.2">
      <c r="A14" s="166">
        <v>4.0999999999999996</v>
      </c>
      <c r="B14" s="375"/>
      <c r="C14" s="375"/>
      <c r="D14" s="375"/>
      <c r="E14" s="375"/>
      <c r="F14" s="376"/>
      <c r="G14" s="376"/>
      <c r="H14" s="376"/>
      <c r="I14" s="378"/>
      <c r="J14" s="378"/>
      <c r="K14" s="166">
        <f t="shared" si="1"/>
        <v>0</v>
      </c>
      <c r="L14" s="166">
        <f t="shared" si="0"/>
        <v>0</v>
      </c>
      <c r="M14" s="38"/>
      <c r="N14" s="38"/>
    </row>
    <row r="15" spans="1:14" ht="16" x14ac:dyDescent="0.2">
      <c r="A15" s="373">
        <v>5</v>
      </c>
      <c r="B15" s="373"/>
      <c r="C15" s="374" t="s">
        <v>866</v>
      </c>
      <c r="D15" s="373"/>
      <c r="E15" s="373"/>
      <c r="F15" s="373"/>
      <c r="G15" s="373"/>
      <c r="H15" s="373"/>
      <c r="I15" s="373"/>
      <c r="J15" s="373"/>
      <c r="K15" s="373"/>
      <c r="L15" s="373"/>
      <c r="M15" s="38"/>
      <c r="N15" s="38"/>
    </row>
    <row r="16" spans="1:14" ht="16" x14ac:dyDescent="0.2">
      <c r="A16" s="166">
        <v>5.0999999999999996</v>
      </c>
      <c r="B16" s="375" t="s">
        <v>879</v>
      </c>
      <c r="C16" s="375" t="s">
        <v>881</v>
      </c>
      <c r="D16" s="379">
        <v>2</v>
      </c>
      <c r="E16" s="375">
        <v>2</v>
      </c>
      <c r="F16" s="376"/>
      <c r="G16" s="376"/>
      <c r="H16" s="376" t="s">
        <v>900</v>
      </c>
      <c r="I16" s="378"/>
      <c r="J16" s="378"/>
      <c r="K16" s="166">
        <f t="shared" si="1"/>
        <v>4</v>
      </c>
      <c r="L16" s="166">
        <f t="shared" si="0"/>
        <v>0</v>
      </c>
      <c r="M16" s="38"/>
      <c r="N16" s="38"/>
    </row>
    <row r="17" spans="1:14" s="244" customFormat="1" ht="16" x14ac:dyDescent="0.2">
      <c r="A17" s="166">
        <v>5.2</v>
      </c>
      <c r="B17" s="375" t="s">
        <v>882</v>
      </c>
      <c r="C17" s="375" t="s">
        <v>883</v>
      </c>
      <c r="D17" s="379">
        <v>2</v>
      </c>
      <c r="E17" s="375">
        <v>1</v>
      </c>
      <c r="F17" s="376"/>
      <c r="G17" s="376"/>
      <c r="H17" s="376" t="s">
        <v>899</v>
      </c>
      <c r="I17" s="378"/>
      <c r="J17" s="378"/>
      <c r="K17" s="166">
        <f t="shared" si="1"/>
        <v>2</v>
      </c>
      <c r="L17" s="166">
        <f t="shared" si="0"/>
        <v>0</v>
      </c>
      <c r="M17" s="38"/>
      <c r="N17" s="38"/>
    </row>
    <row r="18" spans="1:14" ht="16" x14ac:dyDescent="0.2">
      <c r="A18" s="373">
        <v>6</v>
      </c>
      <c r="B18" s="373"/>
      <c r="C18" s="374" t="s">
        <v>870</v>
      </c>
      <c r="D18" s="373"/>
      <c r="E18" s="373"/>
      <c r="F18" s="373"/>
      <c r="G18" s="373"/>
      <c r="H18" s="373"/>
      <c r="I18" s="373"/>
      <c r="J18" s="373"/>
      <c r="K18" s="373"/>
      <c r="L18" s="373"/>
      <c r="M18" s="38"/>
      <c r="N18" s="38"/>
    </row>
    <row r="19" spans="1:14" ht="16" x14ac:dyDescent="0.2">
      <c r="A19" s="166">
        <v>6.1</v>
      </c>
      <c r="B19" s="375" t="s">
        <v>877</v>
      </c>
      <c r="C19" s="375" t="s">
        <v>878</v>
      </c>
      <c r="D19" s="375">
        <v>3</v>
      </c>
      <c r="E19" s="375">
        <v>2</v>
      </c>
      <c r="F19" s="376"/>
      <c r="G19" s="376"/>
      <c r="H19" s="376" t="s">
        <v>901</v>
      </c>
      <c r="I19" s="378"/>
      <c r="J19" s="378"/>
      <c r="K19" s="166">
        <f t="shared" si="1"/>
        <v>6</v>
      </c>
      <c r="L19" s="166">
        <f t="shared" si="0"/>
        <v>0</v>
      </c>
      <c r="M19" s="38"/>
      <c r="N19" s="38"/>
    </row>
    <row r="20" spans="1:14" ht="16" x14ac:dyDescent="0.2">
      <c r="A20" s="373">
        <v>7</v>
      </c>
      <c r="B20" s="373"/>
      <c r="C20" s="374" t="s">
        <v>874</v>
      </c>
      <c r="D20" s="373"/>
      <c r="E20" s="373"/>
      <c r="F20" s="373"/>
      <c r="G20" s="373"/>
      <c r="H20" s="373"/>
      <c r="I20" s="373"/>
      <c r="J20" s="373"/>
      <c r="K20" s="373"/>
      <c r="L20" s="373"/>
      <c r="M20" s="38"/>
      <c r="N20" s="38"/>
    </row>
    <row r="21" spans="1:14" ht="16" x14ac:dyDescent="0.2">
      <c r="A21" s="166">
        <v>7.1</v>
      </c>
      <c r="B21" s="375" t="s">
        <v>884</v>
      </c>
      <c r="C21" s="375" t="s">
        <v>888</v>
      </c>
      <c r="D21" s="375">
        <v>4</v>
      </c>
      <c r="E21" s="375">
        <v>1</v>
      </c>
      <c r="F21" s="376"/>
      <c r="G21" s="376"/>
      <c r="H21" s="376" t="s">
        <v>902</v>
      </c>
      <c r="I21" s="378"/>
      <c r="J21" s="378"/>
      <c r="K21" s="166">
        <f t="shared" si="1"/>
        <v>4</v>
      </c>
      <c r="L21" s="166">
        <f t="shared" si="0"/>
        <v>0</v>
      </c>
      <c r="M21" s="38"/>
      <c r="N21" s="38"/>
    </row>
    <row r="22" spans="1:14" ht="16" x14ac:dyDescent="0.2">
      <c r="A22" s="166">
        <v>7.2</v>
      </c>
      <c r="B22" s="375"/>
      <c r="C22" s="375"/>
      <c r="D22" s="375"/>
      <c r="E22" s="375"/>
      <c r="F22" s="376"/>
      <c r="G22" s="376"/>
      <c r="H22" s="376"/>
      <c r="I22" s="378"/>
      <c r="J22" s="378"/>
      <c r="K22" s="166">
        <f t="shared" si="1"/>
        <v>0</v>
      </c>
      <c r="L22" s="166">
        <f t="shared" si="0"/>
        <v>0</v>
      </c>
      <c r="M22" s="38"/>
      <c r="N22" s="38"/>
    </row>
    <row r="23" spans="1:14" x14ac:dyDescent="0.15">
      <c r="B23" s="38"/>
      <c r="C23" s="38"/>
      <c r="D23" s="38"/>
      <c r="E23" s="38"/>
      <c r="F23" s="38"/>
      <c r="G23" s="38"/>
      <c r="H23" s="38"/>
      <c r="I23" s="38"/>
      <c r="J23" s="38"/>
      <c r="K23" s="38"/>
      <c r="L23" s="38"/>
      <c r="M23" s="38"/>
      <c r="N23" s="38"/>
    </row>
    <row r="24" spans="1:14" x14ac:dyDescent="0.15">
      <c r="B24" s="38"/>
      <c r="C24" s="38"/>
      <c r="D24" s="38"/>
      <c r="E24" s="38"/>
      <c r="F24" s="38"/>
      <c r="G24" s="38"/>
      <c r="H24" s="38"/>
      <c r="I24" s="38"/>
      <c r="J24" s="38"/>
      <c r="K24" s="38"/>
      <c r="L24" s="38"/>
      <c r="M24" s="38"/>
      <c r="N24" s="38"/>
    </row>
    <row r="25" spans="1:14" ht="16" x14ac:dyDescent="0.2">
      <c r="A25" s="166"/>
      <c r="B25" s="372"/>
      <c r="C25" s="488" t="s">
        <v>851</v>
      </c>
      <c r="D25" s="488"/>
      <c r="E25" s="488"/>
      <c r="F25" s="485" t="s">
        <v>852</v>
      </c>
      <c r="G25" s="485"/>
      <c r="H25" s="485"/>
      <c r="I25" s="38"/>
      <c r="J25" s="38"/>
      <c r="K25" s="38"/>
      <c r="L25" s="38"/>
      <c r="M25" s="38"/>
      <c r="N25" s="38"/>
    </row>
    <row r="26" spans="1:14" ht="16" x14ac:dyDescent="0.2">
      <c r="A26" s="166" t="s">
        <v>904</v>
      </c>
      <c r="B26" s="215" t="s">
        <v>905</v>
      </c>
      <c r="C26" s="215" t="s">
        <v>906</v>
      </c>
      <c r="D26" s="215" t="s">
        <v>858</v>
      </c>
      <c r="E26" s="215" t="s">
        <v>859</v>
      </c>
      <c r="F26" s="215" t="s">
        <v>860</v>
      </c>
      <c r="G26" s="215" t="s">
        <v>861</v>
      </c>
      <c r="H26" s="215" t="s">
        <v>868</v>
      </c>
      <c r="I26" s="38"/>
      <c r="J26" s="38"/>
      <c r="K26" s="38"/>
      <c r="L26" s="38"/>
      <c r="M26" s="38"/>
      <c r="N26" s="38"/>
    </row>
    <row r="27" spans="1:14" ht="16" x14ac:dyDescent="0.2">
      <c r="A27" s="373">
        <v>1</v>
      </c>
      <c r="B27" s="373"/>
      <c r="C27" s="374" t="s">
        <v>873</v>
      </c>
      <c r="D27" s="374"/>
      <c r="E27" s="373"/>
      <c r="F27" s="373"/>
      <c r="G27" s="373"/>
      <c r="H27" s="373"/>
      <c r="I27" s="38"/>
      <c r="J27" s="38"/>
      <c r="K27" s="38"/>
      <c r="L27" s="38"/>
      <c r="M27" s="38"/>
      <c r="N27" s="38"/>
    </row>
    <row r="28" spans="1:14" ht="16" x14ac:dyDescent="0.2">
      <c r="A28" s="166">
        <v>1.1000000000000001</v>
      </c>
      <c r="B28" s="375"/>
      <c r="C28" s="375"/>
      <c r="D28" s="375"/>
      <c r="E28" s="375"/>
      <c r="F28" s="376"/>
      <c r="G28" s="376"/>
      <c r="H28" s="377"/>
      <c r="I28" s="38"/>
      <c r="J28" s="38"/>
      <c r="K28" s="38"/>
      <c r="L28" s="38"/>
      <c r="M28" s="38"/>
      <c r="N28" s="38"/>
    </row>
    <row r="29" spans="1:14" ht="16" x14ac:dyDescent="0.2">
      <c r="A29" s="166">
        <v>1.2</v>
      </c>
      <c r="B29" s="375"/>
      <c r="C29" s="375"/>
      <c r="D29" s="375"/>
      <c r="E29" s="375"/>
      <c r="F29" s="376"/>
      <c r="G29" s="376"/>
      <c r="H29" s="376"/>
      <c r="I29" s="38"/>
      <c r="J29" s="38"/>
      <c r="K29" s="38"/>
      <c r="L29" s="38"/>
      <c r="M29" s="38"/>
      <c r="N29" s="38"/>
    </row>
    <row r="30" spans="1:14" ht="16" x14ac:dyDescent="0.2">
      <c r="A30" s="373">
        <v>2</v>
      </c>
      <c r="B30" s="373"/>
      <c r="C30" s="374" t="s">
        <v>875</v>
      </c>
      <c r="D30" s="373"/>
      <c r="E30" s="373"/>
      <c r="F30" s="373"/>
      <c r="G30" s="373"/>
      <c r="H30" s="373"/>
      <c r="I30" s="38"/>
      <c r="J30" s="38"/>
      <c r="K30" s="38"/>
      <c r="L30" s="38"/>
      <c r="M30" s="38"/>
      <c r="N30" s="38"/>
    </row>
    <row r="31" spans="1:14" ht="16" x14ac:dyDescent="0.2">
      <c r="A31" s="166">
        <v>2.1</v>
      </c>
      <c r="B31" s="375"/>
      <c r="C31" s="375"/>
      <c r="D31" s="375"/>
      <c r="E31" s="375"/>
      <c r="F31" s="376"/>
      <c r="G31" s="376"/>
      <c r="H31" s="376"/>
      <c r="I31" s="38"/>
      <c r="J31" s="38"/>
      <c r="K31" s="38"/>
      <c r="L31" s="38"/>
      <c r="M31" s="38"/>
      <c r="N31" s="38"/>
    </row>
    <row r="32" spans="1:14" ht="16" x14ac:dyDescent="0.2">
      <c r="A32" s="166">
        <v>2.2000000000000002</v>
      </c>
      <c r="B32" s="375"/>
      <c r="C32" s="375"/>
      <c r="D32" s="375"/>
      <c r="E32" s="375"/>
      <c r="F32" s="376"/>
      <c r="G32" s="376"/>
      <c r="H32" s="376"/>
      <c r="I32" s="38"/>
      <c r="J32" s="38"/>
      <c r="K32" s="38"/>
      <c r="L32" s="38"/>
      <c r="M32" s="38"/>
      <c r="N32" s="38"/>
    </row>
    <row r="33" spans="1:14" ht="16" x14ac:dyDescent="0.2">
      <c r="A33" s="166">
        <v>2.2999999999999998</v>
      </c>
      <c r="B33" s="375"/>
      <c r="C33" s="375"/>
      <c r="D33" s="375"/>
      <c r="E33" s="375"/>
      <c r="F33" s="376"/>
      <c r="G33" s="376"/>
      <c r="H33" s="376"/>
      <c r="I33" s="38"/>
      <c r="J33" s="38"/>
      <c r="K33" s="38"/>
      <c r="L33" s="38"/>
      <c r="M33" s="38"/>
      <c r="N33" s="38"/>
    </row>
    <row r="34" spans="1:14" ht="16" x14ac:dyDescent="0.2">
      <c r="A34" s="373">
        <v>3</v>
      </c>
      <c r="B34" s="373"/>
      <c r="C34" s="374" t="s">
        <v>872</v>
      </c>
      <c r="D34" s="373"/>
      <c r="E34" s="373"/>
      <c r="F34" s="373"/>
      <c r="G34" s="373"/>
      <c r="H34" s="373"/>
      <c r="I34" s="38"/>
      <c r="J34" s="38"/>
      <c r="K34" s="38"/>
      <c r="L34" s="371"/>
      <c r="M34" s="38"/>
      <c r="N34" s="38"/>
    </row>
    <row r="35" spans="1:14" ht="16" x14ac:dyDescent="0.2">
      <c r="A35" s="166">
        <v>3.1</v>
      </c>
      <c r="B35" s="375"/>
      <c r="C35" s="375"/>
      <c r="D35" s="375"/>
      <c r="E35" s="375"/>
      <c r="F35" s="376"/>
      <c r="G35" s="376"/>
      <c r="H35" s="376"/>
      <c r="I35" s="38"/>
      <c r="J35" s="38"/>
      <c r="K35" s="38"/>
      <c r="L35" s="38"/>
      <c r="M35" s="38"/>
      <c r="N35" s="38"/>
    </row>
    <row r="36" spans="1:14" ht="16" x14ac:dyDescent="0.2">
      <c r="A36" s="166">
        <v>3.2</v>
      </c>
      <c r="B36" s="375"/>
      <c r="C36" s="375"/>
      <c r="D36" s="375"/>
      <c r="E36" s="375"/>
      <c r="F36" s="376"/>
      <c r="G36" s="376"/>
      <c r="H36" s="376"/>
      <c r="I36" s="38"/>
      <c r="J36" s="38"/>
      <c r="K36" s="38"/>
      <c r="L36" s="38"/>
      <c r="M36" s="38"/>
      <c r="N36" s="38"/>
    </row>
    <row r="37" spans="1:14" ht="16" x14ac:dyDescent="0.2">
      <c r="A37" s="373">
        <v>4</v>
      </c>
      <c r="B37" s="373"/>
      <c r="C37" s="374" t="s">
        <v>871</v>
      </c>
      <c r="D37" s="373"/>
      <c r="E37" s="373"/>
      <c r="F37" s="373"/>
      <c r="G37" s="373"/>
      <c r="H37" s="373"/>
      <c r="I37" s="38"/>
      <c r="J37" s="38"/>
      <c r="K37" s="38"/>
      <c r="L37" s="38"/>
      <c r="M37" s="38"/>
      <c r="N37" s="38"/>
    </row>
    <row r="38" spans="1:14" ht="16" x14ac:dyDescent="0.2">
      <c r="A38" s="166">
        <v>4.0999999999999996</v>
      </c>
      <c r="B38" s="375"/>
      <c r="C38" s="375"/>
      <c r="D38" s="375"/>
      <c r="E38" s="375"/>
      <c r="F38" s="376"/>
      <c r="G38" s="376"/>
      <c r="H38" s="376"/>
      <c r="I38" s="38"/>
      <c r="J38" s="38"/>
      <c r="K38" s="38"/>
      <c r="L38" s="38"/>
      <c r="M38" s="38"/>
      <c r="N38" s="38"/>
    </row>
    <row r="39" spans="1:14" ht="16" x14ac:dyDescent="0.2">
      <c r="A39" s="373">
        <v>5</v>
      </c>
      <c r="B39" s="373"/>
      <c r="C39" s="374" t="s">
        <v>866</v>
      </c>
      <c r="D39" s="373"/>
      <c r="E39" s="373"/>
      <c r="F39" s="373"/>
      <c r="G39" s="373"/>
      <c r="H39" s="373"/>
      <c r="I39" s="38"/>
      <c r="J39" s="38"/>
      <c r="K39" s="38"/>
      <c r="L39" s="38"/>
      <c r="M39" s="38"/>
      <c r="N39" s="38"/>
    </row>
    <row r="40" spans="1:14" ht="16" x14ac:dyDescent="0.2">
      <c r="A40" s="166">
        <v>5.0999999999999996</v>
      </c>
      <c r="B40" s="375" t="s">
        <v>907</v>
      </c>
      <c r="C40" s="375"/>
      <c r="D40" s="379"/>
      <c r="E40" s="375"/>
      <c r="F40" s="376"/>
      <c r="G40" s="376"/>
      <c r="H40" s="376"/>
      <c r="I40" s="38"/>
      <c r="J40" s="38"/>
      <c r="K40" s="38"/>
      <c r="L40" s="38"/>
      <c r="M40" s="38"/>
      <c r="N40" s="38"/>
    </row>
    <row r="41" spans="1:14" ht="16" x14ac:dyDescent="0.2">
      <c r="A41" s="166">
        <v>5.2</v>
      </c>
      <c r="B41" s="375"/>
      <c r="C41" s="375"/>
      <c r="D41" s="379"/>
      <c r="E41" s="375"/>
      <c r="F41" s="376"/>
      <c r="G41" s="376"/>
      <c r="H41" s="376"/>
      <c r="I41" s="38"/>
      <c r="J41" s="38"/>
      <c r="K41" s="38"/>
      <c r="L41" s="38"/>
      <c r="M41" s="38"/>
      <c r="N41" s="38"/>
    </row>
    <row r="42" spans="1:14" ht="16" x14ac:dyDescent="0.2">
      <c r="A42" s="373">
        <v>6</v>
      </c>
      <c r="B42" s="373"/>
      <c r="C42" s="374" t="s">
        <v>870</v>
      </c>
      <c r="D42" s="373"/>
      <c r="E42" s="373"/>
      <c r="F42" s="373"/>
      <c r="G42" s="373"/>
      <c r="H42" s="373"/>
      <c r="I42" s="38"/>
      <c r="J42" s="38"/>
      <c r="K42" s="38"/>
      <c r="L42" s="38"/>
      <c r="M42" s="38"/>
      <c r="N42" s="38"/>
    </row>
    <row r="43" spans="1:14" ht="16" x14ac:dyDescent="0.2">
      <c r="A43" s="166">
        <v>6.1</v>
      </c>
      <c r="B43" s="375" t="s">
        <v>909</v>
      </c>
      <c r="C43" s="375" t="s">
        <v>910</v>
      </c>
      <c r="D43" s="375"/>
      <c r="E43" s="375"/>
      <c r="F43" s="376"/>
      <c r="G43" s="376"/>
      <c r="H43" s="376"/>
      <c r="I43" s="38"/>
      <c r="J43" s="38"/>
      <c r="K43" s="38"/>
      <c r="L43" s="38"/>
      <c r="M43" s="38"/>
      <c r="N43" s="38"/>
    </row>
    <row r="44" spans="1:14" ht="16" x14ac:dyDescent="0.2">
      <c r="A44" s="373">
        <v>7</v>
      </c>
      <c r="B44" s="373"/>
      <c r="C44" s="374" t="s">
        <v>908</v>
      </c>
      <c r="D44" s="373"/>
      <c r="E44" s="373"/>
      <c r="F44" s="373"/>
      <c r="G44" s="373"/>
      <c r="H44" s="373"/>
      <c r="I44" s="38"/>
      <c r="J44" s="38"/>
      <c r="K44" s="38"/>
      <c r="L44" s="38"/>
      <c r="M44" s="38"/>
      <c r="N44" s="38"/>
    </row>
    <row r="45" spans="1:14" ht="16" x14ac:dyDescent="0.2">
      <c r="A45" s="166">
        <v>7.1</v>
      </c>
      <c r="B45" s="375"/>
      <c r="C45" s="375"/>
      <c r="D45" s="375"/>
      <c r="E45" s="375"/>
      <c r="F45" s="376"/>
      <c r="G45" s="376"/>
      <c r="H45" s="376"/>
      <c r="I45" s="38"/>
      <c r="J45" s="38"/>
      <c r="K45" s="38"/>
      <c r="L45" s="38"/>
      <c r="M45" s="38"/>
      <c r="N45" s="38"/>
    </row>
    <row r="46" spans="1:14" ht="16" x14ac:dyDescent="0.2">
      <c r="A46" s="166">
        <v>7.2</v>
      </c>
      <c r="B46" s="375"/>
      <c r="C46" s="375"/>
      <c r="D46" s="375"/>
      <c r="E46" s="375"/>
      <c r="F46" s="376"/>
      <c r="G46" s="376"/>
      <c r="H46" s="376"/>
      <c r="I46" s="38"/>
      <c r="J46" s="38"/>
      <c r="K46" s="38"/>
      <c r="L46" s="38"/>
      <c r="M46" s="38"/>
      <c r="N46" s="38"/>
    </row>
    <row r="47" spans="1:14" x14ac:dyDescent="0.15">
      <c r="A47" s="244"/>
      <c r="B47" s="38"/>
      <c r="C47" s="38"/>
      <c r="D47" s="38"/>
      <c r="E47" s="38"/>
      <c r="F47" s="38"/>
      <c r="G47" s="38"/>
      <c r="H47" s="38"/>
      <c r="I47" s="38"/>
      <c r="J47" s="38"/>
      <c r="K47" s="38"/>
      <c r="L47" s="38"/>
      <c r="M47" s="38"/>
      <c r="N47" s="38"/>
    </row>
    <row r="48" spans="1:14" x14ac:dyDescent="0.15">
      <c r="A48" s="38"/>
      <c r="B48" s="38"/>
      <c r="C48" s="38"/>
      <c r="D48" s="38"/>
      <c r="E48" s="38"/>
      <c r="F48" s="38"/>
      <c r="G48" s="38"/>
      <c r="H48" s="38"/>
      <c r="I48" s="38"/>
      <c r="J48" s="38"/>
      <c r="K48" s="38"/>
      <c r="L48" s="38"/>
      <c r="M48" s="38"/>
      <c r="N48" s="38"/>
    </row>
    <row r="49" spans="1:14" x14ac:dyDescent="0.15">
      <c r="A49" s="38"/>
      <c r="B49" s="38"/>
      <c r="C49" s="38"/>
      <c r="D49" s="38"/>
      <c r="E49" s="38"/>
      <c r="F49" s="38"/>
      <c r="G49" s="38"/>
      <c r="H49" s="38"/>
      <c r="I49" s="38"/>
      <c r="J49" s="38"/>
      <c r="K49" s="38"/>
      <c r="L49" s="38"/>
      <c r="M49" s="38"/>
      <c r="N49" s="38"/>
    </row>
    <row r="50" spans="1:14" x14ac:dyDescent="0.15">
      <c r="A50" s="38"/>
      <c r="B50" s="38"/>
      <c r="C50" s="38"/>
      <c r="D50" s="38"/>
      <c r="E50" s="38"/>
      <c r="F50" s="38"/>
      <c r="G50" s="38"/>
      <c r="H50" s="38"/>
      <c r="I50" s="38"/>
      <c r="J50" s="38"/>
      <c r="K50" s="38"/>
      <c r="L50" s="38"/>
      <c r="M50" s="38"/>
      <c r="N50" s="38"/>
    </row>
    <row r="51" spans="1:14" x14ac:dyDescent="0.15">
      <c r="A51" s="38"/>
      <c r="B51" s="38"/>
      <c r="C51" s="38"/>
      <c r="D51" s="44"/>
      <c r="E51" s="38"/>
      <c r="F51" s="38"/>
      <c r="G51" s="38"/>
      <c r="H51" s="38"/>
      <c r="I51" s="38"/>
      <c r="J51" s="38"/>
      <c r="K51" s="38"/>
      <c r="L51" s="38"/>
      <c r="M51" s="38"/>
      <c r="N51" s="38"/>
    </row>
    <row r="52" spans="1:14" x14ac:dyDescent="0.15">
      <c r="A52" s="38"/>
      <c r="B52" s="38"/>
      <c r="C52" s="38"/>
      <c r="D52" s="38"/>
      <c r="E52" s="38"/>
      <c r="F52" s="38"/>
      <c r="G52" s="38"/>
      <c r="H52" s="38"/>
      <c r="I52" s="38"/>
      <c r="J52" s="38"/>
      <c r="K52" s="38"/>
      <c r="L52" s="38"/>
      <c r="M52" s="38"/>
      <c r="N52" s="38"/>
    </row>
    <row r="53" spans="1:14" x14ac:dyDescent="0.15">
      <c r="A53" s="38"/>
      <c r="B53" s="38"/>
      <c r="C53" s="38"/>
      <c r="D53" s="38"/>
      <c r="E53" s="38"/>
      <c r="F53" s="38"/>
      <c r="G53" s="38"/>
      <c r="H53" s="38"/>
      <c r="I53" s="38"/>
      <c r="J53" s="38"/>
      <c r="K53" s="38"/>
      <c r="L53" s="38"/>
      <c r="M53" s="38"/>
      <c r="N53" s="38"/>
    </row>
    <row r="54" spans="1:14" x14ac:dyDescent="0.15">
      <c r="A54" s="38"/>
      <c r="B54" s="38"/>
      <c r="C54" s="38"/>
      <c r="D54" s="38"/>
      <c r="E54" s="38"/>
      <c r="F54" s="38"/>
      <c r="G54" s="38"/>
      <c r="H54" s="38"/>
      <c r="I54" s="38"/>
      <c r="J54" s="38"/>
      <c r="K54" s="38"/>
      <c r="L54" s="38"/>
      <c r="M54" s="38"/>
      <c r="N54" s="38"/>
    </row>
    <row r="55" spans="1:14" x14ac:dyDescent="0.15">
      <c r="A55" s="38"/>
      <c r="B55" s="38"/>
      <c r="C55" s="38"/>
      <c r="D55" s="38"/>
      <c r="E55" s="38"/>
      <c r="F55" s="38"/>
      <c r="G55" s="38"/>
      <c r="H55" s="38"/>
      <c r="I55" s="38"/>
      <c r="J55" s="38"/>
      <c r="K55" s="38"/>
      <c r="L55" s="38"/>
      <c r="M55" s="38"/>
      <c r="N55" s="38"/>
    </row>
    <row r="56" spans="1:14" x14ac:dyDescent="0.15">
      <c r="A56" s="38"/>
      <c r="B56" s="38"/>
      <c r="C56" s="38"/>
      <c r="D56" s="38"/>
      <c r="E56" s="38"/>
      <c r="F56" s="38"/>
      <c r="G56" s="38"/>
      <c r="H56" s="38"/>
      <c r="I56" s="38"/>
      <c r="J56" s="38"/>
      <c r="K56" s="38"/>
      <c r="L56" s="38"/>
      <c r="M56" s="38"/>
      <c r="N56" s="38"/>
    </row>
    <row r="57" spans="1:14" x14ac:dyDescent="0.15">
      <c r="A57" s="38"/>
      <c r="B57" s="38"/>
      <c r="C57" s="38"/>
      <c r="D57" s="38"/>
      <c r="E57" s="38"/>
      <c r="F57" s="38"/>
      <c r="G57" s="38"/>
      <c r="H57" s="38"/>
      <c r="I57" s="38"/>
      <c r="J57" s="38"/>
      <c r="K57" s="38"/>
      <c r="L57" s="38"/>
      <c r="M57" s="38"/>
      <c r="N57" s="38"/>
    </row>
    <row r="58" spans="1:14" x14ac:dyDescent="0.15">
      <c r="A58" s="38"/>
      <c r="B58" s="38"/>
      <c r="C58" s="38"/>
      <c r="D58" s="38"/>
      <c r="E58" s="38"/>
      <c r="F58" s="38"/>
      <c r="G58" s="38"/>
      <c r="H58" s="38"/>
      <c r="I58" s="38"/>
      <c r="J58" s="38"/>
      <c r="K58" s="38"/>
      <c r="L58" s="38"/>
      <c r="M58" s="38"/>
      <c r="N58" s="38"/>
    </row>
    <row r="59" spans="1:14" x14ac:dyDescent="0.15">
      <c r="A59" s="38"/>
      <c r="B59" s="38"/>
      <c r="C59" s="38"/>
      <c r="D59" s="38"/>
      <c r="E59" s="38"/>
      <c r="F59" s="38"/>
      <c r="G59" s="38"/>
      <c r="H59" s="38"/>
      <c r="I59" s="38"/>
      <c r="J59" s="38"/>
      <c r="K59" s="38"/>
      <c r="L59" s="38"/>
      <c r="M59" s="38"/>
      <c r="N59" s="38"/>
    </row>
    <row r="60" spans="1:14" x14ac:dyDescent="0.15">
      <c r="A60" s="38"/>
      <c r="B60" s="38"/>
      <c r="C60" s="38"/>
      <c r="D60" s="38"/>
      <c r="E60" s="38"/>
      <c r="F60" s="38"/>
      <c r="G60" s="38"/>
      <c r="H60" s="38"/>
      <c r="I60" s="38"/>
      <c r="J60" s="38"/>
      <c r="K60" s="38"/>
      <c r="L60" s="38"/>
      <c r="M60" s="38"/>
      <c r="N60" s="38"/>
    </row>
    <row r="61" spans="1:14" x14ac:dyDescent="0.15">
      <c r="A61" s="38"/>
      <c r="B61" s="38"/>
      <c r="C61" s="38"/>
      <c r="D61" s="38"/>
      <c r="E61" s="38"/>
      <c r="F61" s="38"/>
      <c r="G61" s="38"/>
      <c r="H61" s="38"/>
      <c r="I61" s="38"/>
      <c r="J61" s="38"/>
      <c r="K61" s="38"/>
      <c r="L61" s="38"/>
      <c r="M61" s="38"/>
      <c r="N61" s="38"/>
    </row>
    <row r="62" spans="1:14" x14ac:dyDescent="0.15">
      <c r="A62" s="38"/>
      <c r="B62" s="38"/>
      <c r="C62" s="38"/>
      <c r="D62" s="38"/>
      <c r="E62" s="38"/>
      <c r="F62" s="38"/>
      <c r="G62" s="38"/>
      <c r="H62" s="38"/>
      <c r="I62" s="38"/>
      <c r="J62" s="38"/>
      <c r="K62" s="38"/>
      <c r="L62" s="38"/>
      <c r="M62" s="38"/>
      <c r="N62" s="38"/>
    </row>
    <row r="63" spans="1:14" x14ac:dyDescent="0.15">
      <c r="A63" s="38"/>
      <c r="B63" s="38"/>
      <c r="C63" s="38"/>
      <c r="D63" s="38"/>
      <c r="E63" s="38"/>
      <c r="F63" s="38"/>
      <c r="G63" s="38"/>
      <c r="H63" s="38"/>
      <c r="I63" s="38"/>
      <c r="J63" s="38"/>
      <c r="K63" s="38"/>
      <c r="L63" s="38"/>
      <c r="M63" s="38"/>
      <c r="N63" s="38"/>
    </row>
    <row r="64" spans="1:14" x14ac:dyDescent="0.15">
      <c r="A64" s="38"/>
      <c r="B64" s="38"/>
      <c r="C64" s="38"/>
      <c r="D64" s="38"/>
      <c r="E64" s="38"/>
      <c r="F64" s="38"/>
      <c r="G64" s="38"/>
      <c r="H64" s="38"/>
      <c r="I64" s="38"/>
      <c r="J64" s="38"/>
      <c r="K64" s="38"/>
      <c r="L64" s="38"/>
      <c r="M64" s="38"/>
      <c r="N64" s="38"/>
    </row>
    <row r="65" spans="1:14" x14ac:dyDescent="0.15">
      <c r="A65" s="38"/>
      <c r="B65" s="38"/>
      <c r="C65" s="38"/>
      <c r="D65" s="38"/>
      <c r="E65" s="38"/>
      <c r="F65" s="38"/>
      <c r="G65" s="38"/>
      <c r="H65" s="38"/>
      <c r="I65" s="38"/>
      <c r="J65" s="38"/>
      <c r="K65" s="38"/>
      <c r="L65" s="38"/>
      <c r="M65" s="38"/>
      <c r="N65" s="38"/>
    </row>
    <row r="66" spans="1:14" x14ac:dyDescent="0.15">
      <c r="A66" s="38"/>
      <c r="B66" s="38"/>
      <c r="C66" s="38"/>
      <c r="D66" s="38"/>
      <c r="E66" s="38"/>
      <c r="F66" s="38"/>
      <c r="G66" s="38"/>
      <c r="H66" s="38"/>
      <c r="I66" s="38"/>
      <c r="J66" s="38"/>
      <c r="K66" s="38"/>
      <c r="L66" s="38"/>
      <c r="M66" s="38"/>
      <c r="N66" s="38"/>
    </row>
    <row r="67" spans="1:14" x14ac:dyDescent="0.15">
      <c r="A67" s="38"/>
      <c r="B67" s="38"/>
      <c r="C67" s="38"/>
      <c r="D67" s="38"/>
      <c r="E67" s="38"/>
      <c r="F67" s="38"/>
      <c r="G67" s="38"/>
      <c r="H67" s="38"/>
      <c r="I67" s="38"/>
      <c r="J67" s="38"/>
      <c r="K67" s="38"/>
      <c r="L67" s="38"/>
      <c r="M67" s="38"/>
      <c r="N67" s="38"/>
    </row>
    <row r="68" spans="1:14" x14ac:dyDescent="0.15">
      <c r="A68" s="38"/>
      <c r="B68" s="38"/>
      <c r="C68" s="38"/>
      <c r="D68" s="38"/>
      <c r="E68" s="38"/>
      <c r="F68" s="38"/>
      <c r="G68" s="38"/>
      <c r="H68" s="38"/>
      <c r="I68" s="38"/>
      <c r="J68" s="38"/>
      <c r="K68" s="38"/>
      <c r="L68" s="38"/>
      <c r="M68" s="38"/>
      <c r="N68" s="38"/>
    </row>
    <row r="69" spans="1:14" x14ac:dyDescent="0.15">
      <c r="A69" s="38"/>
      <c r="B69" s="38"/>
      <c r="C69" s="38"/>
      <c r="D69" s="38"/>
      <c r="E69" s="38"/>
      <c r="F69" s="38"/>
      <c r="G69" s="38"/>
      <c r="H69" s="38"/>
      <c r="I69" s="38"/>
      <c r="J69" s="38"/>
      <c r="K69" s="38"/>
      <c r="L69" s="38"/>
      <c r="M69" s="38"/>
      <c r="N69" s="38"/>
    </row>
    <row r="70" spans="1:14" x14ac:dyDescent="0.15">
      <c r="A70" s="38"/>
      <c r="B70" s="38"/>
      <c r="C70" s="38"/>
      <c r="D70" s="38"/>
      <c r="E70" s="38"/>
      <c r="F70" s="38"/>
      <c r="G70" s="38"/>
      <c r="H70" s="38"/>
      <c r="I70" s="38"/>
      <c r="J70" s="38"/>
      <c r="K70" s="38"/>
      <c r="L70" s="38"/>
      <c r="M70" s="38"/>
      <c r="N70" s="38"/>
    </row>
    <row r="71" spans="1:14" x14ac:dyDescent="0.15">
      <c r="A71" s="38"/>
      <c r="B71" s="38"/>
      <c r="C71" s="38"/>
      <c r="D71" s="38"/>
      <c r="E71" s="38"/>
      <c r="F71" s="38"/>
      <c r="G71" s="38"/>
      <c r="H71" s="38"/>
      <c r="I71" s="38"/>
      <c r="J71" s="38"/>
      <c r="K71" s="38"/>
      <c r="L71" s="38"/>
      <c r="M71" s="38"/>
      <c r="N71" s="38"/>
    </row>
    <row r="72" spans="1:14" x14ac:dyDescent="0.15">
      <c r="A72" s="38"/>
      <c r="B72" s="38"/>
      <c r="C72" s="38"/>
      <c r="D72" s="38"/>
      <c r="E72" s="38"/>
      <c r="F72" s="38"/>
      <c r="G72" s="38"/>
      <c r="H72" s="38"/>
      <c r="I72" s="38"/>
      <c r="J72" s="38"/>
      <c r="K72" s="38"/>
      <c r="L72" s="38"/>
      <c r="M72" s="38"/>
      <c r="N72" s="38"/>
    </row>
    <row r="73" spans="1:14" x14ac:dyDescent="0.15">
      <c r="A73" s="38"/>
      <c r="B73" s="38"/>
      <c r="C73" s="38"/>
      <c r="D73" s="38"/>
      <c r="E73" s="38"/>
      <c r="F73" s="38"/>
      <c r="G73" s="38"/>
      <c r="H73" s="38"/>
      <c r="I73" s="38"/>
      <c r="J73" s="38"/>
      <c r="K73" s="38"/>
      <c r="L73" s="38"/>
      <c r="M73" s="38"/>
      <c r="N73" s="38"/>
    </row>
    <row r="74" spans="1:14" x14ac:dyDescent="0.15">
      <c r="A74" s="38"/>
      <c r="B74" s="38"/>
      <c r="C74" s="38"/>
      <c r="D74" s="38"/>
      <c r="E74" s="38"/>
      <c r="F74" s="38"/>
      <c r="G74" s="38"/>
      <c r="H74" s="38"/>
      <c r="I74" s="38"/>
      <c r="J74" s="38"/>
      <c r="K74" s="38"/>
      <c r="L74" s="38"/>
      <c r="M74" s="38"/>
      <c r="N74" s="38"/>
    </row>
    <row r="75" spans="1:14" x14ac:dyDescent="0.15">
      <c r="A75" s="38"/>
      <c r="B75" s="38"/>
      <c r="C75" s="38"/>
      <c r="D75" s="38"/>
      <c r="E75" s="38"/>
      <c r="F75" s="38"/>
      <c r="G75" s="38"/>
      <c r="H75" s="38"/>
      <c r="I75" s="38"/>
      <c r="J75" s="38"/>
      <c r="K75" s="38"/>
      <c r="L75" s="38"/>
      <c r="M75" s="38"/>
      <c r="N75" s="38"/>
    </row>
    <row r="76" spans="1:14" x14ac:dyDescent="0.15">
      <c r="A76" s="38"/>
      <c r="B76" s="38"/>
      <c r="C76" s="38"/>
      <c r="D76" s="38"/>
      <c r="E76" s="38"/>
      <c r="F76" s="38"/>
      <c r="G76" s="38"/>
      <c r="H76" s="38"/>
      <c r="I76" s="38"/>
      <c r="J76" s="38"/>
      <c r="K76" s="38"/>
      <c r="L76" s="38"/>
      <c r="M76" s="38"/>
      <c r="N76" s="38"/>
    </row>
    <row r="77" spans="1:14" x14ac:dyDescent="0.15">
      <c r="A77" s="38"/>
      <c r="B77" s="38"/>
      <c r="C77" s="38"/>
      <c r="D77" s="38"/>
      <c r="E77" s="38"/>
      <c r="F77" s="38"/>
      <c r="G77" s="38"/>
      <c r="H77" s="38"/>
      <c r="I77" s="38"/>
      <c r="J77" s="38"/>
      <c r="K77" s="38"/>
      <c r="L77" s="38"/>
      <c r="M77" s="38"/>
      <c r="N77" s="38"/>
    </row>
    <row r="78" spans="1:14" x14ac:dyDescent="0.15">
      <c r="A78" s="38"/>
      <c r="B78" s="38"/>
      <c r="C78" s="38"/>
      <c r="D78" s="38"/>
      <c r="E78" s="38"/>
      <c r="F78" s="38"/>
      <c r="G78" s="38"/>
      <c r="H78" s="38"/>
      <c r="I78" s="38"/>
      <c r="J78" s="38"/>
      <c r="K78" s="38"/>
      <c r="L78" s="38"/>
      <c r="M78" s="38"/>
      <c r="N78" s="38"/>
    </row>
    <row r="79" spans="1:14" x14ac:dyDescent="0.15">
      <c r="A79" s="38"/>
      <c r="B79" s="38"/>
      <c r="C79" s="38"/>
      <c r="D79" s="38"/>
      <c r="E79" s="38"/>
      <c r="F79" s="38"/>
      <c r="G79" s="38"/>
      <c r="H79" s="38"/>
      <c r="I79" s="38"/>
      <c r="J79" s="38"/>
      <c r="K79" s="38"/>
      <c r="L79" s="38"/>
      <c r="M79" s="38"/>
      <c r="N79" s="38"/>
    </row>
    <row r="80" spans="1:14" x14ac:dyDescent="0.15">
      <c r="A80" s="38"/>
      <c r="B80" s="38"/>
      <c r="C80" s="38"/>
      <c r="D80" s="38"/>
      <c r="E80" s="38"/>
      <c r="F80" s="38"/>
      <c r="G80" s="38"/>
      <c r="H80" s="38"/>
      <c r="I80" s="38"/>
      <c r="J80" s="38"/>
      <c r="K80" s="38"/>
      <c r="L80" s="38"/>
      <c r="M80" s="38"/>
      <c r="N80" s="38"/>
    </row>
    <row r="81" spans="1:14" x14ac:dyDescent="0.15">
      <c r="A81" s="38"/>
      <c r="B81" s="38"/>
      <c r="C81" s="38"/>
      <c r="D81" s="38"/>
      <c r="E81" s="38"/>
      <c r="F81" s="38"/>
      <c r="G81" s="38"/>
      <c r="H81" s="38"/>
      <c r="I81" s="38"/>
      <c r="J81" s="38"/>
      <c r="K81" s="38"/>
      <c r="L81" s="38"/>
      <c r="M81" s="38"/>
      <c r="N81" s="38"/>
    </row>
    <row r="82" spans="1:14" x14ac:dyDescent="0.15">
      <c r="A82" s="38"/>
      <c r="B82" s="38"/>
      <c r="C82" s="38"/>
      <c r="D82" s="44"/>
      <c r="E82" s="38"/>
      <c r="F82" s="38"/>
      <c r="G82" s="38"/>
      <c r="H82" s="38"/>
      <c r="I82" s="38"/>
      <c r="J82" s="38"/>
      <c r="K82" s="38"/>
      <c r="L82" s="38"/>
      <c r="M82" s="38"/>
      <c r="N82" s="38"/>
    </row>
    <row r="83" spans="1:14" x14ac:dyDescent="0.15">
      <c r="A83" s="38"/>
      <c r="B83" s="38"/>
      <c r="C83" s="38"/>
      <c r="D83" s="44"/>
      <c r="E83" s="38"/>
      <c r="F83" s="38"/>
      <c r="G83" s="38"/>
      <c r="H83" s="38"/>
      <c r="I83" s="38"/>
      <c r="J83" s="38"/>
      <c r="K83" s="38"/>
      <c r="L83" s="38"/>
      <c r="M83" s="38"/>
      <c r="N83" s="38"/>
    </row>
    <row r="84" spans="1:14" x14ac:dyDescent="0.15">
      <c r="A84" s="38"/>
      <c r="B84" s="38"/>
      <c r="C84" s="38"/>
      <c r="D84" s="38"/>
      <c r="E84" s="38"/>
      <c r="F84" s="38"/>
      <c r="G84" s="38"/>
      <c r="H84" s="38"/>
      <c r="I84" s="38"/>
      <c r="J84" s="38"/>
      <c r="K84" s="38"/>
      <c r="L84" s="38"/>
      <c r="M84" s="38"/>
      <c r="N84" s="38"/>
    </row>
    <row r="85" spans="1:14" x14ac:dyDescent="0.15">
      <c r="A85" s="38"/>
      <c r="B85" s="38"/>
      <c r="C85" s="38"/>
      <c r="D85" s="38"/>
      <c r="E85" s="38"/>
      <c r="F85" s="38"/>
      <c r="G85" s="38"/>
      <c r="H85" s="38"/>
      <c r="I85" s="38"/>
      <c r="J85" s="38"/>
      <c r="K85" s="38"/>
      <c r="L85" s="38"/>
      <c r="M85" s="38"/>
      <c r="N85" s="38"/>
    </row>
    <row r="86" spans="1:14" x14ac:dyDescent="0.15">
      <c r="A86" s="38"/>
      <c r="B86" s="38"/>
      <c r="C86" s="38"/>
      <c r="D86" s="38"/>
      <c r="E86" s="38"/>
      <c r="F86" s="38"/>
      <c r="G86" s="38"/>
      <c r="H86" s="38"/>
      <c r="I86" s="38"/>
      <c r="J86" s="38"/>
      <c r="K86" s="38"/>
      <c r="L86" s="38"/>
      <c r="M86" s="38"/>
      <c r="N86" s="38"/>
    </row>
    <row r="87" spans="1:14" x14ac:dyDescent="0.15">
      <c r="A87" s="38"/>
      <c r="B87" s="38"/>
      <c r="C87" s="38"/>
      <c r="D87" s="44"/>
      <c r="E87" s="38"/>
      <c r="F87" s="38"/>
      <c r="G87" s="38"/>
      <c r="H87" s="38"/>
      <c r="I87" s="38"/>
      <c r="J87" s="38"/>
      <c r="K87" s="38"/>
      <c r="L87" s="38"/>
      <c r="M87" s="38"/>
      <c r="N87" s="38"/>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topLeftCell="A42"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123</v>
      </c>
    </row>
    <row r="2" spans="1:32" x14ac:dyDescent="0.2">
      <c r="A2" s="30" t="s">
        <v>99</v>
      </c>
      <c r="C2" s="30" t="s">
        <v>116</v>
      </c>
      <c r="K2" s="30" t="s">
        <v>98</v>
      </c>
      <c r="M2" s="30" t="s">
        <v>122</v>
      </c>
      <c r="U2" s="30" t="s">
        <v>99</v>
      </c>
      <c r="W2" s="30" t="s">
        <v>109</v>
      </c>
    </row>
    <row r="3" spans="1:32" ht="51" x14ac:dyDescent="0.2">
      <c r="A3" s="34" t="s">
        <v>121</v>
      </c>
      <c r="B3" s="34" t="s">
        <v>120</v>
      </c>
      <c r="C3" s="34" t="s">
        <v>94</v>
      </c>
      <c r="D3" s="34" t="s">
        <v>93</v>
      </c>
      <c r="E3" s="34" t="s">
        <v>92</v>
      </c>
      <c r="F3" s="34" t="s">
        <v>91</v>
      </c>
      <c r="G3" s="34" t="s">
        <v>90</v>
      </c>
      <c r="H3" s="34" t="s">
        <v>89</v>
      </c>
      <c r="I3" s="34" t="s">
        <v>88</v>
      </c>
      <c r="K3" s="34" t="s">
        <v>121</v>
      </c>
      <c r="L3" s="34" t="s">
        <v>120</v>
      </c>
      <c r="M3" s="34" t="s">
        <v>94</v>
      </c>
      <c r="N3" s="34" t="s">
        <v>93</v>
      </c>
      <c r="O3" s="34" t="s">
        <v>92</v>
      </c>
      <c r="P3" s="34" t="s">
        <v>91</v>
      </c>
      <c r="Q3" s="34" t="s">
        <v>90</v>
      </c>
      <c r="R3" s="34" t="s">
        <v>89</v>
      </c>
      <c r="S3" s="34" t="s">
        <v>88</v>
      </c>
      <c r="U3" s="34" t="s">
        <v>121</v>
      </c>
      <c r="V3" s="34" t="s">
        <v>120</v>
      </c>
      <c r="W3" s="34" t="s">
        <v>94</v>
      </c>
      <c r="X3" s="34" t="s">
        <v>93</v>
      </c>
      <c r="Y3" s="34" t="s">
        <v>92</v>
      </c>
      <c r="Z3" s="34" t="s">
        <v>91</v>
      </c>
      <c r="AA3" s="34" t="s">
        <v>90</v>
      </c>
      <c r="AB3" s="34" t="s">
        <v>89</v>
      </c>
      <c r="AC3" s="34" t="s">
        <v>88</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119</v>
      </c>
    </row>
    <row r="11" spans="1:32" x14ac:dyDescent="0.2">
      <c r="A11" s="30" t="s">
        <v>99</v>
      </c>
      <c r="C11" s="30" t="s">
        <v>116</v>
      </c>
      <c r="L11" s="30" t="s">
        <v>98</v>
      </c>
      <c r="M11" s="30" t="s">
        <v>111</v>
      </c>
      <c r="W11" s="32" t="s">
        <v>110</v>
      </c>
      <c r="X11" s="30" t="s">
        <v>109</v>
      </c>
    </row>
    <row r="12" spans="1:32" ht="51" x14ac:dyDescent="0.2">
      <c r="A12" s="34" t="s">
        <v>97</v>
      </c>
      <c r="B12" s="34" t="s">
        <v>96</v>
      </c>
      <c r="C12" s="34" t="s">
        <v>118</v>
      </c>
      <c r="D12" s="34" t="s">
        <v>94</v>
      </c>
      <c r="E12" s="34" t="s">
        <v>93</v>
      </c>
      <c r="F12" s="34" t="s">
        <v>92</v>
      </c>
      <c r="G12" s="34" t="s">
        <v>91</v>
      </c>
      <c r="H12" s="34" t="s">
        <v>90</v>
      </c>
      <c r="I12" s="34" t="s">
        <v>89</v>
      </c>
      <c r="J12" s="34" t="s">
        <v>88</v>
      </c>
      <c r="L12" s="34" t="s">
        <v>97</v>
      </c>
      <c r="M12" s="34" t="s">
        <v>96</v>
      </c>
      <c r="N12" s="34" t="s">
        <v>118</v>
      </c>
      <c r="O12" s="34" t="s">
        <v>94</v>
      </c>
      <c r="P12" s="34" t="s">
        <v>93</v>
      </c>
      <c r="Q12" s="34" t="s">
        <v>92</v>
      </c>
      <c r="R12" s="34" t="s">
        <v>91</v>
      </c>
      <c r="S12" s="34" t="s">
        <v>90</v>
      </c>
      <c r="T12" s="34" t="s">
        <v>89</v>
      </c>
      <c r="U12" s="34" t="s">
        <v>88</v>
      </c>
      <c r="W12" s="34" t="s">
        <v>97</v>
      </c>
      <c r="X12" s="34" t="s">
        <v>96</v>
      </c>
      <c r="Y12" s="34" t="s">
        <v>118</v>
      </c>
      <c r="Z12" s="34" t="s">
        <v>94</v>
      </c>
      <c r="AA12" s="34" t="s">
        <v>93</v>
      </c>
      <c r="AB12" s="34" t="s">
        <v>92</v>
      </c>
      <c r="AC12" s="34" t="s">
        <v>91</v>
      </c>
      <c r="AD12" s="34" t="s">
        <v>90</v>
      </c>
      <c r="AE12" s="34" t="s">
        <v>89</v>
      </c>
      <c r="AF12" s="34" t="s">
        <v>88</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117</v>
      </c>
    </row>
    <row r="19" spans="1:32" x14ac:dyDescent="0.2">
      <c r="A19" s="30" t="s">
        <v>99</v>
      </c>
      <c r="C19" s="30" t="s">
        <v>116</v>
      </c>
      <c r="G19" s="489" t="s">
        <v>115</v>
      </c>
      <c r="H19" s="489"/>
      <c r="I19" s="489"/>
      <c r="J19" s="489"/>
      <c r="L19" s="30" t="s">
        <v>98</v>
      </c>
      <c r="N19" s="30" t="s">
        <v>111</v>
      </c>
      <c r="W19" s="32" t="s">
        <v>110</v>
      </c>
      <c r="X19" s="32"/>
      <c r="Y19" s="32" t="s">
        <v>109</v>
      </c>
      <c r="Z19" s="32"/>
    </row>
    <row r="20" spans="1:32" ht="51" x14ac:dyDescent="0.2">
      <c r="A20" s="34" t="s">
        <v>97</v>
      </c>
      <c r="B20" s="34" t="s">
        <v>96</v>
      </c>
      <c r="C20" s="34" t="s">
        <v>114</v>
      </c>
      <c r="D20" s="34" t="s">
        <v>94</v>
      </c>
      <c r="E20" s="34" t="s">
        <v>93</v>
      </c>
      <c r="F20" s="34" t="s">
        <v>92</v>
      </c>
      <c r="G20" s="34" t="s">
        <v>91</v>
      </c>
      <c r="H20" s="34" t="s">
        <v>90</v>
      </c>
      <c r="I20" s="34" t="s">
        <v>89</v>
      </c>
      <c r="J20" s="34" t="s">
        <v>88</v>
      </c>
      <c r="L20" s="34" t="s">
        <v>97</v>
      </c>
      <c r="M20" s="34" t="s">
        <v>96</v>
      </c>
      <c r="N20" s="34" t="s">
        <v>114</v>
      </c>
      <c r="O20" s="34" t="s">
        <v>94</v>
      </c>
      <c r="P20" s="34" t="s">
        <v>93</v>
      </c>
      <c r="Q20" s="34" t="s">
        <v>92</v>
      </c>
      <c r="R20" s="34" t="s">
        <v>91</v>
      </c>
      <c r="S20" s="34" t="s">
        <v>90</v>
      </c>
      <c r="T20" s="34" t="s">
        <v>89</v>
      </c>
      <c r="U20" s="34" t="s">
        <v>88</v>
      </c>
      <c r="W20" s="34" t="s">
        <v>97</v>
      </c>
      <c r="X20" s="34" t="s">
        <v>96</v>
      </c>
      <c r="Y20" s="34" t="s">
        <v>114</v>
      </c>
      <c r="Z20" s="34" t="s">
        <v>94</v>
      </c>
      <c r="AA20" s="34" t="s">
        <v>93</v>
      </c>
      <c r="AB20" s="34" t="s">
        <v>92</v>
      </c>
      <c r="AC20" s="34" t="s">
        <v>91</v>
      </c>
      <c r="AD20" s="34" t="s">
        <v>90</v>
      </c>
      <c r="AE20" s="34" t="s">
        <v>89</v>
      </c>
      <c r="AF20" s="34" t="s">
        <v>88</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113</v>
      </c>
    </row>
    <row r="28" spans="1:32" x14ac:dyDescent="0.2">
      <c r="A28" s="32" t="s">
        <v>99</v>
      </c>
      <c r="L28" s="32" t="s">
        <v>98</v>
      </c>
      <c r="N28" s="30" t="s">
        <v>111</v>
      </c>
      <c r="W28" s="32" t="s">
        <v>110</v>
      </c>
      <c r="Y28" s="30" t="s">
        <v>109</v>
      </c>
    </row>
    <row r="29" spans="1:32" ht="51" x14ac:dyDescent="0.2">
      <c r="A29" s="34" t="s">
        <v>97</v>
      </c>
      <c r="B29" s="34" t="s">
        <v>96</v>
      </c>
      <c r="C29" s="34" t="s">
        <v>112</v>
      </c>
      <c r="D29" s="34" t="s">
        <v>94</v>
      </c>
      <c r="E29" s="34" t="s">
        <v>93</v>
      </c>
      <c r="F29" s="34" t="s">
        <v>92</v>
      </c>
      <c r="G29" s="34" t="s">
        <v>91</v>
      </c>
      <c r="H29" s="34" t="s">
        <v>90</v>
      </c>
      <c r="I29" s="34" t="s">
        <v>89</v>
      </c>
      <c r="J29" s="34" t="s">
        <v>88</v>
      </c>
      <c r="L29" s="34" t="s">
        <v>97</v>
      </c>
      <c r="M29" s="34" t="s">
        <v>96</v>
      </c>
      <c r="N29" s="34" t="s">
        <v>112</v>
      </c>
      <c r="O29" s="34" t="s">
        <v>94</v>
      </c>
      <c r="P29" s="34" t="s">
        <v>93</v>
      </c>
      <c r="Q29" s="34" t="s">
        <v>92</v>
      </c>
      <c r="R29" s="34" t="s">
        <v>91</v>
      </c>
      <c r="S29" s="34" t="s">
        <v>90</v>
      </c>
      <c r="T29" s="34" t="s">
        <v>89</v>
      </c>
      <c r="U29" s="34" t="s">
        <v>88</v>
      </c>
      <c r="W29" s="34" t="s">
        <v>97</v>
      </c>
      <c r="X29" s="34" t="s">
        <v>96</v>
      </c>
      <c r="Y29" s="34" t="s">
        <v>112</v>
      </c>
      <c r="Z29" s="34" t="s">
        <v>94</v>
      </c>
      <c r="AA29" s="34" t="s">
        <v>93</v>
      </c>
      <c r="AB29" s="34" t="s">
        <v>92</v>
      </c>
      <c r="AC29" s="34" t="s">
        <v>91</v>
      </c>
      <c r="AD29" s="34" t="s">
        <v>90</v>
      </c>
      <c r="AE29" s="34" t="s">
        <v>89</v>
      </c>
      <c r="AF29" s="34" t="s">
        <v>88</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48</v>
      </c>
    </row>
    <row r="36" spans="1:35" x14ac:dyDescent="0.2">
      <c r="A36" s="30" t="s">
        <v>99</v>
      </c>
      <c r="L36" s="32" t="s">
        <v>98</v>
      </c>
      <c r="N36" s="30" t="s">
        <v>111</v>
      </c>
      <c r="W36" s="32" t="s">
        <v>110</v>
      </c>
      <c r="Y36" s="30" t="s">
        <v>109</v>
      </c>
    </row>
    <row r="37" spans="1:35" ht="51" x14ac:dyDescent="0.2">
      <c r="A37" s="33" t="s">
        <v>97</v>
      </c>
      <c r="B37" s="33" t="s">
        <v>96</v>
      </c>
      <c r="C37" s="33" t="s">
        <v>108</v>
      </c>
      <c r="D37" s="33" t="s">
        <v>94</v>
      </c>
      <c r="E37" s="33" t="s">
        <v>93</v>
      </c>
      <c r="F37" s="33" t="s">
        <v>92</v>
      </c>
      <c r="G37" s="33" t="s">
        <v>91</v>
      </c>
      <c r="H37" s="33" t="s">
        <v>90</v>
      </c>
      <c r="I37" s="33" t="s">
        <v>89</v>
      </c>
      <c r="J37" s="33" t="s">
        <v>88</v>
      </c>
      <c r="L37" s="33" t="s">
        <v>97</v>
      </c>
      <c r="M37" s="33" t="s">
        <v>96</v>
      </c>
      <c r="N37" s="33" t="s">
        <v>108</v>
      </c>
      <c r="O37" s="33" t="s">
        <v>94</v>
      </c>
      <c r="P37" s="33" t="s">
        <v>93</v>
      </c>
      <c r="Q37" s="33" t="s">
        <v>92</v>
      </c>
      <c r="R37" s="33" t="s">
        <v>91</v>
      </c>
      <c r="S37" s="33" t="s">
        <v>90</v>
      </c>
      <c r="T37" s="33" t="s">
        <v>89</v>
      </c>
      <c r="U37" s="33" t="s">
        <v>88</v>
      </c>
      <c r="W37" s="33" t="s">
        <v>97</v>
      </c>
      <c r="X37" s="33" t="s">
        <v>96</v>
      </c>
      <c r="Y37" s="33" t="s">
        <v>108</v>
      </c>
      <c r="Z37" s="33" t="s">
        <v>94</v>
      </c>
      <c r="AA37" s="33" t="s">
        <v>93</v>
      </c>
      <c r="AB37" s="33" t="s">
        <v>92</v>
      </c>
      <c r="AC37" s="33" t="s">
        <v>91</v>
      </c>
      <c r="AD37" s="33" t="s">
        <v>90</v>
      </c>
      <c r="AE37" s="33" t="s">
        <v>89</v>
      </c>
      <c r="AF37" s="33" t="s">
        <v>88</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62</v>
      </c>
    </row>
    <row r="44" spans="1:35" x14ac:dyDescent="0.2">
      <c r="A44" s="30" t="s">
        <v>99</v>
      </c>
      <c r="C44" s="30" t="s">
        <v>107</v>
      </c>
      <c r="M44" s="30" t="s">
        <v>98</v>
      </c>
      <c r="O44" s="30" t="s">
        <v>106</v>
      </c>
      <c r="Y44" s="30" t="s">
        <v>105</v>
      </c>
      <c r="AA44" s="30" t="s">
        <v>104</v>
      </c>
    </row>
    <row r="45" spans="1:35" ht="51" x14ac:dyDescent="0.2">
      <c r="A45" s="33" t="s">
        <v>97</v>
      </c>
      <c r="B45" s="33" t="s">
        <v>96</v>
      </c>
      <c r="C45" s="33" t="s">
        <v>103</v>
      </c>
      <c r="D45" s="33" t="s">
        <v>94</v>
      </c>
      <c r="E45" s="33" t="s">
        <v>93</v>
      </c>
      <c r="F45" s="33" t="s">
        <v>102</v>
      </c>
      <c r="G45" s="33" t="s">
        <v>92</v>
      </c>
      <c r="H45" s="33" t="s">
        <v>91</v>
      </c>
      <c r="I45" s="33" t="s">
        <v>90</v>
      </c>
      <c r="J45" s="33" t="s">
        <v>89</v>
      </c>
      <c r="K45" s="33" t="s">
        <v>88</v>
      </c>
      <c r="M45" s="33" t="s">
        <v>97</v>
      </c>
      <c r="N45" s="33" t="s">
        <v>96</v>
      </c>
      <c r="O45" s="33" t="s">
        <v>103</v>
      </c>
      <c r="P45" s="33" t="s">
        <v>94</v>
      </c>
      <c r="Q45" s="33" t="s">
        <v>93</v>
      </c>
      <c r="R45" s="33" t="s">
        <v>102</v>
      </c>
      <c r="S45" s="33" t="s">
        <v>92</v>
      </c>
      <c r="T45" s="33" t="s">
        <v>91</v>
      </c>
      <c r="U45" s="33" t="s">
        <v>90</v>
      </c>
      <c r="V45" s="33" t="s">
        <v>89</v>
      </c>
      <c r="W45" s="33" t="s">
        <v>88</v>
      </c>
      <c r="Y45" s="33" t="s">
        <v>97</v>
      </c>
      <c r="Z45" s="33" t="s">
        <v>96</v>
      </c>
      <c r="AA45" s="33" t="s">
        <v>103</v>
      </c>
      <c r="AB45" s="33" t="s">
        <v>94</v>
      </c>
      <c r="AC45" s="33" t="s">
        <v>93</v>
      </c>
      <c r="AD45" s="33" t="s">
        <v>102</v>
      </c>
      <c r="AE45" s="33" t="s">
        <v>92</v>
      </c>
      <c r="AF45" s="33" t="s">
        <v>91</v>
      </c>
      <c r="AG45" s="33" t="s">
        <v>90</v>
      </c>
      <c r="AH45" s="33" t="s">
        <v>89</v>
      </c>
      <c r="AI45" s="33" t="s">
        <v>88</v>
      </c>
    </row>
    <row r="46" spans="1:35" x14ac:dyDescent="0.2">
      <c r="A46" s="32">
        <v>0</v>
      </c>
      <c r="B46" s="32">
        <v>1</v>
      </c>
      <c r="C46" s="32">
        <v>1</v>
      </c>
      <c r="D46" s="32">
        <v>0</v>
      </c>
      <c r="E46" s="32"/>
      <c r="F46" s="32" t="s">
        <v>101</v>
      </c>
      <c r="G46" s="32">
        <v>0</v>
      </c>
      <c r="H46" s="32">
        <v>0</v>
      </c>
      <c r="I46" s="32">
        <v>0</v>
      </c>
      <c r="J46" s="32">
        <v>0</v>
      </c>
      <c r="K46" s="32"/>
      <c r="M46" s="32">
        <v>0</v>
      </c>
      <c r="N46" s="32">
        <v>1</v>
      </c>
      <c r="O46" s="32">
        <v>1</v>
      </c>
      <c r="P46" s="32">
        <v>0</v>
      </c>
      <c r="Q46" s="32"/>
      <c r="R46" s="32" t="s">
        <v>101</v>
      </c>
      <c r="S46" s="32">
        <v>0</v>
      </c>
      <c r="T46" s="32">
        <v>0</v>
      </c>
      <c r="U46" s="32">
        <v>0</v>
      </c>
      <c r="V46" s="32">
        <v>0</v>
      </c>
      <c r="W46" s="32"/>
      <c r="Y46" s="32">
        <v>0</v>
      </c>
      <c r="Z46" s="32">
        <v>1</v>
      </c>
      <c r="AA46" s="32">
        <v>1</v>
      </c>
      <c r="AB46" s="32">
        <v>0</v>
      </c>
      <c r="AC46" s="32"/>
      <c r="AD46" s="32" t="s">
        <v>101</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100</v>
      </c>
    </row>
    <row r="52" spans="1:35" x14ac:dyDescent="0.2">
      <c r="A52" s="30" t="s">
        <v>99</v>
      </c>
      <c r="L52" s="30" t="s">
        <v>98</v>
      </c>
      <c r="W52" s="30" t="s">
        <v>98</v>
      </c>
    </row>
    <row r="53" spans="1:35" ht="51" x14ac:dyDescent="0.2">
      <c r="A53" s="33" t="s">
        <v>97</v>
      </c>
      <c r="B53" s="33" t="s">
        <v>96</v>
      </c>
      <c r="C53" s="33" t="s">
        <v>95</v>
      </c>
      <c r="D53" s="33" t="s">
        <v>94</v>
      </c>
      <c r="E53" s="33" t="s">
        <v>93</v>
      </c>
      <c r="F53" s="33" t="s">
        <v>92</v>
      </c>
      <c r="G53" s="33" t="s">
        <v>91</v>
      </c>
      <c r="H53" s="33" t="s">
        <v>90</v>
      </c>
      <c r="I53" s="33" t="s">
        <v>89</v>
      </c>
      <c r="J53" s="33" t="s">
        <v>88</v>
      </c>
      <c r="L53" s="33" t="s">
        <v>97</v>
      </c>
      <c r="M53" s="33" t="s">
        <v>96</v>
      </c>
      <c r="N53" s="33" t="s">
        <v>95</v>
      </c>
      <c r="O53" s="33" t="s">
        <v>94</v>
      </c>
      <c r="P53" s="33" t="s">
        <v>93</v>
      </c>
      <c r="Q53" s="33" t="s">
        <v>92</v>
      </c>
      <c r="R53" s="33" t="s">
        <v>91</v>
      </c>
      <c r="S53" s="33" t="s">
        <v>90</v>
      </c>
      <c r="T53" s="33" t="s">
        <v>89</v>
      </c>
      <c r="U53" s="33" t="s">
        <v>88</v>
      </c>
      <c r="W53" s="33" t="s">
        <v>97</v>
      </c>
      <c r="X53" s="33" t="s">
        <v>96</v>
      </c>
      <c r="Y53" s="33" t="s">
        <v>95</v>
      </c>
      <c r="Z53" s="33" t="s">
        <v>94</v>
      </c>
      <c r="AA53" s="33" t="s">
        <v>93</v>
      </c>
      <c r="AB53" s="33" t="s">
        <v>92</v>
      </c>
      <c r="AC53" s="33" t="s">
        <v>91</v>
      </c>
      <c r="AD53" s="33" t="s">
        <v>90</v>
      </c>
      <c r="AE53" s="33" t="s">
        <v>89</v>
      </c>
      <c r="AF53" s="33" t="s">
        <v>88</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81"/>
      <c r="B59" s="469" t="s">
        <v>612</v>
      </c>
      <c r="C59" s="490"/>
      <c r="D59" s="490"/>
      <c r="E59"/>
      <c r="F59" s="181"/>
      <c r="G59" s="469" t="s">
        <v>613</v>
      </c>
      <c r="H59" s="490"/>
      <c r="I59" s="490"/>
    </row>
    <row r="60" spans="1:35" x14ac:dyDescent="0.2">
      <c r="A60" s="184" t="s">
        <v>608</v>
      </c>
      <c r="B60" s="124">
        <v>1</v>
      </c>
      <c r="C60" s="124">
        <v>2</v>
      </c>
      <c r="D60" s="124">
        <v>3</v>
      </c>
      <c r="E60"/>
      <c r="F60" s="184" t="s">
        <v>608</v>
      </c>
      <c r="G60" s="124">
        <v>1</v>
      </c>
      <c r="H60" s="124">
        <v>2</v>
      </c>
      <c r="I60" s="124">
        <v>3</v>
      </c>
    </row>
    <row r="61" spans="1:35" x14ac:dyDescent="0.2">
      <c r="A61" s="124" t="s">
        <v>601</v>
      </c>
      <c r="B61" s="181">
        <v>6</v>
      </c>
      <c r="C61" s="181">
        <v>4.5</v>
      </c>
      <c r="D61" s="181">
        <v>3.5</v>
      </c>
      <c r="E61"/>
      <c r="F61" s="124" t="s">
        <v>601</v>
      </c>
      <c r="G61" s="181">
        <v>6</v>
      </c>
      <c r="H61" s="181">
        <v>4.5</v>
      </c>
      <c r="I61" s="181">
        <v>3.5</v>
      </c>
    </row>
    <row r="62" spans="1:35" x14ac:dyDescent="0.2">
      <c r="A62" s="124" t="s">
        <v>602</v>
      </c>
      <c r="B62" s="181">
        <v>6</v>
      </c>
      <c r="C62" s="181">
        <v>4</v>
      </c>
      <c r="D62" s="181">
        <v>3</v>
      </c>
      <c r="E62"/>
      <c r="F62" s="124" t="s">
        <v>602</v>
      </c>
      <c r="G62" s="181">
        <v>6</v>
      </c>
      <c r="H62" s="181">
        <v>4</v>
      </c>
      <c r="I62" s="181">
        <v>3</v>
      </c>
    </row>
    <row r="63" spans="1:35" x14ac:dyDescent="0.2">
      <c r="A63" s="124" t="s">
        <v>603</v>
      </c>
      <c r="B63" s="181">
        <v>6</v>
      </c>
      <c r="C63" s="181">
        <v>4</v>
      </c>
      <c r="D63" s="181">
        <v>3</v>
      </c>
      <c r="E63"/>
      <c r="F63" s="124" t="s">
        <v>603</v>
      </c>
      <c r="G63" s="181">
        <v>6</v>
      </c>
      <c r="H63" s="181">
        <v>4</v>
      </c>
      <c r="I63" s="181">
        <v>3</v>
      </c>
    </row>
    <row r="64" spans="1:35" x14ac:dyDescent="0.2">
      <c r="A64" s="124" t="s">
        <v>604</v>
      </c>
      <c r="B64" s="181">
        <v>6</v>
      </c>
      <c r="C64" s="181">
        <v>4</v>
      </c>
      <c r="D64" s="181">
        <v>3.5</v>
      </c>
      <c r="E64"/>
      <c r="F64" s="124" t="s">
        <v>604</v>
      </c>
      <c r="G64" s="181">
        <v>6</v>
      </c>
      <c r="H64" s="181">
        <v>4</v>
      </c>
      <c r="I64" s="181">
        <v>3.5</v>
      </c>
    </row>
    <row r="65" spans="1:9" x14ac:dyDescent="0.2">
      <c r="A65" s="124" t="s">
        <v>605</v>
      </c>
      <c r="B65" s="181">
        <v>6</v>
      </c>
      <c r="C65" s="181">
        <v>4</v>
      </c>
      <c r="D65" s="181">
        <v>4</v>
      </c>
      <c r="E65"/>
      <c r="F65" s="124" t="s">
        <v>605</v>
      </c>
      <c r="G65" s="181">
        <v>6</v>
      </c>
      <c r="H65" s="181">
        <v>4</v>
      </c>
      <c r="I65" s="181">
        <v>4</v>
      </c>
    </row>
    <row r="66" spans="1:9" x14ac:dyDescent="0.2">
      <c r="A66" s="124" t="s">
        <v>606</v>
      </c>
      <c r="B66" s="181">
        <v>0</v>
      </c>
      <c r="C66" s="181">
        <v>0</v>
      </c>
      <c r="D66" s="181">
        <v>0</v>
      </c>
      <c r="E66"/>
      <c r="F66" s="124" t="s">
        <v>606</v>
      </c>
      <c r="G66" s="181">
        <v>0</v>
      </c>
      <c r="H66" s="181">
        <v>0</v>
      </c>
      <c r="I66" s="181">
        <v>0</v>
      </c>
    </row>
    <row r="67" spans="1:9" x14ac:dyDescent="0.2">
      <c r="A67" s="124" t="s">
        <v>609</v>
      </c>
      <c r="B67" s="181">
        <f>SUM(B61:B66)</f>
        <v>30</v>
      </c>
      <c r="C67" s="181">
        <f>SUM(C61:C66)</f>
        <v>20.5</v>
      </c>
      <c r="D67" s="181">
        <f>SUM(D61:D66)</f>
        <v>17</v>
      </c>
      <c r="E67"/>
      <c r="F67" s="124" t="s">
        <v>609</v>
      </c>
      <c r="G67" s="181">
        <f>SUM(G61:G66)</f>
        <v>30</v>
      </c>
      <c r="H67" s="181">
        <f>SUM(H61:H66)</f>
        <v>20.5</v>
      </c>
      <c r="I67" s="181">
        <f>SUM(I61:I66)</f>
        <v>17</v>
      </c>
    </row>
    <row r="68" spans="1:9" x14ac:dyDescent="0.2">
      <c r="A68" s="124" t="s">
        <v>607</v>
      </c>
      <c r="B68" s="181">
        <f>B67*B60</f>
        <v>30</v>
      </c>
      <c r="C68" s="181">
        <f>C67*C60</f>
        <v>41</v>
      </c>
      <c r="D68" s="181">
        <f>D67*D60</f>
        <v>51</v>
      </c>
      <c r="E68"/>
      <c r="F68" s="124" t="s">
        <v>607</v>
      </c>
      <c r="G68" s="181">
        <f>G67*G60</f>
        <v>30</v>
      </c>
      <c r="H68" s="181">
        <f>H67*H60</f>
        <v>41</v>
      </c>
      <c r="I68" s="181">
        <f>I67*I60</f>
        <v>51</v>
      </c>
    </row>
    <row r="69" spans="1:9" x14ac:dyDescent="0.2">
      <c r="A69" s="124" t="s">
        <v>610</v>
      </c>
      <c r="B69" s="182">
        <f>Overview!$B$119*B68</f>
        <v>285</v>
      </c>
      <c r="C69" s="182">
        <f>Overview!$B$119*C68</f>
        <v>389.5</v>
      </c>
      <c r="D69" s="182">
        <f>Overview!$B$119*D68</f>
        <v>484.5</v>
      </c>
      <c r="E69"/>
      <c r="F69" s="124" t="s">
        <v>610</v>
      </c>
      <c r="G69" s="182">
        <f>Overview!$B$119*G68</f>
        <v>285</v>
      </c>
      <c r="H69" s="182">
        <f>Overview!$B$119*H68</f>
        <v>389.5</v>
      </c>
      <c r="I69" s="182">
        <f>Overview!$B$119*I68</f>
        <v>484.5</v>
      </c>
    </row>
    <row r="70" spans="1:9" x14ac:dyDescent="0.2">
      <c r="A70" s="181"/>
      <c r="B70" s="469" t="s">
        <v>611</v>
      </c>
      <c r="C70" s="469"/>
      <c r="D70" s="469"/>
      <c r="E70"/>
      <c r="F70" s="181"/>
      <c r="G70" s="469" t="s">
        <v>611</v>
      </c>
      <c r="H70" s="469"/>
      <c r="I70" s="469"/>
    </row>
    <row r="71" spans="1:9" x14ac:dyDescent="0.2">
      <c r="A71" s="124" t="s">
        <v>609</v>
      </c>
      <c r="B71" s="181">
        <f>B67*52/12</f>
        <v>130</v>
      </c>
      <c r="C71" s="181">
        <f>C67*52/12</f>
        <v>88.833333333333329</v>
      </c>
      <c r="D71" s="181">
        <f>D67*52/12</f>
        <v>73.666666666666671</v>
      </c>
      <c r="E71"/>
      <c r="F71" s="124" t="s">
        <v>609</v>
      </c>
      <c r="G71" s="181">
        <f>G67*52/12</f>
        <v>130</v>
      </c>
      <c r="H71" s="181">
        <f>H67*52/12</f>
        <v>88.833333333333329</v>
      </c>
      <c r="I71" s="181">
        <f>I67*52/12</f>
        <v>73.666666666666671</v>
      </c>
    </row>
    <row r="72" spans="1:9" x14ac:dyDescent="0.2">
      <c r="A72" s="124" t="s">
        <v>607</v>
      </c>
      <c r="B72" s="181">
        <f>B71*B60</f>
        <v>130</v>
      </c>
      <c r="C72" s="181">
        <f>C71*C60</f>
        <v>177.66666666666666</v>
      </c>
      <c r="D72" s="181">
        <f>D71*D60</f>
        <v>221</v>
      </c>
      <c r="E72"/>
      <c r="F72" s="124" t="s">
        <v>607</v>
      </c>
      <c r="G72" s="181">
        <f>G71*G60</f>
        <v>130</v>
      </c>
      <c r="H72" s="181">
        <f>H71*H60</f>
        <v>177.66666666666666</v>
      </c>
      <c r="I72" s="181">
        <f>I71*I60</f>
        <v>221</v>
      </c>
    </row>
    <row r="73" spans="1:9" x14ac:dyDescent="0.2">
      <c r="A73" s="124" t="s">
        <v>610</v>
      </c>
      <c r="B73" s="182">
        <f>B72*Overview!$B$119</f>
        <v>1235</v>
      </c>
      <c r="C73" s="182">
        <f>C72*Overview!$B$119</f>
        <v>1687.8333333333333</v>
      </c>
      <c r="D73" s="182">
        <f>D72*Overview!$B$119</f>
        <v>2099.5</v>
      </c>
      <c r="E73"/>
      <c r="F73" s="124" t="s">
        <v>610</v>
      </c>
      <c r="G73" s="182">
        <f>G72*Overview!$B$119</f>
        <v>1235</v>
      </c>
      <c r="H73" s="182">
        <f>H72*Overview!$B$119</f>
        <v>1687.8333333333333</v>
      </c>
      <c r="I73" s="182">
        <f>I72*Overview!$B$119</f>
        <v>2099.5</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316</vt:i4>
      </vt:variant>
    </vt:vector>
  </HeadingPairs>
  <TitlesOfParts>
    <vt:vector size="324"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daily_energy_consumption</vt:lpstr>
      <vt:lpstr>delivery_count_y1</vt:lpstr>
      <vt:lpstr>delivery_count_y2</vt:lpstr>
      <vt:lpstr>delivery_full</vt:lpstr>
      <vt:lpstr>delivery_msalary</vt:lpstr>
      <vt:lpstr>delivery_pilot</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vt:lpstr>
      <vt:lpstr>parttime_count_y1</vt:lpstr>
      <vt:lpstr>parttime_count_y2</vt:lpstr>
      <vt:lpstr>parttime_wage</vt:lpstr>
      <vt:lpstr>parttime_wages</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2021-07-19T13:06:50Z</dcterms:modified>
</cp:coreProperties>
</file>