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Francis/PycharmProjects/VerticalFarming/"/>
    </mc:Choice>
  </mc:AlternateContent>
  <xr:revisionPtr revIDLastSave="0" documentId="13_ncr:1_{9CA7FC72-7F74-AA40-9A01-C24443366F25}" xr6:coauthVersionLast="47" xr6:coauthVersionMax="47" xr10:uidLastSave="{00000000-0000-0000-0000-000000000000}"/>
  <bookViews>
    <workbookView xWindow="-33600" yWindow="500" windowWidth="33600" windowHeight="20500" xr2:uid="{00000000-000D-0000-FFFF-FFFF00000000}"/>
  </bookViews>
  <sheets>
    <sheet name="Overview" sheetId="1" r:id="rId1"/>
    <sheet name="Carbon Footprint Life Cycle" sheetId="14" r:id="rId2"/>
    <sheet name="Energy compare" sheetId="15" r:id="rId3"/>
    <sheet name="Rewilding" sheetId="12" r:id="rId4"/>
    <sheet name="Fuel" sheetId="3" r:id="rId5"/>
    <sheet name="Water" sheetId="4" r:id="rId6"/>
    <sheet name="Waste" sheetId="5" r:id="rId7"/>
    <sheet name="Food Miles" sheetId="6" r:id="rId8"/>
    <sheet name="Fertiliser" sheetId="17" r:id="rId9"/>
    <sheet name="Growing Media" sheetId="16" r:id="rId10"/>
    <sheet name="Pesticide Manufacture" sheetId="7" r:id="rId11"/>
    <sheet name="Energy Consumption" sheetId="8" r:id="rId12"/>
    <sheet name="Light Alternatives" sheetId="9" r:id="rId13"/>
    <sheet name="Human Respiration" sheetId="10"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5" roundtripDataSignature="AMtx7mjKv9bo7eWFGDQRh9GvwtY10X7/lA=="/>
    </ext>
  </extLst>
</workbook>
</file>

<file path=xl/calcChain.xml><?xml version="1.0" encoding="utf-8"?>
<calcChain xmlns="http://schemas.openxmlformats.org/spreadsheetml/2006/main">
  <c r="C199" i="1" l="1"/>
  <c r="B40" i="1"/>
  <c r="B10" i="6"/>
  <c r="M5" i="14"/>
  <c r="M12" i="14"/>
  <c r="E22" i="1"/>
  <c r="E21" i="1"/>
  <c r="E20" i="1"/>
  <c r="C124" i="15" l="1"/>
  <c r="D12" i="14"/>
  <c r="B8" i="17" l="1"/>
  <c r="B21" i="16"/>
  <c r="B24" i="16" s="1"/>
  <c r="B16" i="16"/>
  <c r="B15" i="16"/>
  <c r="B12" i="16"/>
  <c r="B9" i="16"/>
  <c r="B7" i="16"/>
  <c r="L116" i="15"/>
  <c r="L117" i="15" s="1"/>
  <c r="G117" i="15"/>
  <c r="F16" i="1"/>
  <c r="C117" i="15" s="1"/>
  <c r="G107" i="15"/>
  <c r="G97" i="15"/>
  <c r="G87" i="15"/>
  <c r="G77" i="15"/>
  <c r="G67" i="15"/>
  <c r="G57" i="15"/>
  <c r="G47" i="15"/>
  <c r="G38" i="15"/>
  <c r="B76" i="8"/>
  <c r="C76" i="8" s="1"/>
  <c r="B30" i="8"/>
  <c r="H30" i="15"/>
  <c r="G30" i="15"/>
  <c r="C29" i="15"/>
  <c r="L29" i="15" s="1"/>
  <c r="H22" i="15"/>
  <c r="G22" i="15"/>
  <c r="C21" i="15"/>
  <c r="L21" i="15" s="1"/>
  <c r="L22" i="15" s="1"/>
  <c r="H14" i="15"/>
  <c r="G14" i="15"/>
  <c r="C13" i="15"/>
  <c r="L13" i="15" s="1"/>
  <c r="C5" i="15"/>
  <c r="N31" i="15" s="1"/>
  <c r="C12" i="14" l="1"/>
  <c r="L14" i="14" s="1"/>
  <c r="M118" i="15"/>
  <c r="Q118" i="15"/>
  <c r="J118" i="15"/>
  <c r="K118" i="15"/>
  <c r="N118" i="15"/>
  <c r="P118" i="15"/>
  <c r="G118" i="15"/>
  <c r="L118" i="15"/>
  <c r="I14" i="14"/>
  <c r="N14" i="14"/>
  <c r="H14" i="14"/>
  <c r="O14" i="14"/>
  <c r="E118" i="15"/>
  <c r="E98" i="15"/>
  <c r="E39" i="15"/>
  <c r="G23" i="15"/>
  <c r="E108" i="15"/>
  <c r="E68" i="15"/>
  <c r="I21" i="15"/>
  <c r="I22" i="15" s="1"/>
  <c r="I23" i="15" s="1"/>
  <c r="E48" i="15"/>
  <c r="E88" i="15"/>
  <c r="E58" i="15"/>
  <c r="E78" i="15"/>
  <c r="N15" i="15"/>
  <c r="I5" i="15"/>
  <c r="I6" i="15" s="1"/>
  <c r="I29" i="15"/>
  <c r="I30" i="15" s="1"/>
  <c r="P31" i="15"/>
  <c r="P15" i="15"/>
  <c r="H23" i="15"/>
  <c r="M23" i="15"/>
  <c r="Q31" i="15"/>
  <c r="Q15" i="15"/>
  <c r="N23" i="15"/>
  <c r="G31" i="15"/>
  <c r="E31" i="15"/>
  <c r="E15" i="15"/>
  <c r="L23" i="15"/>
  <c r="P23" i="15"/>
  <c r="H31" i="15"/>
  <c r="L5" i="15"/>
  <c r="I13" i="15"/>
  <c r="I14" i="15" s="1"/>
  <c r="I15" i="15" s="1"/>
  <c r="G15" i="15"/>
  <c r="Q23" i="15"/>
  <c r="M31" i="15"/>
  <c r="H15" i="15"/>
  <c r="M15" i="15"/>
  <c r="E23" i="15"/>
  <c r="K14" i="14" l="1"/>
  <c r="L6" i="15"/>
  <c r="L7" i="15" s="1"/>
  <c r="I31" i="15"/>
  <c r="Q7" i="15" l="1"/>
  <c r="P7" i="15"/>
  <c r="E7" i="15"/>
  <c r="N7" i="15"/>
  <c r="L30" i="15"/>
  <c r="L31" i="15" s="1"/>
  <c r="L14" i="15"/>
  <c r="L15" i="15" s="1"/>
  <c r="S64" i="8"/>
  <c r="O64" i="8"/>
  <c r="D77" i="8"/>
  <c r="D76" i="8"/>
  <c r="B77" i="8"/>
  <c r="B42" i="8"/>
  <c r="B44" i="8" s="1"/>
  <c r="B38" i="8"/>
  <c r="B47" i="8"/>
  <c r="B48" i="8"/>
  <c r="B49" i="8" s="1"/>
  <c r="B31" i="8"/>
  <c r="B33" i="8" s="1"/>
  <c r="B77" i="1"/>
  <c r="R37" i="15" s="1"/>
  <c r="F116" i="15"/>
  <c r="B99" i="1"/>
  <c r="B100" i="1" s="1"/>
  <c r="B101" i="1" s="1"/>
  <c r="B95" i="1"/>
  <c r="B96" i="1" s="1"/>
  <c r="B97" i="1" s="1"/>
  <c r="B104" i="1" s="1"/>
  <c r="M6" i="14" s="1"/>
  <c r="B94" i="1"/>
  <c r="B204" i="1"/>
  <c r="B212" i="1"/>
  <c r="F6" i="14" s="1"/>
  <c r="B192" i="1"/>
  <c r="B196" i="1" s="1"/>
  <c r="B60" i="1"/>
  <c r="B75" i="8"/>
  <c r="D75" i="8" s="1"/>
  <c r="B15" i="12"/>
  <c r="B76" i="1"/>
  <c r="B118" i="1"/>
  <c r="N124" i="15" l="1"/>
  <c r="N125" i="15" s="1"/>
  <c r="S117" i="15"/>
  <c r="S118" i="15" s="1"/>
  <c r="S107" i="15"/>
  <c r="P12" i="14"/>
  <c r="R116" i="15"/>
  <c r="L76" i="15"/>
  <c r="L77" i="15" s="1"/>
  <c r="J12" i="14"/>
  <c r="L46" i="15"/>
  <c r="L47" i="15" s="1"/>
  <c r="L56" i="15"/>
  <c r="L57" i="15" s="1"/>
  <c r="L96" i="15"/>
  <c r="L97" i="15" s="1"/>
  <c r="L86" i="15"/>
  <c r="L87" i="15" s="1"/>
  <c r="L66" i="15"/>
  <c r="L67" i="15" s="1"/>
  <c r="L37" i="15"/>
  <c r="L38" i="15" s="1"/>
  <c r="L106" i="15"/>
  <c r="L107" i="15" s="1"/>
  <c r="S97" i="15"/>
  <c r="S87" i="15"/>
  <c r="S77" i="15"/>
  <c r="S67" i="15"/>
  <c r="S57" i="15"/>
  <c r="S47" i="15"/>
  <c r="Q13" i="14"/>
  <c r="Q14" i="14" s="1"/>
  <c r="S38" i="15"/>
  <c r="O14" i="15"/>
  <c r="O15" i="15" s="1"/>
  <c r="O30" i="15"/>
  <c r="O31" i="15" s="1"/>
  <c r="O6" i="15"/>
  <c r="O7" i="15" s="1"/>
  <c r="O22" i="15"/>
  <c r="O23" i="15" s="1"/>
  <c r="F5" i="14"/>
  <c r="H5" i="15"/>
  <c r="H13" i="15"/>
  <c r="H29" i="15"/>
  <c r="H21" i="15"/>
  <c r="F96" i="15"/>
  <c r="F76" i="15"/>
  <c r="F66" i="15"/>
  <c r="F106" i="15"/>
  <c r="F86" i="15"/>
  <c r="F56" i="15"/>
  <c r="F46" i="15"/>
  <c r="F37" i="15"/>
  <c r="P5" i="14"/>
  <c r="P6" i="14" s="1"/>
  <c r="R29" i="15"/>
  <c r="R30" i="15" s="1"/>
  <c r="R31" i="15" s="1"/>
  <c r="R21" i="15"/>
  <c r="R22" i="15" s="1"/>
  <c r="R23" i="15" s="1"/>
  <c r="R13" i="15"/>
  <c r="R14" i="15" s="1"/>
  <c r="R15" i="15" s="1"/>
  <c r="R5" i="15"/>
  <c r="R6" i="15" s="1"/>
  <c r="R7" i="15" s="1"/>
  <c r="H6" i="15"/>
  <c r="H7" i="15" s="1"/>
  <c r="C211" i="1"/>
  <c r="F117" i="15" s="1"/>
  <c r="F118" i="15" s="1"/>
  <c r="C107" i="15"/>
  <c r="C87" i="15"/>
  <c r="C67" i="15"/>
  <c r="C47" i="15"/>
  <c r="C77" i="15"/>
  <c r="C97" i="15"/>
  <c r="C57" i="15"/>
  <c r="C38" i="15"/>
  <c r="E16" i="1"/>
  <c r="C192" i="1" s="1"/>
  <c r="B20" i="8"/>
  <c r="B105" i="1"/>
  <c r="O117" i="15" s="1"/>
  <c r="O118" i="15" s="1"/>
  <c r="I7" i="15"/>
  <c r="M7" i="15"/>
  <c r="C75" i="8"/>
  <c r="C77" i="8" s="1"/>
  <c r="S108" i="15" l="1"/>
  <c r="L98" i="15"/>
  <c r="F107" i="15"/>
  <c r="F108" i="15" s="1"/>
  <c r="F47" i="15"/>
  <c r="F48" i="15" s="1"/>
  <c r="F38" i="15"/>
  <c r="F39" i="15" s="1"/>
  <c r="F97" i="15"/>
  <c r="F98" i="15" s="1"/>
  <c r="F87" i="15"/>
  <c r="F88" i="15" s="1"/>
  <c r="F77" i="15"/>
  <c r="F78" i="15" s="1"/>
  <c r="F67" i="15"/>
  <c r="F68" i="15" s="1"/>
  <c r="F57" i="15"/>
  <c r="F58" i="15" s="1"/>
  <c r="D13" i="14"/>
  <c r="D14" i="14" s="1"/>
  <c r="O107" i="15"/>
  <c r="O108" i="15" s="1"/>
  <c r="O38" i="15"/>
  <c r="O39" i="15" s="1"/>
  <c r="O97" i="15"/>
  <c r="O98" i="15" s="1"/>
  <c r="O57" i="15"/>
  <c r="O58" i="15" s="1"/>
  <c r="M13" i="14"/>
  <c r="M14" i="14" s="1"/>
  <c r="O47" i="15"/>
  <c r="O48" i="15" s="1"/>
  <c r="O87" i="15"/>
  <c r="O88" i="15" s="1"/>
  <c r="O67" i="15"/>
  <c r="O68" i="15" s="1"/>
  <c r="O77" i="15"/>
  <c r="O78" i="15" s="1"/>
  <c r="P68" i="15"/>
  <c r="Q68" i="15"/>
  <c r="K68" i="15"/>
  <c r="L68" i="15"/>
  <c r="J68" i="15"/>
  <c r="S68" i="15"/>
  <c r="G68" i="15"/>
  <c r="N68" i="15"/>
  <c r="M68" i="15"/>
  <c r="P98" i="15"/>
  <c r="Q98" i="15"/>
  <c r="K98" i="15"/>
  <c r="S98" i="15"/>
  <c r="N98" i="15"/>
  <c r="M98" i="15"/>
  <c r="G98" i="15"/>
  <c r="J98" i="15"/>
  <c r="M78" i="15"/>
  <c r="J78" i="15"/>
  <c r="Q78" i="15"/>
  <c r="P78" i="15"/>
  <c r="K78" i="15"/>
  <c r="N78" i="15"/>
  <c r="S78" i="15"/>
  <c r="G78" i="15"/>
  <c r="L78" i="15"/>
  <c r="P88" i="15"/>
  <c r="Q88" i="15"/>
  <c r="K88" i="15"/>
  <c r="L88" i="15"/>
  <c r="S88" i="15"/>
  <c r="N88" i="15"/>
  <c r="M88" i="15"/>
  <c r="J88" i="15"/>
  <c r="G88" i="15"/>
  <c r="P48" i="15"/>
  <c r="Q48" i="15"/>
  <c r="K48" i="15"/>
  <c r="S48" i="15"/>
  <c r="G48" i="15"/>
  <c r="N48" i="15"/>
  <c r="L48" i="15"/>
  <c r="M48" i="15"/>
  <c r="J48" i="15"/>
  <c r="P39" i="15"/>
  <c r="L39" i="15"/>
  <c r="Q39" i="15"/>
  <c r="K39" i="15"/>
  <c r="G39" i="15"/>
  <c r="M39" i="15"/>
  <c r="S39" i="15"/>
  <c r="N39" i="15"/>
  <c r="J39" i="15"/>
  <c r="P58" i="15"/>
  <c r="L58" i="15"/>
  <c r="K58" i="15"/>
  <c r="Q58" i="15"/>
  <c r="S58" i="15"/>
  <c r="M58" i="15"/>
  <c r="J58" i="15"/>
  <c r="G58" i="15"/>
  <c r="N58" i="15"/>
  <c r="P108" i="15"/>
  <c r="L108" i="15"/>
  <c r="Q108" i="15"/>
  <c r="K108" i="15"/>
  <c r="G108" i="15"/>
  <c r="J108" i="15"/>
  <c r="M108" i="15"/>
  <c r="N108" i="15"/>
  <c r="B19" i="8"/>
  <c r="G17" i="1"/>
  <c r="I17" i="1" s="1"/>
  <c r="B199" i="1" s="1"/>
  <c r="H16" i="1"/>
  <c r="I16" i="1" s="1"/>
  <c r="D12" i="12"/>
  <c r="B194" i="1"/>
  <c r="B210" i="1" s="1"/>
  <c r="C197" i="1"/>
  <c r="C212" i="1" s="1"/>
  <c r="H117" i="15" s="1"/>
  <c r="H118" i="15" s="1"/>
  <c r="C5" i="14"/>
  <c r="J5" i="14" s="1"/>
  <c r="J6" i="14" s="1"/>
  <c r="B13" i="1"/>
  <c r="E6" i="14" l="1"/>
  <c r="G6" i="15"/>
  <c r="G7" i="15" s="1"/>
  <c r="F5" i="15"/>
  <c r="F29" i="15"/>
  <c r="F21" i="15"/>
  <c r="F13" i="15"/>
  <c r="D5" i="14"/>
  <c r="H97" i="15"/>
  <c r="H57" i="15"/>
  <c r="H38" i="15"/>
  <c r="F13" i="14"/>
  <c r="F14" i="14" s="1"/>
  <c r="H107" i="15"/>
  <c r="H47" i="15"/>
  <c r="H48" i="15" s="1"/>
  <c r="H87" i="15"/>
  <c r="H77" i="15"/>
  <c r="H67" i="15"/>
  <c r="B37" i="1"/>
  <c r="C194" i="1"/>
  <c r="G116" i="15" s="1"/>
  <c r="C196" i="1"/>
  <c r="H116" i="15" s="1"/>
  <c r="G5" i="14"/>
  <c r="H17" i="1"/>
  <c r="Q5" i="14" l="1"/>
  <c r="Q6" i="14" s="1"/>
  <c r="S13" i="15"/>
  <c r="S14" i="15" s="1"/>
  <c r="S15" i="15" s="1"/>
  <c r="S29" i="15"/>
  <c r="S30" i="15" s="1"/>
  <c r="S31" i="15" s="1"/>
  <c r="S5" i="15"/>
  <c r="S6" i="15" s="1"/>
  <c r="S7" i="15" s="1"/>
  <c r="S21" i="15"/>
  <c r="S22" i="15" s="1"/>
  <c r="S23" i="15" s="1"/>
  <c r="H58" i="15"/>
  <c r="H108" i="15"/>
  <c r="H86" i="15"/>
  <c r="H76" i="15"/>
  <c r="H66" i="15"/>
  <c r="H37" i="15"/>
  <c r="F12" i="14"/>
  <c r="H106" i="15"/>
  <c r="H46" i="15"/>
  <c r="H96" i="15"/>
  <c r="H56" i="15"/>
  <c r="H68" i="15"/>
  <c r="H39" i="15"/>
  <c r="H78" i="15"/>
  <c r="H88" i="15"/>
  <c r="H98" i="15"/>
  <c r="G46" i="15"/>
  <c r="G86" i="15"/>
  <c r="G76" i="15"/>
  <c r="G66" i="15"/>
  <c r="G96" i="15"/>
  <c r="G56" i="15"/>
  <c r="G37" i="15"/>
  <c r="E12" i="14"/>
  <c r="G106" i="15"/>
  <c r="R96" i="15"/>
  <c r="R56" i="15"/>
  <c r="R106" i="15"/>
  <c r="R46" i="15"/>
  <c r="R76" i="15"/>
  <c r="R66" i="15"/>
  <c r="R86" i="15"/>
  <c r="C210" i="1"/>
  <c r="E13" i="14" s="1"/>
  <c r="E14" i="14" s="1"/>
  <c r="B211" i="1"/>
  <c r="G136" i="1"/>
  <c r="E136" i="1"/>
  <c r="B142" i="1"/>
  <c r="E11" i="12"/>
  <c r="E10" i="12"/>
  <c r="E9" i="12"/>
  <c r="E8" i="12"/>
  <c r="E7" i="12"/>
  <c r="E6" i="12"/>
  <c r="G6" i="14"/>
  <c r="B67" i="8"/>
  <c r="B68" i="8" s="1"/>
  <c r="J13" i="14" s="1"/>
  <c r="R30" i="8"/>
  <c r="B8" i="8"/>
  <c r="B11" i="8" s="1"/>
  <c r="D6" i="14" l="1"/>
  <c r="F6" i="15"/>
  <c r="F14" i="15"/>
  <c r="F30" i="15"/>
  <c r="F22" i="15"/>
  <c r="G7" i="14"/>
  <c r="F7" i="14"/>
  <c r="D7" i="14"/>
  <c r="O7" i="14"/>
  <c r="K7" i="14"/>
  <c r="E7" i="14"/>
  <c r="N7" i="14"/>
  <c r="M7" i="14"/>
  <c r="L7" i="14"/>
  <c r="D19" i="8"/>
  <c r="F7" i="15" l="1"/>
  <c r="F23" i="15"/>
  <c r="F31" i="15"/>
  <c r="F15" i="15"/>
  <c r="C19" i="8"/>
  <c r="C20" i="8"/>
  <c r="D20" i="8"/>
  <c r="B20" i="12" l="1"/>
  <c r="D11" i="12"/>
  <c r="D10" i="12"/>
  <c r="D9" i="12"/>
  <c r="D8" i="12"/>
  <c r="D7" i="12"/>
  <c r="D6" i="12"/>
  <c r="C11" i="12"/>
  <c r="C10" i="12"/>
  <c r="C9" i="12"/>
  <c r="C8" i="12"/>
  <c r="C7" i="12"/>
  <c r="C6" i="12"/>
  <c r="B11" i="12"/>
  <c r="B10" i="12"/>
  <c r="B8" i="12"/>
  <c r="B7" i="12"/>
  <c r="B6" i="12"/>
  <c r="J14" i="14" l="1"/>
  <c r="J7" i="14"/>
  <c r="B14" i="8"/>
  <c r="B23" i="12"/>
  <c r="B22" i="12"/>
  <c r="C22" i="12" s="1"/>
  <c r="B12" i="10" l="1"/>
  <c r="B13" i="10" s="1"/>
  <c r="B14" i="10" s="1"/>
  <c r="B17" i="10" s="1"/>
  <c r="B11" i="10"/>
  <c r="B7" i="10"/>
  <c r="B6" i="10"/>
  <c r="B8" i="10" s="1"/>
  <c r="B14" i="9"/>
  <c r="D14" i="9" s="1"/>
  <c r="F14" i="9" s="1"/>
  <c r="G14" i="9" s="1"/>
  <c r="B17" i="9" s="1"/>
  <c r="B13" i="9"/>
  <c r="D13" i="9" s="1"/>
  <c r="F13" i="9" s="1"/>
  <c r="G13" i="9" s="1"/>
  <c r="B18" i="9" s="1"/>
  <c r="D12" i="9"/>
  <c r="F12" i="9" s="1"/>
  <c r="G12" i="9" s="1"/>
  <c r="B39" i="8"/>
  <c r="D10" i="6"/>
  <c r="B11" i="3"/>
  <c r="B183" i="1"/>
  <c r="B184" i="1" s="1"/>
  <c r="B185" i="1" s="1"/>
  <c r="B188" i="1" s="1"/>
  <c r="B182" i="1"/>
  <c r="B178" i="1"/>
  <c r="B177" i="1"/>
  <c r="B163" i="1"/>
  <c r="D163" i="1" s="1"/>
  <c r="F163" i="1" s="1"/>
  <c r="G163" i="1" s="1"/>
  <c r="B166" i="1" s="1"/>
  <c r="B162" i="1"/>
  <c r="D162" i="1" s="1"/>
  <c r="F162" i="1" s="1"/>
  <c r="G162" i="1" s="1"/>
  <c r="B167" i="1" s="1"/>
  <c r="D161" i="1"/>
  <c r="F161" i="1" s="1"/>
  <c r="G161" i="1" s="1"/>
  <c r="B131" i="1"/>
  <c r="B134" i="1" s="1"/>
  <c r="D119" i="1"/>
  <c r="C119" i="1"/>
  <c r="B113" i="1"/>
  <c r="B7" i="6"/>
  <c r="B9" i="6" s="1"/>
  <c r="H5" i="14" l="1"/>
  <c r="B122" i="1"/>
  <c r="B15" i="8"/>
  <c r="B16" i="8" s="1"/>
  <c r="B21" i="8" s="1"/>
  <c r="B22" i="8" s="1"/>
  <c r="D105" i="1"/>
  <c r="B106" i="1"/>
  <c r="B179" i="1"/>
  <c r="B16" i="12"/>
  <c r="B21" i="12"/>
  <c r="B19" i="12"/>
  <c r="B24" i="12"/>
  <c r="C24" i="12" s="1"/>
  <c r="C9" i="6"/>
  <c r="B11" i="6"/>
  <c r="B12" i="6" s="1"/>
  <c r="D9" i="6"/>
  <c r="D11" i="6" s="1"/>
  <c r="B19" i="9"/>
  <c r="B20" i="9" s="1"/>
  <c r="D17" i="9"/>
  <c r="C17" i="9"/>
  <c r="B168" i="1"/>
  <c r="B169" i="1" s="1"/>
  <c r="D166" i="1"/>
  <c r="C166" i="1"/>
  <c r="D18" i="9"/>
  <c r="C18" i="9"/>
  <c r="D167" i="1"/>
  <c r="C167" i="1"/>
  <c r="D188" i="1"/>
  <c r="H22" i="1" s="1"/>
  <c r="C188" i="1"/>
  <c r="D17" i="10"/>
  <c r="C17" i="10"/>
  <c r="C105" i="1"/>
  <c r="B143" i="1"/>
  <c r="B52" i="1"/>
  <c r="B61" i="1" s="1"/>
  <c r="I116" i="15" s="1"/>
  <c r="I117" i="15" s="1"/>
  <c r="B7" i="4"/>
  <c r="B10" i="5"/>
  <c r="C10" i="6"/>
  <c r="C11" i="6" l="1"/>
  <c r="I118" i="15"/>
  <c r="R117" i="15" s="1"/>
  <c r="R118" i="15" s="1"/>
  <c r="B62" i="1"/>
  <c r="I96" i="15"/>
  <c r="I97" i="15" s="1"/>
  <c r="I56" i="15"/>
  <c r="I57" i="15" s="1"/>
  <c r="I37" i="15"/>
  <c r="I38" i="15" s="1"/>
  <c r="G12" i="14"/>
  <c r="G13" i="14" s="1"/>
  <c r="G14" i="14" s="1"/>
  <c r="P13" i="14" s="1"/>
  <c r="P14" i="14" s="1"/>
  <c r="I46" i="15"/>
  <c r="I47" i="15" s="1"/>
  <c r="I48" i="15" s="1"/>
  <c r="R47" i="15" s="1"/>
  <c r="R48" i="15" s="1"/>
  <c r="I86" i="15"/>
  <c r="I87" i="15" s="1"/>
  <c r="I76" i="15"/>
  <c r="I77" i="15" s="1"/>
  <c r="I66" i="15"/>
  <c r="I67" i="15" s="1"/>
  <c r="I106" i="15"/>
  <c r="I107" i="15" s="1"/>
  <c r="J29" i="15"/>
  <c r="J21" i="15"/>
  <c r="J5" i="15"/>
  <c r="J13" i="15"/>
  <c r="B23" i="8"/>
  <c r="B24" i="8" s="1"/>
  <c r="B25" i="8" s="1"/>
  <c r="B71" i="8"/>
  <c r="B72" i="8" s="1"/>
  <c r="C21" i="8"/>
  <c r="C23" i="8" s="1"/>
  <c r="C24" i="8" s="1"/>
  <c r="C25" i="8" s="1"/>
  <c r="D21" i="8"/>
  <c r="D71" i="8" s="1"/>
  <c r="D72" i="8" s="1"/>
  <c r="G22" i="1" s="1"/>
  <c r="P7" i="14"/>
  <c r="B38" i="1"/>
  <c r="I5" i="14" s="1"/>
  <c r="C168" i="1"/>
  <c r="H21" i="1"/>
  <c r="H20" i="1" s="1"/>
  <c r="D168" i="1"/>
  <c r="D20" i="12"/>
  <c r="C20" i="12"/>
  <c r="C21" i="12"/>
  <c r="D21" i="12"/>
  <c r="D22" i="12"/>
  <c r="C23" i="12"/>
  <c r="D23" i="12"/>
  <c r="D24" i="12"/>
  <c r="I21" i="1" s="1"/>
  <c r="D19" i="12"/>
  <c r="C19" i="12"/>
  <c r="J16" i="1"/>
  <c r="B138" i="1"/>
  <c r="B139" i="1" s="1"/>
  <c r="C19" i="9"/>
  <c r="D143" i="1"/>
  <c r="C143" i="1"/>
  <c r="B21" i="9"/>
  <c r="D20" i="9"/>
  <c r="C20" i="9"/>
  <c r="B13" i="4"/>
  <c r="B12" i="4"/>
  <c r="B12" i="5"/>
  <c r="B13" i="5"/>
  <c r="B170" i="1"/>
  <c r="D169" i="1"/>
  <c r="C169" i="1"/>
  <c r="D76" i="1"/>
  <c r="C76" i="1"/>
  <c r="B78" i="1"/>
  <c r="B79" i="1" s="1"/>
  <c r="D142" i="1"/>
  <c r="C142" i="1"/>
  <c r="D118" i="1"/>
  <c r="D120" i="1" s="1"/>
  <c r="C118" i="1"/>
  <c r="C120" i="1" s="1"/>
  <c r="B120" i="1"/>
  <c r="B121" i="1" s="1"/>
  <c r="H6" i="14" s="1"/>
  <c r="D19" i="9"/>
  <c r="D104" i="1"/>
  <c r="D106" i="1" s="1"/>
  <c r="C104" i="1"/>
  <c r="C106" i="1" s="1"/>
  <c r="D77" i="1"/>
  <c r="C77" i="1"/>
  <c r="D122" i="1"/>
  <c r="C122" i="1"/>
  <c r="D12" i="6"/>
  <c r="C12" i="6"/>
  <c r="G21" i="1" l="1"/>
  <c r="G20" i="1" s="1"/>
  <c r="T117" i="15"/>
  <c r="C118" i="15" s="1"/>
  <c r="K29" i="15"/>
  <c r="K21" i="15"/>
  <c r="K5" i="15"/>
  <c r="K13" i="15"/>
  <c r="J6" i="15"/>
  <c r="J30" i="15"/>
  <c r="J22" i="15"/>
  <c r="J14" i="15"/>
  <c r="I108" i="15"/>
  <c r="R107" i="15" s="1"/>
  <c r="R108" i="15" s="1"/>
  <c r="I39" i="15"/>
  <c r="R38" i="15" s="1"/>
  <c r="R39" i="15" s="1"/>
  <c r="I68" i="15"/>
  <c r="R67" i="15" s="1"/>
  <c r="R68" i="15" s="1"/>
  <c r="I58" i="15"/>
  <c r="R57" i="15" s="1"/>
  <c r="R58" i="15" s="1"/>
  <c r="I78" i="15"/>
  <c r="R77" i="15" s="1"/>
  <c r="R78" i="15" s="1"/>
  <c r="I98" i="15"/>
  <c r="R97" i="15" s="1"/>
  <c r="R98" i="15" s="1"/>
  <c r="T47" i="15"/>
  <c r="I88" i="15"/>
  <c r="R87" i="15" s="1"/>
  <c r="R88" i="15" s="1"/>
  <c r="D23" i="8"/>
  <c r="D24" i="8" s="1"/>
  <c r="D25" i="8" s="1"/>
  <c r="C22" i="8"/>
  <c r="C71" i="8"/>
  <c r="C72" i="8" s="1"/>
  <c r="D22" i="8"/>
  <c r="B41" i="1"/>
  <c r="H7" i="14"/>
  <c r="B144" i="1"/>
  <c r="C144" i="1" s="1"/>
  <c r="C145" i="1" s="1"/>
  <c r="I20" i="1"/>
  <c r="Q7" i="14"/>
  <c r="I22" i="1"/>
  <c r="D79" i="1"/>
  <c r="D22" i="1" s="1"/>
  <c r="C79" i="1"/>
  <c r="D13" i="4"/>
  <c r="C13" i="4"/>
  <c r="D12" i="4"/>
  <c r="C12" i="4"/>
  <c r="B14" i="4"/>
  <c r="B15" i="4" s="1"/>
  <c r="D121" i="1"/>
  <c r="C121" i="1"/>
  <c r="C78" i="1"/>
  <c r="D78" i="1"/>
  <c r="D13" i="5"/>
  <c r="C13" i="5"/>
  <c r="D21" i="9"/>
  <c r="C21" i="9"/>
  <c r="D61" i="1"/>
  <c r="C61" i="1"/>
  <c r="D170" i="1"/>
  <c r="C170" i="1"/>
  <c r="D12" i="5"/>
  <c r="C12" i="5"/>
  <c r="B14" i="5"/>
  <c r="B15" i="5" s="1"/>
  <c r="D60" i="1"/>
  <c r="C60" i="1"/>
  <c r="B63" i="1"/>
  <c r="F22" i="1" l="1"/>
  <c r="F21" i="1"/>
  <c r="F20" i="1" s="1"/>
  <c r="T118" i="15"/>
  <c r="T87" i="15"/>
  <c r="T77" i="15"/>
  <c r="C78" i="15" s="1"/>
  <c r="T107" i="15"/>
  <c r="C108" i="15" s="1"/>
  <c r="C120" i="15"/>
  <c r="C121" i="15"/>
  <c r="T38" i="15"/>
  <c r="T39" i="15" s="1"/>
  <c r="J15" i="15"/>
  <c r="J7" i="15"/>
  <c r="J23" i="15"/>
  <c r="B44" i="1"/>
  <c r="K30" i="15"/>
  <c r="K31" i="15" s="1"/>
  <c r="K22" i="15"/>
  <c r="K23" i="15" s="1"/>
  <c r="K6" i="15"/>
  <c r="K7" i="15" s="1"/>
  <c r="K14" i="15"/>
  <c r="K15" i="15" s="1"/>
  <c r="J31" i="15"/>
  <c r="R13" i="14"/>
  <c r="T57" i="15"/>
  <c r="C88" i="15"/>
  <c r="T88" i="15"/>
  <c r="T48" i="15"/>
  <c r="C48" i="15"/>
  <c r="T97" i="15"/>
  <c r="T67" i="15"/>
  <c r="B145" i="1"/>
  <c r="B146" i="1" s="1"/>
  <c r="C146" i="1" s="1"/>
  <c r="D144" i="1"/>
  <c r="D145" i="1" s="1"/>
  <c r="D21" i="1"/>
  <c r="D20" i="1" s="1"/>
  <c r="C62" i="1"/>
  <c r="C63" i="1" s="1"/>
  <c r="D14" i="5"/>
  <c r="C14" i="5"/>
  <c r="D15" i="5"/>
  <c r="C15" i="5"/>
  <c r="C14" i="4"/>
  <c r="C15" i="4" s="1"/>
  <c r="D62" i="1"/>
  <c r="D63" i="1" s="1"/>
  <c r="C22" i="1" s="1"/>
  <c r="D14" i="4"/>
  <c r="D15" i="4" s="1"/>
  <c r="T78" i="15" l="1"/>
  <c r="T108" i="15"/>
  <c r="C39" i="15"/>
  <c r="C42" i="15" s="1"/>
  <c r="T22" i="15"/>
  <c r="C23" i="15" s="1"/>
  <c r="T6" i="15"/>
  <c r="T7" i="15" s="1"/>
  <c r="C14" i="14"/>
  <c r="C13" i="14"/>
  <c r="R14" i="14"/>
  <c r="T14" i="15"/>
  <c r="T30" i="15"/>
  <c r="C58" i="15"/>
  <c r="T58" i="15"/>
  <c r="C98" i="15"/>
  <c r="T98" i="15"/>
  <c r="C111" i="15"/>
  <c r="C110" i="15"/>
  <c r="C50" i="15"/>
  <c r="C51" i="15"/>
  <c r="C91" i="15"/>
  <c r="C90" i="15"/>
  <c r="C81" i="15"/>
  <c r="C80" i="15"/>
  <c r="C68" i="15"/>
  <c r="T68" i="15"/>
  <c r="B147" i="1"/>
  <c r="B148" i="1" s="1"/>
  <c r="D146" i="1"/>
  <c r="I6" i="14"/>
  <c r="C21" i="1"/>
  <c r="C7" i="15" l="1"/>
  <c r="C8" i="15"/>
  <c r="C24" i="15"/>
  <c r="T23" i="15"/>
  <c r="C41" i="15"/>
  <c r="R6" i="14"/>
  <c r="C8" i="14" s="1"/>
  <c r="C6" i="14"/>
  <c r="C17" i="14"/>
  <c r="C16" i="14"/>
  <c r="C147" i="1"/>
  <c r="C148" i="1" s="1"/>
  <c r="D147" i="1"/>
  <c r="D148" i="1" s="1"/>
  <c r="C32" i="15"/>
  <c r="T31" i="15"/>
  <c r="C31" i="15"/>
  <c r="C16" i="15"/>
  <c r="C15" i="15"/>
  <c r="T15" i="15"/>
  <c r="C100" i="15"/>
  <c r="C101" i="15"/>
  <c r="C71" i="15"/>
  <c r="C70" i="15"/>
  <c r="C61" i="15"/>
  <c r="C60" i="15"/>
  <c r="I7" i="14"/>
  <c r="B46" i="1"/>
  <c r="C44" i="1"/>
  <c r="C46" i="1" s="1"/>
  <c r="D44" i="1"/>
  <c r="D46" i="1" s="1"/>
  <c r="B21" i="1" s="1"/>
  <c r="C20" i="1"/>
  <c r="R7" i="14" l="1"/>
  <c r="C7" i="14"/>
  <c r="J21" i="1"/>
  <c r="B22" i="1"/>
  <c r="J22" i="1" s="1"/>
  <c r="K22" i="1" s="1"/>
  <c r="L22" i="1" s="1"/>
  <c r="B20" i="1" l="1"/>
  <c r="J20" i="1" l="1"/>
  <c r="K21" i="1"/>
  <c r="K20" i="1" s="1"/>
  <c r="L20" i="1" s="1"/>
  <c r="L2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Francis Baumont De Oliveira</author>
    <author>tc={20FC5B1D-790B-2649-8915-3D6579962666}</author>
  </authors>
  <commentList>
    <comment ref="P56" authorId="0" shapeId="0" xr:uid="{3D3DE9C8-516E-CA4E-9790-2203754EADD4}">
      <text>
        <r>
          <rPr>
            <sz val="10"/>
            <color rgb="FF000000"/>
            <rFont val="Tahoma"/>
            <family val="2"/>
          </rPr>
          <t xml:space="preserve">CerifHy FCH JU Compliance 
</t>
        </r>
        <r>
          <rPr>
            <sz val="10"/>
            <color rgb="FF000000"/>
            <rFont val="Tahoma"/>
            <family val="2"/>
          </rPr>
          <t xml:space="preserve">
</t>
        </r>
        <r>
          <rPr>
            <sz val="10"/>
            <color rgb="FF000000"/>
            <rFont val="Tahoma"/>
            <family val="2"/>
          </rPr>
          <t>https://www.fch.europa.eu/news/clarification-compliance-certifhy-green-hydrogen-criteria-fch-ju-projects#:~:text=The%20average%20carbon%20footprint%20of,g%20CO2equ%2FMJLHV.</t>
        </r>
      </text>
    </comment>
    <comment ref="U61" authorId="0" shapeId="0" xr:uid="{331BB3C6-895F-E24C-8711-65732DF3A3A6}">
      <text>
        <r>
          <rPr>
            <b/>
            <sz val="10"/>
            <color rgb="FF000000"/>
            <rFont val="Tahoma"/>
            <family val="2"/>
          </rPr>
          <t>https://www.imperial.ac.uk/media/imperial-college/research-centres-and-groups/sustainable-gas-institute/SGI-A-greener-gas-grid-what-are-the-options-WP3.pdf</t>
        </r>
      </text>
    </comment>
    <comment ref="T64" authorId="1" shapeId="0" xr:uid="{20FC5B1D-790B-2649-8915-3D6579962666}">
      <text>
        <t>[Threaded comment]
Your version of Excel allows you to read this threaded comment; however, any edits to it will get removed if the file is opened in a newer version of Excel. Learn more: https://go.microsoft.com/fwlink/?linkid=870924
Comment:
    https://www.statista.com/statistics/1190075/carbon-intensity-outlook-of-spain/#:~:text=The%20power%20sector%20in%20Spain,an%20estimated%2037%20gCO2%2FKWh.</t>
      </text>
    </comment>
  </commentList>
</comments>
</file>

<file path=xl/sharedStrings.xml><?xml version="1.0" encoding="utf-8"?>
<sst xmlns="http://schemas.openxmlformats.org/spreadsheetml/2006/main" count="1411" uniqueCount="572">
  <si>
    <t>Sources:</t>
  </si>
  <si>
    <t>https://secure.fera.defra.gov.uk/pusstats/surveys/documents/softfruit2016.pdf</t>
  </si>
  <si>
    <t>Scenario</t>
  </si>
  <si>
    <t>Crop</t>
  </si>
  <si>
    <t>Number of systems (Ziprack)</t>
  </si>
  <si>
    <t>Number of crop</t>
  </si>
  <si>
    <t>Annual Yield (kg)</t>
  </si>
  <si>
    <t>Area (sq-m)</t>
  </si>
  <si>
    <t>Equivalent area (acres)</t>
  </si>
  <si>
    <t xml:space="preserve"> Equivalent area (hectares)</t>
  </si>
  <si>
    <t>Annual energy consumption (kWh)</t>
  </si>
  <si>
    <t>Vertical Farm in Liverpool City Centre</t>
  </si>
  <si>
    <t>Lettuce</t>
  </si>
  <si>
    <t>Fuel from Tractors</t>
  </si>
  <si>
    <t>Water savings</t>
  </si>
  <si>
    <t>Waste  reduced</t>
  </si>
  <si>
    <t>Food miles</t>
  </si>
  <si>
    <t>Pesticides</t>
  </si>
  <si>
    <t>Energy consumption</t>
  </si>
  <si>
    <t>Human respiration</t>
  </si>
  <si>
    <t>Total kg of CO2e mitigated)</t>
  </si>
  <si>
    <t>Total tonnes of CO2e mitigated</t>
  </si>
  <si>
    <t>Fuel calculations:</t>
  </si>
  <si>
    <t>Fuel consumption can be between 18-30 litre per hectare</t>
  </si>
  <si>
    <t>Tractor fuel consumption: 24 l/hectare; 2.5 kg CO2 per 1 l of fuel</t>
  </si>
  <si>
    <t>UK government Conversion factors 2018 - Full set for advanced users</t>
  </si>
  <si>
    <t>Assumed consumption</t>
  </si>
  <si>
    <t>Litres per hectare</t>
  </si>
  <si>
    <t>Vertical farm equivalent size: 1.28 hectares of field</t>
  </si>
  <si>
    <t>CO2 produced depend on the type of fuel</t>
  </si>
  <si>
    <t>Petrol (2.2)</t>
  </si>
  <si>
    <t>Legend</t>
  </si>
  <si>
    <t>Diesel (2.6)</t>
  </si>
  <si>
    <t>Diesel seems to be more common in high power tractors</t>
  </si>
  <si>
    <t>Section</t>
  </si>
  <si>
    <t>Assumed CO2e value</t>
  </si>
  <si>
    <t>kg per litre of fuel</t>
  </si>
  <si>
    <t>Assumption</t>
  </si>
  <si>
    <t>Trade-off analysis</t>
  </si>
  <si>
    <t>Vertical farm equivalent area</t>
  </si>
  <si>
    <t>Hectares</t>
  </si>
  <si>
    <t>kg of CO2e Reduction</t>
  </si>
  <si>
    <t>Tractor fuel used for traditional farm</t>
  </si>
  <si>
    <t>Litres</t>
  </si>
  <si>
    <t>kg of CO2e Added</t>
  </si>
  <si>
    <t>Average number of application rounds</t>
  </si>
  <si>
    <t>x per year</t>
  </si>
  <si>
    <t>Annual fuel usage for conventional farm</t>
  </si>
  <si>
    <t>Litres of Diesel</t>
  </si>
  <si>
    <t>Associated CO2e mitigated per year</t>
  </si>
  <si>
    <t>kg</t>
  </si>
  <si>
    <t>Before and After Trade-off kg of CO2e from fuel</t>
  </si>
  <si>
    <t>Year 1</t>
  </si>
  <si>
    <t>Year 2</t>
  </si>
  <si>
    <t>Year 3</t>
  </si>
  <si>
    <t>Conventional Farm</t>
  </si>
  <si>
    <t>Vertical Farm</t>
  </si>
  <si>
    <t>Reduction</t>
  </si>
  <si>
    <t>kg of CO2e</t>
  </si>
  <si>
    <t>Water calculations:</t>
  </si>
  <si>
    <t>Information about water usage of conventional farming compared to hydroponic or vertical farming methods has been studied by Barbosa (2015).</t>
  </si>
  <si>
    <t>https://www.ncbi.nlm.nih.gov/pmc/articles/PMC4483736/</t>
  </si>
  <si>
    <t>Water usage depends on application method and crop. For lettuce conventionally grown, uses approximately 250 L/kg/year, whilst hydroponic methods use 20 L/kg/year. For 41,000kg yield per year, the usage is compared</t>
  </si>
  <si>
    <t>Vertical farming (hydroponic) crop produced</t>
  </si>
  <si>
    <t>kg/year</t>
  </si>
  <si>
    <t>Assumed water consumption</t>
  </si>
  <si>
    <t>Conventional farming methods</t>
  </si>
  <si>
    <t>≈ 250</t>
  </si>
  <si>
    <t>L/kg/year</t>
  </si>
  <si>
    <t>Hydroponic farming methods</t>
  </si>
  <si>
    <t>≈ 20</t>
  </si>
  <si>
    <t>Assumed CO2 value</t>
  </si>
  <si>
    <t>kg of CO2e per million litres of water consumed</t>
  </si>
  <si>
    <t>UK government conversion factors 344 kg CO2e per million litres</t>
  </si>
  <si>
    <t>Before and After Trade-off from water consumption</t>
  </si>
  <si>
    <t>Conventional Farming:</t>
  </si>
  <si>
    <t>Litres of water consumed</t>
  </si>
  <si>
    <t>Hydroponic Farming :</t>
  </si>
  <si>
    <t>Reduction:</t>
  </si>
  <si>
    <t>Associated kg CO2e mitigated</t>
  </si>
  <si>
    <t>Waste calculations:</t>
  </si>
  <si>
    <t xml:space="preserve">Information about wasteage of bagged salad has been studied by Government's Waste Advisory board WRAP in the UK </t>
  </si>
  <si>
    <t>Since 2017, it was found that 40% of bagged salads and lettuce is thrown away in households.</t>
  </si>
  <si>
    <t>From the 44,500 kg of lettuce produced on the vertical farm, on average 40% would be wasted due to rotting and short fridge-life due to extended transport times</t>
  </si>
  <si>
    <t>In a vertical farm delivering hyper-fresh produce, the shelf-life is extended substantially up to 10 days. Lettuce is much less likely to be wasted due to extended life</t>
  </si>
  <si>
    <t>Assumed % produce wasted on conventional farm</t>
  </si>
  <si>
    <t>Assumed % of produce wasted on a vertical farm</t>
  </si>
  <si>
    <t>Based on maybe 10% goes bad of wasted due to poor food management</t>
  </si>
  <si>
    <r>
      <t>According to Government waste advisory body WRAP, 40 percent of the bagged </t>
    </r>
    <r>
      <rPr>
        <b/>
        <sz val="11"/>
        <color rgb="FF222222"/>
        <rFont val="Calibri"/>
        <family val="2"/>
      </rPr>
      <t>salad</t>
    </r>
    <r>
      <rPr>
        <sz val="11"/>
        <color rgb="FF222222"/>
        <rFont val="Calibri"/>
        <family val="2"/>
      </rPr>
      <t> bought in </t>
    </r>
    <r>
      <rPr>
        <b/>
        <sz val="11"/>
        <color rgb="FF222222"/>
        <rFont val="Calibri"/>
        <family val="2"/>
      </rPr>
      <t xml:space="preserve">Britain </t>
    </r>
    <r>
      <rPr>
        <sz val="11"/>
        <color rgb="FF222222"/>
        <rFont val="Calibri"/>
        <family val="2"/>
      </rPr>
      <t>every year is </t>
    </r>
    <r>
      <rPr>
        <b/>
        <sz val="11"/>
        <color rgb="FF222222"/>
        <rFont val="Calibri"/>
        <family val="2"/>
      </rPr>
      <t>thrown away</t>
    </r>
    <r>
      <rPr>
        <sz val="11"/>
        <color rgb="FF222222"/>
        <rFont val="Calibri"/>
        <family val="2"/>
      </rPr>
      <t>.</t>
    </r>
  </si>
  <si>
    <t>CO2 value</t>
  </si>
  <si>
    <t>kg of CO2e per kg of lettuce imported for UK consumption (average of UK produced and Europe produced)</t>
  </si>
  <si>
    <t>Accoring to study by WWF - kg CO2e per kg of lettuce for UK consumption is</t>
  </si>
  <si>
    <t>Before and After Trade-off from waste of Lettuce</t>
  </si>
  <si>
    <t>http://assets.wwf.org.uk/downloads/how_low_report_1.pdf</t>
  </si>
  <si>
    <t>Kg of wasted bagged salad</t>
  </si>
  <si>
    <t>Local Vertical Farming :</t>
  </si>
  <si>
    <t>kg of wasted vertically farmed salad</t>
  </si>
  <si>
    <t>kg Waste reduced</t>
  </si>
  <si>
    <t>Food Miles</t>
  </si>
  <si>
    <t>Seasonally, lettuce is shipped from Spain during Autumn and Winter, with approximately 45kg of CO2e per tonne of lettuce shipped (2007) based on Saunders report about Food miles CO2 emissions for UK imports</t>
  </si>
  <si>
    <t>Assumed kg of CO2e per tonne of lettuce for Air Freight</t>
  </si>
  <si>
    <t>kg per 1000kg of lettuce</t>
  </si>
  <si>
    <t>https://core.ac.uk/download/pdf/35458650.pdf</t>
  </si>
  <si>
    <t>Assumed % of lettuce shipped from Spain over the year (2 seasons out of 4)</t>
  </si>
  <si>
    <t>This is reduced due to 40% popularily during summer period</t>
  </si>
  <si>
    <t>Before and After Trade-off from Food miles for Lettuce</t>
  </si>
  <si>
    <t>Conventional Farming from Spain for Yield:</t>
  </si>
  <si>
    <t>Kg of CO2e from food miles from Spain</t>
  </si>
  <si>
    <t>Local Vertical Farming  of for same yield:</t>
  </si>
  <si>
    <t>Associated CO2e from delivery - Hyper local delivery - 0 food miles</t>
  </si>
  <si>
    <t>Avoided CO2e emissions per from food miles</t>
  </si>
  <si>
    <t>Associated kg CO2e mitigated by taking 40% of Lettuce production out of Spain</t>
  </si>
  <si>
    <t>Pesticide Manufacture</t>
  </si>
  <si>
    <t>Results from a study analysing the GHG emissions from traditional agriculture, found pesticide manufacture accounts for roughly 9% of the energy use of arable crops, about 100-200MJ/t crop.</t>
  </si>
  <si>
    <t>Assumed pesticides used per hectare of field (rough)</t>
  </si>
  <si>
    <t>kg of Pesticides</t>
  </si>
  <si>
    <t>From DEFRA report in 2018</t>
  </si>
  <si>
    <t>https://secure.fera.defra.gov.uk/pusstats/surveys/documents/outdoorVegetables2017.pdf</t>
  </si>
  <si>
    <t xml:space="preserve">Assumed factor of kg of CO2e per </t>
  </si>
  <si>
    <t>kg of CO2e per MJ/t crop for pesticides</t>
  </si>
  <si>
    <t>https://dspace.lib.cranfield.ac.uk/bitstream/handle/1826/3913/Estimation_of_the_greenhouse_gas_emissions_from_agricultural_pesticide_manufacture_and_use-2009.pdf;jsessionid=68BECFBC69928A0001083B2F578D349E?sequence=1</t>
  </si>
  <si>
    <t>Assumed MJ/tonne of crop from range of 100-200MJ/tonne (Williams,2009)</t>
  </si>
  <si>
    <t>MJ per 1000kg of Lettuce</t>
  </si>
  <si>
    <t>https://dspace.lib.cranfield.ac.uk/bitstream/handle/1826/3913/Estimation_of_the_greenhouse_gas_emissions_from_agricultural_pesticide_manufacture_and_use-2009.pdf;jsessionid=68BECFBC69928A0001083B2F578D349E?sequence=2</t>
  </si>
  <si>
    <t>Conventional Farming energy associated with pesticide use</t>
  </si>
  <si>
    <t>MJ</t>
  </si>
  <si>
    <t>Vertical Farming  (no pesticides):</t>
  </si>
  <si>
    <t>MJ saved</t>
  </si>
  <si>
    <t>Kg of Pesticide mitigiated per year</t>
  </si>
  <si>
    <t>kg of pesticides mitigated</t>
  </si>
  <si>
    <t>Energy Consumption</t>
  </si>
  <si>
    <t>Directly associated energy-use from electricity for vertical farmed produce is higher than that for conventional agriculture due to controlling climate conditons</t>
  </si>
  <si>
    <t>A paper from Barbosa (2015) compares hydroponically grown and conventionally grown lettuce. His results are used, and compared to the the systems used by Farm Urban from values stated in Scenario</t>
  </si>
  <si>
    <t>Barbosa (2015) uses the standard heat transfer equation to evaluate energy usage of HVAC systems - Q = U x SA x (Tin - Tout). This has been neglected in our vertical farm energy consumption calculations</t>
  </si>
  <si>
    <t>Heat transfer equation parameters for Vertical Farm in Basement of School</t>
  </si>
  <si>
    <t xml:space="preserve">Q - </t>
  </si>
  <si>
    <t>U</t>
  </si>
  <si>
    <t>SA</t>
  </si>
  <si>
    <t>Tin</t>
  </si>
  <si>
    <t>Tout</t>
  </si>
  <si>
    <t>Efficiency</t>
  </si>
  <si>
    <t>Definition</t>
  </si>
  <si>
    <t>﻿Heat lost or gained due to outside temperature (kJ·h−1)</t>
  </si>
  <si>
    <t>Overall heat transfer coefficient (kJ·h−1·m−2·°C−1)</t>
  </si>
  <si>
    <t>Surface area of greenhouse (m2)</t>
  </si>
  <si>
    <t>﻿Inside air set point temperature (°C)</t>
  </si>
  <si>
    <t>﻿Outside air temperature (°C)</t>
  </si>
  <si>
    <t>Efficency of the heating, and air cooling system</t>
  </si>
  <si>
    <t>Value</t>
  </si>
  <si>
    <t>Justification</t>
  </si>
  <si>
    <t>Q=UxSAx(Tin-Tout) x Effieicny</t>
  </si>
  <si>
    <t>Heat transfer coefficient typically for heated existing brickwork basement space  based on source: http://energyprofessionalsymposium.com/?p=27243</t>
  </si>
  <si>
    <t>Surface area of vertical farm space (29.5x11x20.2m dimensions)</t>
  </si>
  <si>
    <t>Ideal conditions for lettuce growth</t>
  </si>
  <si>
    <t>Average Temperature of outside environment (heating by school around basement)</t>
  </si>
  <si>
    <t>﻿The heating and air conditioning efficiency was conservatively estimated to be 75%</t>
  </si>
  <si>
    <t>Assumption of energy used from HVAC system in Vertical farm per year</t>
  </si>
  <si>
    <t>kWh/year</t>
  </si>
  <si>
    <t>conversion factor from kJ/h to kWh</t>
  </si>
  <si>
    <t>Assumption of energy used for conventionally grown lettuce</t>
  </si>
  <si>
    <t>﻿kJ/kg/y</t>
  </si>
  <si>
    <t>conversion factor from kJ to kWh</t>
  </si>
  <si>
    <t>Assumption of energy used for hydroponic  greenhouse grown lettuce</t>
  </si>
  <si>
    <t>Assumed kg of CO2e per kWh used</t>
  </si>
  <si>
    <t>kg per kWh</t>
  </si>
  <si>
    <t>https://www.gov.uk/government/publications/greenhouse-gas-reporting-conversion-factors-2019</t>
  </si>
  <si>
    <t>ZipGrow System Energy usage for Lights and Pumps</t>
  </si>
  <si>
    <t>kWh per year (Refarmers spreadsheet found in Energy consumption)</t>
  </si>
  <si>
    <t>Vertical farm scenario energy use for 365 days a year:</t>
  </si>
  <si>
    <t>kWh per year (ZipFarm calculations + HVAC calculations)</t>
  </si>
  <si>
    <t>Before and After Trade-off from Energy use for Lettuce</t>
  </si>
  <si>
    <t>Conventional Farming energy use for 44500kg of lettuce:</t>
  </si>
  <si>
    <t>kWh</t>
  </si>
  <si>
    <t>Hydroponic Farming energy use</t>
  </si>
  <si>
    <t>Vertical farming case-study (250sq-m basement) - HVAC+12 hours of lighting+plumbing</t>
  </si>
  <si>
    <t>Reduction when compared to traditional agriculture:</t>
  </si>
  <si>
    <t>kWh increased</t>
  </si>
  <si>
    <t>Associated kgs of CO2e mitigated</t>
  </si>
  <si>
    <t>kgs of CO2e</t>
  </si>
  <si>
    <t>Kilo-grams of CO2e added</t>
  </si>
  <si>
    <t>tonnes of CO2e</t>
  </si>
  <si>
    <t>Due to electrification of demand, it is possible to source this energy renewably - mitigating</t>
  </si>
  <si>
    <t xml:space="preserve">tonnes of CO2e </t>
  </si>
  <si>
    <t>Lighting Improvement</t>
  </si>
  <si>
    <t>Hydroponic farming typically used high-pressure sodium lights as growlights until recently due to improvements in LED lighting technologies</t>
  </si>
  <si>
    <t>Vertical farms have an opportunity to reap the benefits of this high-efficiency and lower-heat technology to reduce energy demands when growing crop</t>
  </si>
  <si>
    <t>This PhD project has directly informed the choices of lighting to be LED and water-cooled in order to reduce environmental impacts</t>
  </si>
  <si>
    <t>Asssumption - For 54 ZipRack systems, 24 lighting units are required to cover crop area</t>
  </si>
  <si>
    <t>lighting units per system</t>
  </si>
  <si>
    <t>ZipGrow supplier conversations</t>
  </si>
  <si>
    <t>Assumption - the hours of lighting are fixed at 12 hours per day for lettuce growth</t>
  </si>
  <si>
    <t>hours per day</t>
  </si>
  <si>
    <t>Lettuce required approx 12 hours - https://homeguides.sfgate.com/daylight-hours-grow-lettuce-70987.html</t>
  </si>
  <si>
    <t>Government conversion factor (2019)</t>
  </si>
  <si>
    <t>Water-cooled LEDs reduce internal temperature load on HVAC system</t>
  </si>
  <si>
    <t>Unknown heat load reduction</t>
  </si>
  <si>
    <t>Quantity required</t>
  </si>
  <si>
    <t>Watts</t>
  </si>
  <si>
    <t>kW</t>
  </si>
  <si>
    <t>hours of use</t>
  </si>
  <si>
    <t xml:space="preserve">daily kWh </t>
  </si>
  <si>
    <t>yearly kWh</t>
  </si>
  <si>
    <t>The lights suggested by Refarmers - supplier of vertical farms  - 1400Lights  at 50W</t>
  </si>
  <si>
    <t xml:space="preserve">Refarmers Supplier </t>
  </si>
  <si>
    <t>Water-cooled Intravision Spectrablade single-sided 8' - 24 per ziprack</t>
  </si>
  <si>
    <t>Intravision supplier brochures available upon request</t>
  </si>
  <si>
    <t>Intravision's Aurora High-Pressure Sodium (HPS) Lamps</t>
  </si>
  <si>
    <t>Before and After Trade-off for Lighting Solutions for ZipRack systems</t>
  </si>
  <si>
    <t>Energy use from running 54 Rack system with HPS Lamp systems</t>
  </si>
  <si>
    <t>Energy use from running 54 Rack system with Spectrablade LED Lighting solution</t>
  </si>
  <si>
    <t>Reduction in kWh</t>
  </si>
  <si>
    <t>kWh reduced</t>
  </si>
  <si>
    <t>Tonnes of CO2e mitigated</t>
  </si>
  <si>
    <t>Human Respiration - Supplemented CO2 for Plants for boosted Yield</t>
  </si>
  <si>
    <t>Release of Carbon Dioxide from Individual Humans is used as supplemental CO2 for plant production, increasing yields by 20%</t>
  </si>
  <si>
    <t>Assumption - CO2 emitted by an individual human's respiration (Results from study from USDA)</t>
  </si>
  <si>
    <t>kg per day (24 hours)</t>
  </si>
  <si>
    <t>900 grams of carbon dioxide a day by the United States Department of Agriculture (USDA).</t>
  </si>
  <si>
    <t>Assumption - it is necessary to have 2 human working 35 hour weeks to operate 30 Zipracks</t>
  </si>
  <si>
    <t>man-hours per 30 racks per week</t>
  </si>
  <si>
    <t>Assumption - required CO2 ppm in Vertical farm space (20.2x11x29.5m) is 1200ppm</t>
  </si>
  <si>
    <t>ppm of CO2</t>
  </si>
  <si>
    <t>https://university.upstartfarmers.com/blog/why-how-supplement-co2-indoor-farms</t>
  </si>
  <si>
    <t>PPM to kg/m3</t>
  </si>
  <si>
    <t>kg/m^3</t>
  </si>
  <si>
    <t>Indoor Farm Volume</t>
  </si>
  <si>
    <t>m^3</t>
  </si>
  <si>
    <t>Required CO2 for plants to reach 1000ppm in Basement Space</t>
  </si>
  <si>
    <t>kg of CO2</t>
  </si>
  <si>
    <t>Working in this space will easily use the CO2 from human respiration</t>
  </si>
  <si>
    <t>Number of hours in a year</t>
  </si>
  <si>
    <t>hours</t>
  </si>
  <si>
    <t>Hours worked in the Farm per week to maintain Liverpool Vertical Farm</t>
  </si>
  <si>
    <t>man-hours for 54 racks per week</t>
  </si>
  <si>
    <t>Hours worked per year</t>
  </si>
  <si>
    <t>man-hours for 54 racks per year</t>
  </si>
  <si>
    <t>CO2 emitted by workers on the farm whilst working - used for plant growth</t>
  </si>
  <si>
    <t>kg of CO2e per year</t>
  </si>
  <si>
    <t>Before and After Trade-off for Human Respiration</t>
  </si>
  <si>
    <t>6552 man hours per year to run the farm - CO2 emitted from workers to maintain 1000pm</t>
  </si>
  <si>
    <t>Vertical farming (hydroponic)</t>
  </si>
  <si>
    <r>
      <t>According to Government waste advisory body WRAP, 40 percent of the bagged </t>
    </r>
    <r>
      <rPr>
        <b/>
        <sz val="11"/>
        <color rgb="FF222222"/>
        <rFont val="Calibri"/>
        <family val="2"/>
      </rPr>
      <t>salad</t>
    </r>
    <r>
      <rPr>
        <sz val="11"/>
        <color rgb="FF222222"/>
        <rFont val="Calibri"/>
        <family val="2"/>
      </rPr>
      <t> bought in </t>
    </r>
    <r>
      <rPr>
        <b/>
        <sz val="11"/>
        <color rgb="FF222222"/>
        <rFont val="Calibri"/>
        <family val="2"/>
      </rPr>
      <t xml:space="preserve">Britain </t>
    </r>
    <r>
      <rPr>
        <sz val="11"/>
        <color rgb="FF222222"/>
        <rFont val="Calibri"/>
        <family val="2"/>
      </rPr>
      <t>every year is </t>
    </r>
    <r>
      <rPr>
        <b/>
        <sz val="11"/>
        <color rgb="FF222222"/>
        <rFont val="Calibri"/>
        <family val="2"/>
      </rPr>
      <t>thrown away</t>
    </r>
    <r>
      <rPr>
        <sz val="11"/>
        <color rgb="FF222222"/>
        <rFont val="Calibri"/>
        <family val="2"/>
      </rPr>
      <t>.</t>
    </r>
  </si>
  <si>
    <t>Yield Vertical farming (hydroponic)</t>
  </si>
  <si>
    <t>Conventional Farming from Spain for Yield</t>
  </si>
  <si>
    <t>Local Vertical Farming  food miles</t>
  </si>
  <si>
    <t>Results from DEFRA report from 2018 state that 23 tonnes of Pesticide are applied to 4391 hectares of lettuce</t>
  </si>
  <si>
    <t>kWh per year (Refarmers spreadsheet found below)</t>
  </si>
  <si>
    <t xml:space="preserve">kg of CO2e </t>
  </si>
  <si>
    <t>Electricity Usage - Lighting</t>
  </si>
  <si>
    <t>Number of lights</t>
  </si>
  <si>
    <t>Wattage</t>
  </si>
  <si>
    <t>Lighting KW Farm Usage</t>
  </si>
  <si>
    <t>Hours of Lighting Per Day</t>
  </si>
  <si>
    <t>KWH/day</t>
  </si>
  <si>
    <t>Electricity Usage - Pumps</t>
  </si>
  <si>
    <t>Number of plumbing kits</t>
  </si>
  <si>
    <t>Pumps KW Farm Usage</t>
  </si>
  <si>
    <t>Asssumption - For 54 ZipRack systems, 24 lighting units are required to cover crop area according to ZipGrow supplier of Ziprack Systems</t>
  </si>
  <si>
    <t>Sources</t>
  </si>
  <si>
    <t>Energy Sources:</t>
  </si>
  <si>
    <t>Energy Source</t>
  </si>
  <si>
    <t>Emissions gCO2eq/kWh</t>
  </si>
  <si>
    <t>Coal</t>
  </si>
  <si>
    <t>Natural Gas</t>
  </si>
  <si>
    <t>Biopower</t>
  </si>
  <si>
    <t>Geothermal</t>
  </si>
  <si>
    <t>Hydropower</t>
  </si>
  <si>
    <t>Nuclear</t>
  </si>
  <si>
    <t>Solar Power</t>
  </si>
  <si>
    <t>Solar PV</t>
  </si>
  <si>
    <t>Wind</t>
  </si>
  <si>
    <t>Range</t>
  </si>
  <si>
    <t>Median</t>
  </si>
  <si>
    <t>675-1689</t>
  </si>
  <si>
    <t>Oil</t>
  </si>
  <si>
    <t>510-1170</t>
  </si>
  <si>
    <t>290-930</t>
  </si>
  <si>
    <t>SRREN</t>
  </si>
  <si>
    <t>AR5</t>
  </si>
  <si>
    <t>https://www.ipcc.ch/site/assets/uploads/2018/02/ipcc_wg3_ar5_chapter7.pdf</t>
  </si>
  <si>
    <t>710–950</t>
  </si>
  <si>
    <t xml:space="preserve"> 410–650</t>
  </si>
  <si>
    <t>CCS Coal</t>
  </si>
  <si>
    <t>CCS Gas</t>
  </si>
  <si>
    <t>70-290</t>
  </si>
  <si>
    <t>98-396</t>
  </si>
  <si>
    <t>120-170</t>
  </si>
  <si>
    <t>90-370</t>
  </si>
  <si>
    <t>7-56</t>
  </si>
  <si>
    <t>18-180</t>
  </si>
  <si>
    <t>9-63</t>
  </si>
  <si>
    <t>4-110</t>
  </si>
  <si>
    <t>9-79</t>
  </si>
  <si>
    <t>Ocean energy</t>
  </si>
  <si>
    <t>2-23</t>
  </si>
  <si>
    <t xml:space="preserve">Generally, the ranges are quite
wide reflecting differences in local resource conditions, technology,
and methodological choices of the assessment. The lower end of estimates often reflects incomplete systems while the higher end reflects
poor local conditions or outdated technology. </t>
  </si>
  <si>
    <t>The literature reviewed in this section shows that a range of technologies can provide electricity with less than 5% of the lifecycle GHG emissions of coal power: wind, solar, nuclear, and hydropower in suitable locations. I</t>
  </si>
  <si>
    <t>(-)625-400</t>
  </si>
  <si>
    <t>-</t>
  </si>
  <si>
    <t>10-60</t>
  </si>
  <si>
    <t>30</t>
  </si>
  <si>
    <t>25</t>
  </si>
  <si>
    <t>0-100</t>
  </si>
  <si>
    <t>0-2200</t>
  </si>
  <si>
    <t>0-80</t>
  </si>
  <si>
    <t>30-140</t>
  </si>
  <si>
    <t>20-70</t>
  </si>
  <si>
    <t>15-25</t>
  </si>
  <si>
    <t>Information about carbon emissions from different power sources has been generated from a 2018 IPCC lifecycle analysis</t>
  </si>
  <si>
    <t>Hydrogen - SMR</t>
  </si>
  <si>
    <t>CO2 Sequestation from Land</t>
  </si>
  <si>
    <t>Biome</t>
  </si>
  <si>
    <t>Crop land</t>
  </si>
  <si>
    <t>Temperate Grasslands</t>
  </si>
  <si>
    <t>Wetlands</t>
  </si>
  <si>
    <t>Deserts/Semi-desert</t>
  </si>
  <si>
    <t>Boreal Forests</t>
  </si>
  <si>
    <t>Total</t>
  </si>
  <si>
    <t>Above ground (plants)</t>
  </si>
  <si>
    <t>Below ground (soil/roots)</t>
  </si>
  <si>
    <t>https://www.nrcs.usda.gov/Internet/FSE_PLANTMATERIALS/publications/njpmctn12840.pdf</t>
  </si>
  <si>
    <t>Data is used to evaluate CO2 sequestration for different biomes and evaluate the net gain /loss of converting land to native ecosystem</t>
  </si>
  <si>
    <t>Native Ecosystem</t>
  </si>
  <si>
    <t>Carbon Footprint Model</t>
  </si>
  <si>
    <t>Guidelines:</t>
  </si>
  <si>
    <t>EDIT BLUE CELLS</t>
  </si>
  <si>
    <t>ASSUMED VALUES</t>
  </si>
  <si>
    <t>CALCULATED VALUES OF CO2 REDUCED</t>
  </si>
  <si>
    <t>CALCULATED VALUES OF CO2 ADDED</t>
  </si>
  <si>
    <t>Before and After Trade-off for rewilding</t>
  </si>
  <si>
    <t>Gain (minus crop land)</t>
  </si>
  <si>
    <t>Number of acres equiavalent</t>
  </si>
  <si>
    <t>Restoring crop land to nature</t>
  </si>
  <si>
    <t>Temperate Forests</t>
  </si>
  <si>
    <t>kg CO2 sequestration per acre per annum</t>
  </si>
  <si>
    <t>Other</t>
  </si>
  <si>
    <t>Aggregated</t>
  </si>
  <si>
    <t>You have selected:</t>
  </si>
  <si>
    <t>Your kg CO2e/kWh:</t>
  </si>
  <si>
    <t>Carbon emissions associated with energy consumption</t>
  </si>
  <si>
    <t>Energy consumption (kWh)</t>
  </si>
  <si>
    <t>Associated CO2e emissions for selected energy source</t>
  </si>
  <si>
    <t>Number of trays/towers per rack</t>
  </si>
  <si>
    <t>Grow cycle for crops</t>
  </si>
  <si>
    <t>days</t>
  </si>
  <si>
    <t>Assumed weight of lettuce (kg)</t>
  </si>
  <si>
    <t>Fully-grown tree equivalent for time-period</t>
  </si>
  <si>
    <t>Energy efficiency improvement</t>
  </si>
  <si>
    <t>% efficiency improvement</t>
  </si>
  <si>
    <t>Hydroponic Farming energy use to farm lettuce</t>
  </si>
  <si>
    <t>Conventional Farming energy use to farm lettuce</t>
  </si>
  <si>
    <t>﻿kJ/kg/year</t>
  </si>
  <si>
    <t>﻿kJ/kg/yyear</t>
  </si>
  <si>
    <t>Q=UxSAx(Tin-Tout) / Efficiency</t>
  </si>
  <si>
    <t>Increase when compared to traditional agriculture:</t>
  </si>
  <si>
    <t>Vertical farming case-study energy use</t>
  </si>
  <si>
    <t>kg of CO2e emitted from energy use</t>
  </si>
  <si>
    <t>tonnes of CO2e emitted from energy use</t>
  </si>
  <si>
    <t>difference of tonnes CO2e from energy compared to conventional agriculture</t>
  </si>
  <si>
    <t>*16 hours per day for Lettuce</t>
  </si>
  <si>
    <t>A typical tree can absorb around 21 kilograms of carbon dioxide (CO2) per year, however this figure is only achieved when the tree is fully grown</t>
  </si>
  <si>
    <t>kg of CO2e Savings for operating Vertical Farm compared to traditional agriculture for 1 years</t>
  </si>
  <si>
    <t>kg of CO2e Savings for operating Vertical Farm compared to traditional agriculture for 3 years</t>
  </si>
  <si>
    <t>Green Hydrogen</t>
  </si>
  <si>
    <t>Blue Hydrogen</t>
  </si>
  <si>
    <t>Green Hydrogen EU</t>
  </si>
  <si>
    <t>MJ to kWh</t>
  </si>
  <si>
    <t>gCO2eq/MJ</t>
  </si>
  <si>
    <t>Imperial</t>
  </si>
  <si>
    <t>25-178</t>
  </si>
  <si>
    <t>23-150</t>
  </si>
  <si>
    <t>Average</t>
  </si>
  <si>
    <t>kg of CO2e Savings for Vertical farm for 3 years with 50% energy efficiency saving</t>
  </si>
  <si>
    <t>Traditional Farm in Spain</t>
  </si>
  <si>
    <t>Vertical Farm CO2 Footprint</t>
  </si>
  <si>
    <t>Waste</t>
  </si>
  <si>
    <t>Lettuce yield</t>
  </si>
  <si>
    <t>Seeds</t>
  </si>
  <si>
    <t>Fertilisers</t>
  </si>
  <si>
    <t>Cradle</t>
  </si>
  <si>
    <t>Nutrients</t>
  </si>
  <si>
    <t>Packaging</t>
  </si>
  <si>
    <t>Growing</t>
  </si>
  <si>
    <t>Petrol for farm machinery</t>
  </si>
  <si>
    <t>Processing</t>
  </si>
  <si>
    <t>Foodmiles</t>
  </si>
  <si>
    <t>Distribution</t>
  </si>
  <si>
    <t>Refridgeration</t>
  </si>
  <si>
    <t>Retail</t>
  </si>
  <si>
    <t>Consumer</t>
  </si>
  <si>
    <t>Biodiversity</t>
  </si>
  <si>
    <t>Lettuce Yield</t>
  </si>
  <si>
    <t>Growing media</t>
  </si>
  <si>
    <t>Water consumption</t>
  </si>
  <si>
    <t xml:space="preserve">Distribution </t>
  </si>
  <si>
    <t>Deforestation</t>
  </si>
  <si>
    <t>per annum</t>
  </si>
  <si>
    <t>Resource Consumption</t>
  </si>
  <si>
    <t>Conventional Farm CO2 Footprint kg</t>
  </si>
  <si>
    <t>Deforestation (acres)</t>
  </si>
  <si>
    <t>Waste (kg)</t>
  </si>
  <si>
    <t>Pesticide usage (kg)</t>
  </si>
  <si>
    <t>Water Usage (L)</t>
  </si>
  <si>
    <t>Equipment embedded carbon</t>
  </si>
  <si>
    <t>Energy Consumption (kWh)</t>
  </si>
  <si>
    <t>Comparison CO2e per kg with Biodviersity</t>
  </si>
  <si>
    <t>Comparison CO2e per kg without Biodviersity</t>
  </si>
  <si>
    <t>Conventional Farm CO2e per kg without Rewilding</t>
  </si>
  <si>
    <t>kWhs for conventional</t>
  </si>
  <si>
    <t>ipcc</t>
  </si>
  <si>
    <t>kg of CO2e/kg</t>
  </si>
  <si>
    <t xml:space="preserve">Vertical Farm </t>
  </si>
  <si>
    <t>Assumed  crop (kg)  per m2 in Conventional Agriculture</t>
  </si>
  <si>
    <t>kg of lettuce per m2</t>
  </si>
  <si>
    <t>Assumed production output per tower per grow cycle</t>
  </si>
  <si>
    <t>0.86kg X 8/5</t>
  </si>
  <si>
    <t>Grow area from ZipRacks</t>
  </si>
  <si>
    <t>sq-m</t>
  </si>
  <si>
    <t>Consumables</t>
  </si>
  <si>
    <t>Number of plants</t>
  </si>
  <si>
    <t>Field based</t>
  </si>
  <si>
    <t>Vertical farm</t>
  </si>
  <si>
    <t>Average butter head lettuce head = 163g</t>
  </si>
  <si>
    <t>Nutrients &amp; Fertilsiers required (kg)</t>
  </si>
  <si>
    <t>Seeds (quantity)</t>
  </si>
  <si>
    <t>Assumption -kg of CO2e per kg of nutrients</t>
  </si>
  <si>
    <t>Assumption - kg of  CO2e per seed</t>
  </si>
  <si>
    <t xml:space="preserve">Associated CO2e </t>
  </si>
  <si>
    <t>Seeds (kg of CO2e)</t>
  </si>
  <si>
    <t>Nutrients (kg of CO2e)</t>
  </si>
  <si>
    <t>Growing media (kg of CO2)</t>
  </si>
  <si>
    <t>Source required</t>
  </si>
  <si>
    <t>Propagation</t>
  </si>
  <si>
    <t>Consumer Transport</t>
  </si>
  <si>
    <t>Mediterrean Pine Forests</t>
  </si>
  <si>
    <t xml:space="preserve">UK Grid </t>
  </si>
  <si>
    <t>1 year</t>
  </si>
  <si>
    <t>50 days</t>
  </si>
  <si>
    <t>Heath Park Case Study</t>
  </si>
  <si>
    <t>Propogation unit</t>
  </si>
  <si>
    <t>Growing unit</t>
  </si>
  <si>
    <t>kWh/day</t>
  </si>
  <si>
    <t>total experiment</t>
  </si>
  <si>
    <t>annual</t>
  </si>
  <si>
    <t>Growing plugs (quantity)</t>
  </si>
  <si>
    <t>Growing plugs (kg)</t>
  </si>
  <si>
    <t>1.28g per grow-plug (measured, Farm Urban)</t>
  </si>
  <si>
    <t>Assumption - kg of CO2e per kg of growing media</t>
  </si>
  <si>
    <t>https://www.knaufinsulation.com/sites/ki_com/files/uploads/Rock%20Mineral%20Wool%20DP7-DP8.pdf</t>
  </si>
  <si>
    <t>50 plugs for experiment. 1 plug per crop</t>
  </si>
  <si>
    <t>Rockwool data from Knauf, Insulation EPA declaration</t>
  </si>
  <si>
    <t>Assumption - kg of fertiliser used per unit area</t>
  </si>
  <si>
    <t>84kg per hectare</t>
  </si>
  <si>
    <t>Assumption - nutrients fertiliser factor for hydroponic</t>
  </si>
  <si>
    <t>extrapolated for 8ft towers and 365 days a year</t>
  </si>
  <si>
    <t>Assumption -MT of CO2e per GJ energy in NG</t>
  </si>
  <si>
    <t>Assume kg of CO2e per standard diesel required to transport lettuce from production site to wholeale</t>
  </si>
  <si>
    <t xml:space="preserve">kg </t>
  </si>
  <si>
    <t>Assume distance from Murica to Liverpooln refrigerated reefer trucker</t>
  </si>
  <si>
    <t>km</t>
  </si>
  <si>
    <t xml:space="preserve">Assume truckload capacity </t>
  </si>
  <si>
    <t>Assumes backhaul proportion of fuel</t>
  </si>
  <si>
    <t>kgs of lettuce</t>
  </si>
  <si>
    <t>%</t>
  </si>
  <si>
    <t>litres of diesel</t>
  </si>
  <si>
    <t>Assume km per litre</t>
  </si>
  <si>
    <t>km/litre</t>
  </si>
  <si>
    <t xml:space="preserve">Transport emissions for large refridgerated truck </t>
  </si>
  <si>
    <t>kg CO2e per tonne per km</t>
  </si>
  <si>
    <t>Department of Energy and Climate Change (DECC)</t>
  </si>
  <si>
    <t>http://www.winacc.org.uk/wp-content/uploads/2015/11/Laymans-Food-Transport.pdf</t>
  </si>
  <si>
    <t xml:space="preserve">Produce from Murica, Spain trucked to Liverpool by refridgerated truck </t>
  </si>
  <si>
    <t>kg CO2e per kg</t>
  </si>
  <si>
    <t>Backhaul back to Murica, Spain</t>
  </si>
  <si>
    <t>Assumed distance from Runcorn to Liverpool</t>
  </si>
  <si>
    <t>Cumulative CO2e from transport for Spanish field</t>
  </si>
  <si>
    <t>Litres of diesel required for journey field farm</t>
  </si>
  <si>
    <t>25km</t>
  </si>
  <si>
    <t>Produce from Runcorn to Liverpool by truck</t>
  </si>
  <si>
    <t>Backhaul to Runcorn</t>
  </si>
  <si>
    <t>Cumulative CO2e from transport for VF</t>
  </si>
  <si>
    <t>Associated CO2e from delivery - Hyper local delivery - 25km</t>
  </si>
  <si>
    <t>2400km</t>
  </si>
  <si>
    <t>Fans</t>
  </si>
  <si>
    <t>Lights per day</t>
  </si>
  <si>
    <t>Fans per day</t>
  </si>
  <si>
    <t>Miscellanious</t>
  </si>
  <si>
    <t>System miscellanious (kWh/day)</t>
  </si>
  <si>
    <t>Wind Energy</t>
  </si>
  <si>
    <t>Solar Energy</t>
  </si>
  <si>
    <t>Conventional Agriculture</t>
  </si>
  <si>
    <t>Vertical Farming</t>
  </si>
  <si>
    <t>scaled from 31.8W for 8-foot towers from 5-foot towers</t>
  </si>
  <si>
    <t>Spanish Grid</t>
  </si>
  <si>
    <t>Fertliser use</t>
  </si>
  <si>
    <t>Life cycle assessment (LCA) of different fertilizer product types</t>
  </si>
  <si>
    <t>https://dx.doi.org/10.1016/j.eja.2015.06.001</t>
  </si>
  <si>
    <t>Use blend from SW germany as more balanced (no livestock) - 15-15-15</t>
  </si>
  <si>
    <t>N2O GHG emissions released during production and post-application of fertlisers, CO2 mainly from transport and farm operations</t>
  </si>
  <si>
    <t>Table 3 shows N2O emissions from application ~10-15% of total GHG emissions</t>
  </si>
  <si>
    <t>Table 5 shows CO2 equivalents for different blends and kg oil usage - for Complex blend (300kg):</t>
  </si>
  <si>
    <t>kg CO2-eq</t>
  </si>
  <si>
    <t>kg oil-eq</t>
  </si>
  <si>
    <t>CO2 emissions for each kg of fertliser used</t>
  </si>
  <si>
    <t>Life cycle assessment of cultivating lettuce and escarole in Spain</t>
  </si>
  <si>
    <t>http://dx.doi.org/10.1016/j.jclepro.2013.10.053</t>
  </si>
  <si>
    <t>Nfert for the three years of 84 kg ha1 (use of fertliser - Table 3)</t>
  </si>
  <si>
    <t>Paper shows energy use, but is combined with everything else so can't use that</t>
  </si>
  <si>
    <t>Fertliser user for each hectare of land</t>
  </si>
  <si>
    <t>kg ha-1</t>
  </si>
  <si>
    <t>N2O emissions from protected soilless crops for more precise food and urban agriculture life cycle assessments</t>
  </si>
  <si>
    <t>https://www.sciencedirect.com/science/article/abs/pii/S0959652617304171?via%3Dihub</t>
  </si>
  <si>
    <t>The emission factor (EF) measured for the soilless lettuce crop (0.0072–0.0085 kg N2O−1 per kg N−1) was half the EF of the IPCC method (0.0125 kg N2O−1 per kg N−1) for soil crops</t>
  </si>
  <si>
    <t>Seasonal Nitrous Oxide Emissions From Hydroponic Tomato and Cucumber Cultivation in a Commercial Greenhouse Company</t>
  </si>
  <si>
    <t>https://doi.org/10.3389/fsufs.2021.626053</t>
  </si>
  <si>
    <t>Reduction in CO2 equivalent for fertliser used in hydroponics compared to soil (reduction by half of 10%)</t>
  </si>
  <si>
    <t>Also need to factor in how much fertliser is wasted when used in soil - i.e. runoff</t>
  </si>
  <si>
    <t>https://www.fertilizerseurope.com/wp-content/uploads/2020/01/The-carbon-footprint-of-fertilizer-production_Regional-reference-values.pdf</t>
  </si>
  <si>
    <t>http://dx.doi.org/10.3390/en13092361</t>
  </si>
  <si>
    <t>Rockwool growplugs</t>
  </si>
  <si>
    <t>Data for rockwool from Knauf Insulation EPA declaration</t>
  </si>
  <si>
    <t>From above:</t>
  </si>
  <si>
    <t>Units</t>
  </si>
  <si>
    <t>Total use of renewable primary energy resources</t>
  </si>
  <si>
    <t>Total use of non-renewable primary energy resources</t>
  </si>
  <si>
    <t>Total Energy use</t>
  </si>
  <si>
    <t>Use of net fresh water</t>
  </si>
  <si>
    <t>m3</t>
  </si>
  <si>
    <t>Global warming potential</t>
  </si>
  <si>
    <t>kg CO2-Eq</t>
  </si>
  <si>
    <t>Data for 1m3 - at density 60-80 kg/m3</t>
  </si>
  <si>
    <t>Average density</t>
  </si>
  <si>
    <t>kg/m3</t>
  </si>
  <si>
    <t>Total Energy use per kg</t>
  </si>
  <si>
    <t>Global warming potential per kg</t>
  </si>
  <si>
    <t>Growplugs</t>
  </si>
  <si>
    <t>Number</t>
  </si>
  <si>
    <t>Weight</t>
  </si>
  <si>
    <t>g</t>
  </si>
  <si>
    <t>Weight per plug</t>
  </si>
  <si>
    <t>Experiment used 64*2 = 128 plugs</t>
  </si>
  <si>
    <t>Total CO2 emissions from rockwool plugs in our experiment</t>
  </si>
  <si>
    <t>Could calculate energy use here?</t>
  </si>
  <si>
    <t xml:space="preserve"> Average EFs were 0.31% for tomato cultivation with drain re-use (closed hydroponic system), and 0.13% for cucumber cultivation without drain re-use (open hydroponic system). These values lie below the general EF for N2O from agricultural soils, noted with 1% by the intergovernmental panel on climate change (IPCC)</t>
  </si>
  <si>
    <t>Check  against</t>
  </si>
  <si>
    <t>Growing media (plugs)</t>
  </si>
  <si>
    <t>Seeds (no.)</t>
  </si>
  <si>
    <t>Fertilisers (kg)</t>
  </si>
  <si>
    <t>Nutrients (kg)</t>
  </si>
  <si>
    <t>Water consumption (L)</t>
  </si>
  <si>
    <t>Petrol for farm machinery (L)</t>
  </si>
  <si>
    <t>Mid-range (selected in green)</t>
  </si>
  <si>
    <t>35</t>
  </si>
  <si>
    <t>VF: solar energy</t>
  </si>
  <si>
    <t>VF: UK grid mix</t>
  </si>
  <si>
    <t>VF: wind energy</t>
  </si>
  <si>
    <t>VF: blue hydrogen</t>
  </si>
  <si>
    <t>VF: ocean/tidal energy</t>
  </si>
  <si>
    <t>VF: nuclear energy</t>
  </si>
  <si>
    <t>VF: geothermal</t>
  </si>
  <si>
    <t>VF: coal CCS</t>
  </si>
  <si>
    <t>VF: hydropower</t>
  </si>
  <si>
    <t>Trad. farming: spanish grid mix</t>
  </si>
  <si>
    <t>Fertiliser</t>
  </si>
  <si>
    <t>Petrol for machinery</t>
  </si>
  <si>
    <t>Resoure consumption</t>
  </si>
  <si>
    <t>Land (m2)</t>
  </si>
  <si>
    <t>Carbon footprint</t>
  </si>
  <si>
    <t xml:space="preserve">USA Greenhouse </t>
  </si>
  <si>
    <t>Assumed food miles from Runcorn to Liverpool</t>
  </si>
  <si>
    <t>Food Miles (km)</t>
  </si>
  <si>
    <t>Foodmiles (km)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</si>
</sst>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164" formatCode="#,##0.00\ [$€-1]"/>
    <numFmt numFmtId="165" formatCode="0.0"/>
    <numFmt numFmtId="166" formatCode="0.000"/>
    <numFmt numFmtId="167" formatCode="0.0000000"/>
    <numFmt numFmtId="168" formatCode="0.00000"/>
    <numFmt numFmtId="169" formatCode="0.000000"/>
  </numFmts>
  <fonts count="23">
    <font>
      <sz val="11"/>
      <color rgb="FF000000"/>
      <name val="Calibri"/>
    </font>
    <font>
      <u/>
      <sz val="11"/>
      <color rgb="FF0563C1"/>
      <name val="Calibri"/>
      <family val="2"/>
    </font>
    <font>
      <b/>
      <sz val="11"/>
      <color rgb="FF000000"/>
      <name val="Calibri"/>
      <family val="2"/>
    </font>
    <font>
      <sz val="11"/>
      <color theme="1"/>
      <name val="Calibri"/>
      <family val="2"/>
    </font>
    <font>
      <sz val="11"/>
      <color theme="1"/>
      <name val="Calibri"/>
      <family val="2"/>
    </font>
    <font>
      <sz val="11"/>
      <color rgb="FF222222"/>
      <name val="Calibri"/>
      <family val="2"/>
    </font>
    <font>
      <sz val="16"/>
      <color rgb="FF333333"/>
      <name val="Georgia"/>
      <family val="1"/>
    </font>
    <font>
      <u/>
      <sz val="11"/>
      <color theme="10"/>
      <name val="Calibri"/>
      <family val="2"/>
    </font>
    <font>
      <b/>
      <sz val="11"/>
      <color rgb="FF222222"/>
      <name val="Calibri"/>
      <family val="2"/>
    </font>
    <font>
      <sz val="11"/>
      <color rgb="FF000000"/>
      <name val="Calibri"/>
      <family val="2"/>
    </font>
    <font>
      <sz val="11"/>
      <color rgb="FF000000"/>
      <name val="Calibri"/>
      <family val="2"/>
    </font>
    <font>
      <b/>
      <sz val="11"/>
      <color rgb="FF000000"/>
      <name val="Calibri"/>
      <family val="2"/>
    </font>
    <font>
      <sz val="18"/>
      <color rgb="FF000000"/>
      <name val="Calibri"/>
      <family val="2"/>
    </font>
    <font>
      <b/>
      <u/>
      <sz val="11"/>
      <color rgb="FF000000"/>
      <name val="Calibri"/>
      <family val="2"/>
    </font>
    <font>
      <u/>
      <sz val="11"/>
      <color rgb="FF0563C1"/>
      <name val="Calibri"/>
      <family val="2"/>
    </font>
    <font>
      <sz val="11"/>
      <name val="Calibri"/>
      <family val="2"/>
    </font>
    <font>
      <sz val="10"/>
      <color rgb="FF000000"/>
      <name val="Tahoma"/>
      <family val="2"/>
    </font>
    <font>
      <b/>
      <sz val="10"/>
      <color rgb="FF000000"/>
      <name val="Tahoma"/>
      <family val="2"/>
    </font>
    <font>
      <sz val="11"/>
      <color rgb="FF000000"/>
      <name val="Calibri"/>
      <family val="2"/>
    </font>
    <font>
      <sz val="10"/>
      <color rgb="FF000000"/>
      <name val="Roboto"/>
    </font>
    <font>
      <b/>
      <sz val="10"/>
      <color theme="1"/>
      <name val="Arial"/>
      <family val="2"/>
    </font>
    <font>
      <sz val="10"/>
      <color theme="1"/>
      <name val="Arial"/>
      <family val="2"/>
    </font>
    <font>
      <u/>
      <sz val="10"/>
      <color rgb="FF0000FF"/>
      <name val="Arial"/>
      <family val="2"/>
    </font>
  </fonts>
  <fills count="24">
    <fill>
      <patternFill patternType="none"/>
    </fill>
    <fill>
      <patternFill patternType="gray125"/>
    </fill>
    <fill>
      <patternFill patternType="solid">
        <fgColor rgb="FFFFFF00"/>
        <bgColor rgb="FFFFFF00"/>
      </patternFill>
    </fill>
    <fill>
      <patternFill patternType="solid">
        <fgColor rgb="FF8EAADB"/>
        <bgColor rgb="FF8EAADB"/>
      </patternFill>
    </fill>
    <fill>
      <patternFill patternType="solid">
        <fgColor rgb="FF92D050"/>
        <bgColor rgb="FF92D050"/>
      </patternFill>
    </fill>
    <fill>
      <patternFill patternType="solid">
        <fgColor rgb="FFFF0000"/>
        <bgColor rgb="FFFF0000"/>
      </patternFill>
    </fill>
    <fill>
      <patternFill patternType="solid">
        <fgColor rgb="FFF7CAAC"/>
        <bgColor rgb="FFF7CAAC"/>
      </patternFill>
    </fill>
    <fill>
      <patternFill patternType="solid">
        <fgColor rgb="FFFEF2CB"/>
        <bgColor rgb="FFFEF2CB"/>
      </patternFill>
    </fill>
    <fill>
      <patternFill patternType="solid">
        <fgColor rgb="FF70AD47"/>
        <bgColor rgb="FF70AD47"/>
      </patternFill>
    </fill>
    <fill>
      <patternFill patternType="solid">
        <fgColor rgb="FFFFFFFF"/>
        <bgColor rgb="FFFFFFFF"/>
      </patternFill>
    </fill>
    <fill>
      <patternFill patternType="solid">
        <fgColor rgb="FFBFBFBF"/>
        <bgColor rgb="FFBFBFBF"/>
      </patternFill>
    </fill>
    <fill>
      <patternFill patternType="solid">
        <fgColor rgb="FFFFCC99"/>
        <bgColor rgb="FFFFCC99"/>
      </patternFill>
    </fill>
    <fill>
      <patternFill patternType="solid">
        <fgColor theme="8" tint="0.39997558519241921"/>
        <bgColor indexed="64"/>
      </patternFill>
    </fill>
    <fill>
      <patternFill patternType="solid">
        <fgColor theme="7" tint="0.79998168889431442"/>
        <bgColor indexed="64"/>
      </patternFill>
    </fill>
    <fill>
      <patternFill patternType="solid">
        <fgColor rgb="FF92D050"/>
        <bgColor indexed="64"/>
      </patternFill>
    </fill>
    <fill>
      <patternFill patternType="solid">
        <fgColor rgb="FFFF0000"/>
        <bgColor indexed="64"/>
      </patternFill>
    </fill>
    <fill>
      <patternFill patternType="solid">
        <fgColor theme="4"/>
        <bgColor indexed="64"/>
      </patternFill>
    </fill>
    <fill>
      <patternFill patternType="solid">
        <fgColor rgb="FFFF0000"/>
        <bgColor rgb="FF92D050"/>
      </patternFill>
    </fill>
    <fill>
      <patternFill patternType="solid">
        <fgColor rgb="FF8EAADC"/>
        <bgColor indexed="64"/>
      </patternFill>
    </fill>
    <fill>
      <patternFill patternType="solid">
        <fgColor rgb="FFFFFF00"/>
        <bgColor indexed="64"/>
      </patternFill>
    </fill>
    <fill>
      <patternFill patternType="solid">
        <fgColor theme="1"/>
        <bgColor indexed="64"/>
      </patternFill>
    </fill>
    <fill>
      <patternFill patternType="solid">
        <fgColor theme="5" tint="0.59999389629810485"/>
        <bgColor indexed="64"/>
      </patternFill>
    </fill>
    <fill>
      <patternFill patternType="solid">
        <fgColor rgb="FF999999"/>
        <bgColor rgb="FF999999"/>
      </patternFill>
    </fill>
    <fill>
      <patternFill patternType="solid">
        <fgColor theme="0"/>
        <bgColor theme="0"/>
      </patternFill>
    </fill>
  </fills>
  <borders count="29">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7" fillId="0" borderId="0" applyNumberFormat="0" applyFill="0" applyBorder="0" applyAlignment="0" applyProtection="0"/>
    <xf numFmtId="9" fontId="9" fillId="0" borderId="0" applyFont="0" applyFill="0" applyBorder="0" applyAlignment="0" applyProtection="0"/>
    <xf numFmtId="44" fontId="18" fillId="0" borderId="0" applyFont="0" applyFill="0" applyBorder="0" applyAlignment="0" applyProtection="0"/>
  </cellStyleXfs>
  <cellXfs count="185">
    <xf numFmtId="0" fontId="0" fillId="0" borderId="0" xfId="0"/>
    <xf numFmtId="0" fontId="0" fillId="2" borderId="1" xfId="0" applyFill="1" applyBorder="1" applyAlignment="1">
      <alignment horizontal="center"/>
    </xf>
    <xf numFmtId="0" fontId="1" fillId="0" borderId="0" xfId="0" applyFont="1"/>
    <xf numFmtId="0" fontId="0" fillId="0" borderId="0" xfId="0" applyAlignment="1">
      <alignment horizontal="left" wrapText="1"/>
    </xf>
    <xf numFmtId="0" fontId="0" fillId="0" borderId="0" xfId="0" applyAlignment="1">
      <alignment wrapText="1"/>
    </xf>
    <xf numFmtId="0" fontId="0" fillId="3" borderId="1" xfId="0" applyFill="1" applyBorder="1"/>
    <xf numFmtId="0" fontId="0" fillId="0" borderId="2" xfId="0" applyBorder="1"/>
    <xf numFmtId="0" fontId="0" fillId="0" borderId="2" xfId="0" applyBorder="1" applyAlignment="1">
      <alignment wrapText="1"/>
    </xf>
    <xf numFmtId="0" fontId="2" fillId="2" borderId="1" xfId="0" applyFont="1" applyFill="1" applyBorder="1"/>
    <xf numFmtId="0" fontId="3" fillId="0" borderId="0" xfId="0" applyFont="1"/>
    <xf numFmtId="0" fontId="4" fillId="0" borderId="0" xfId="0" applyFont="1"/>
    <xf numFmtId="0" fontId="0" fillId="6" borderId="1" xfId="0" applyFill="1" applyBorder="1"/>
    <xf numFmtId="0" fontId="2" fillId="0" borderId="4" xfId="0" applyFont="1" applyBorder="1"/>
    <xf numFmtId="0" fontId="0" fillId="0" borderId="5" xfId="0" applyBorder="1"/>
    <xf numFmtId="0" fontId="0" fillId="3" borderId="6" xfId="0" applyFill="1" applyBorder="1"/>
    <xf numFmtId="0" fontId="0" fillId="3" borderId="7" xfId="0" applyFill="1" applyBorder="1"/>
    <xf numFmtId="0" fontId="0" fillId="2" borderId="8" xfId="0" applyFill="1" applyBorder="1"/>
    <xf numFmtId="0" fontId="0" fillId="2" borderId="9" xfId="0" applyFill="1" applyBorder="1"/>
    <xf numFmtId="0" fontId="0" fillId="6" borderId="8" xfId="0" applyFill="1" applyBorder="1"/>
    <xf numFmtId="0" fontId="0" fillId="6" borderId="9" xfId="0" applyFill="1" applyBorder="1"/>
    <xf numFmtId="0" fontId="0" fillId="7" borderId="8" xfId="0" applyFill="1" applyBorder="1"/>
    <xf numFmtId="0" fontId="0" fillId="7" borderId="9" xfId="0" applyFill="1" applyBorder="1"/>
    <xf numFmtId="0" fontId="0" fillId="4" borderId="10" xfId="0" applyFill="1" applyBorder="1"/>
    <xf numFmtId="0" fontId="0" fillId="4" borderId="11" xfId="0" applyFill="1" applyBorder="1"/>
    <xf numFmtId="0" fontId="0" fillId="5" borderId="10" xfId="0" applyFill="1" applyBorder="1"/>
    <xf numFmtId="0" fontId="0" fillId="5" borderId="11" xfId="0" applyFill="1" applyBorder="1"/>
    <xf numFmtId="0" fontId="0" fillId="7" borderId="1" xfId="0" applyFill="1" applyBorder="1"/>
    <xf numFmtId="0" fontId="0" fillId="4" borderId="1" xfId="0" applyFill="1" applyBorder="1"/>
    <xf numFmtId="0" fontId="3" fillId="8" borderId="1" xfId="0" applyFont="1" applyFill="1" applyBorder="1"/>
    <xf numFmtId="0" fontId="5" fillId="0" borderId="0" xfId="0" applyFont="1"/>
    <xf numFmtId="9" fontId="0" fillId="6" borderId="1" xfId="0" applyNumberFormat="1" applyFill="1" applyBorder="1"/>
    <xf numFmtId="9" fontId="2" fillId="2" borderId="1" xfId="0" applyNumberFormat="1" applyFont="1" applyFill="1" applyBorder="1"/>
    <xf numFmtId="9" fontId="0" fillId="0" borderId="0" xfId="0" applyNumberFormat="1"/>
    <xf numFmtId="0" fontId="0" fillId="8" borderId="1" xfId="0" applyFill="1" applyBorder="1"/>
    <xf numFmtId="0" fontId="0" fillId="9" borderId="1" xfId="0" applyFill="1" applyBorder="1"/>
    <xf numFmtId="0" fontId="0" fillId="5" borderId="1" xfId="0" applyFill="1" applyBorder="1"/>
    <xf numFmtId="9" fontId="2" fillId="0" borderId="0" xfId="0" applyNumberFormat="1" applyFont="1"/>
    <xf numFmtId="0" fontId="6" fillId="0" borderId="0" xfId="0" applyFont="1"/>
    <xf numFmtId="0" fontId="7" fillId="0" borderId="0" xfId="0" applyFont="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1" fontId="0" fillId="0" borderId="0" xfId="0" applyNumberFormat="1"/>
    <xf numFmtId="9" fontId="0" fillId="0" borderId="0" xfId="0" applyNumberFormat="1" applyAlignment="1">
      <alignment wrapText="1"/>
    </xf>
    <xf numFmtId="0" fontId="2" fillId="11" borderId="18" xfId="0" applyFont="1" applyFill="1" applyBorder="1" applyAlignment="1">
      <alignment horizontal="left"/>
    </xf>
    <xf numFmtId="0" fontId="0" fillId="0" borderId="19" xfId="0" applyBorder="1" applyAlignment="1">
      <alignment horizontal="center"/>
    </xf>
    <xf numFmtId="3" fontId="0" fillId="0" borderId="20" xfId="0" applyNumberFormat="1" applyBorder="1"/>
    <xf numFmtId="3" fontId="0" fillId="0" borderId="20" xfId="0" applyNumberFormat="1" applyBorder="1" applyAlignment="1">
      <alignment horizontal="right"/>
    </xf>
    <xf numFmtId="165" fontId="0" fillId="0" borderId="20" xfId="0" applyNumberFormat="1" applyBorder="1"/>
    <xf numFmtId="0" fontId="0" fillId="10" borderId="2" xfId="0" applyFill="1" applyBorder="1"/>
    <xf numFmtId="1" fontId="0" fillId="0" borderId="20" xfId="0" applyNumberFormat="1" applyBorder="1"/>
    <xf numFmtId="164" fontId="0" fillId="0" borderId="0" xfId="0" applyNumberFormat="1"/>
    <xf numFmtId="0" fontId="0" fillId="0" borderId="20" xfId="0" applyBorder="1"/>
    <xf numFmtId="0" fontId="0" fillId="0" borderId="0" xfId="0" applyAlignment="1">
      <alignment horizontal="center"/>
    </xf>
    <xf numFmtId="0" fontId="7" fillId="0" borderId="0" xfId="1"/>
    <xf numFmtId="49" fontId="10" fillId="0" borderId="0" xfId="0" applyNumberFormat="1" applyFont="1"/>
    <xf numFmtId="0" fontId="10" fillId="0" borderId="0" xfId="0" applyFont="1"/>
    <xf numFmtId="0" fontId="11" fillId="2" borderId="1" xfId="0" applyFont="1" applyFill="1" applyBorder="1"/>
    <xf numFmtId="0" fontId="10" fillId="0" borderId="21" xfId="0" applyFont="1" applyBorder="1"/>
    <xf numFmtId="0" fontId="10" fillId="0" borderId="21" xfId="0" applyFont="1" applyBorder="1" applyAlignment="1">
      <alignment vertical="center"/>
    </xf>
    <xf numFmtId="0" fontId="0" fillId="12" borderId="0" xfId="0" applyFill="1"/>
    <xf numFmtId="0" fontId="12" fillId="0" borderId="0" xfId="0" applyFont="1"/>
    <xf numFmtId="0" fontId="13" fillId="0" borderId="0" xfId="0" applyFont="1"/>
    <xf numFmtId="0" fontId="10" fillId="12" borderId="0" xfId="0" applyFont="1" applyFill="1"/>
    <xf numFmtId="0" fontId="10" fillId="14" borderId="0" xfId="0" applyFont="1" applyFill="1"/>
    <xf numFmtId="0" fontId="0" fillId="14" borderId="0" xfId="0" applyFill="1"/>
    <xf numFmtId="0" fontId="10" fillId="6" borderId="8" xfId="0" applyFont="1" applyFill="1" applyBorder="1"/>
    <xf numFmtId="0" fontId="10" fillId="5" borderId="10" xfId="0" applyFont="1" applyFill="1" applyBorder="1"/>
    <xf numFmtId="0" fontId="10" fillId="7" borderId="1" xfId="0" applyFont="1" applyFill="1" applyBorder="1"/>
    <xf numFmtId="0" fontId="0" fillId="0" borderId="1" xfId="0" applyBorder="1"/>
    <xf numFmtId="0" fontId="10" fillId="0" borderId="1" xfId="0" applyFont="1" applyBorder="1"/>
    <xf numFmtId="0" fontId="0" fillId="0" borderId="17" xfId="0" applyBorder="1" applyAlignment="1">
      <alignment wrapText="1"/>
    </xf>
    <xf numFmtId="0" fontId="0" fillId="0" borderId="22" xfId="0" applyBorder="1" applyAlignment="1">
      <alignment wrapText="1"/>
    </xf>
    <xf numFmtId="0" fontId="0" fillId="0" borderId="21" xfId="0" applyBorder="1" applyAlignment="1">
      <alignment wrapText="1"/>
    </xf>
    <xf numFmtId="0" fontId="14" fillId="0" borderId="0" xfId="0" applyFont="1"/>
    <xf numFmtId="0" fontId="7" fillId="0" borderId="0" xfId="1" applyAlignment="1"/>
    <xf numFmtId="0" fontId="10" fillId="6" borderId="1" xfId="0" applyFont="1" applyFill="1" applyBorder="1"/>
    <xf numFmtId="49" fontId="10" fillId="0" borderId="21" xfId="0" applyNumberFormat="1" applyFont="1" applyBorder="1"/>
    <xf numFmtId="0" fontId="10" fillId="13" borderId="21" xfId="0" applyFont="1" applyFill="1" applyBorder="1"/>
    <xf numFmtId="49" fontId="10" fillId="13" borderId="21" xfId="0" applyNumberFormat="1" applyFont="1" applyFill="1" applyBorder="1"/>
    <xf numFmtId="165" fontId="0" fillId="0" borderId="21" xfId="0" applyNumberFormat="1" applyBorder="1"/>
    <xf numFmtId="1" fontId="0" fillId="0" borderId="21" xfId="0" applyNumberFormat="1" applyBorder="1"/>
    <xf numFmtId="2" fontId="0" fillId="14" borderId="0" xfId="0" applyNumberFormat="1" applyFill="1"/>
    <xf numFmtId="2" fontId="0" fillId="15" borderId="0" xfId="0" applyNumberFormat="1" applyFill="1"/>
    <xf numFmtId="0" fontId="10" fillId="0" borderId="0" xfId="0" applyFont="1" applyAlignment="1">
      <alignment horizontal="center" wrapText="1"/>
    </xf>
    <xf numFmtId="0" fontId="0" fillId="16" borderId="0" xfId="0" applyFill="1"/>
    <xf numFmtId="165" fontId="0" fillId="0" borderId="0" xfId="0" applyNumberFormat="1"/>
    <xf numFmtId="165" fontId="10" fillId="0" borderId="1" xfId="0" applyNumberFormat="1" applyFont="1" applyBorder="1"/>
    <xf numFmtId="9" fontId="10" fillId="12" borderId="0" xfId="2" applyFont="1" applyFill="1"/>
    <xf numFmtId="0" fontId="11" fillId="0" borderId="0" xfId="0" applyFont="1"/>
    <xf numFmtId="165" fontId="0" fillId="14" borderId="2" xfId="0" applyNumberFormat="1" applyFill="1" applyBorder="1"/>
    <xf numFmtId="165" fontId="0" fillId="15" borderId="2" xfId="0" applyNumberFormat="1" applyFill="1" applyBorder="1"/>
    <xf numFmtId="165" fontId="0" fillId="4" borderId="2" xfId="0" applyNumberFormat="1" applyFill="1" applyBorder="1"/>
    <xf numFmtId="165" fontId="0" fillId="17" borderId="2" xfId="0" applyNumberFormat="1" applyFill="1" applyBorder="1"/>
    <xf numFmtId="165" fontId="0" fillId="4" borderId="3" xfId="0" applyNumberFormat="1" applyFill="1" applyBorder="1"/>
    <xf numFmtId="165" fontId="0" fillId="14" borderId="21" xfId="0" applyNumberFormat="1" applyFill="1" applyBorder="1"/>
    <xf numFmtId="165" fontId="0" fillId="14" borderId="17" xfId="0" applyNumberFormat="1" applyFill="1" applyBorder="1"/>
    <xf numFmtId="165" fontId="0" fillId="4" borderId="17" xfId="0" applyNumberFormat="1" applyFill="1" applyBorder="1"/>
    <xf numFmtId="0" fontId="10" fillId="0" borderId="21" xfId="0" applyFont="1" applyBorder="1" applyAlignment="1">
      <alignment wrapText="1"/>
    </xf>
    <xf numFmtId="0" fontId="15" fillId="0" borderId="0" xfId="0" applyFont="1"/>
    <xf numFmtId="0" fontId="10" fillId="13" borderId="21" xfId="0" applyFont="1" applyFill="1" applyBorder="1" applyAlignment="1">
      <alignment horizontal="center"/>
    </xf>
    <xf numFmtId="0" fontId="9" fillId="0" borderId="0" xfId="0" applyFont="1"/>
    <xf numFmtId="0" fontId="0" fillId="18" borderId="0" xfId="0" applyFill="1"/>
    <xf numFmtId="0" fontId="10" fillId="0" borderId="1" xfId="0" applyFont="1" applyBorder="1" applyAlignment="1">
      <alignment horizontal="center"/>
    </xf>
    <xf numFmtId="0" fontId="10" fillId="0" borderId="24" xfId="0" applyFont="1" applyBorder="1"/>
    <xf numFmtId="0" fontId="9" fillId="0" borderId="21" xfId="0" applyFont="1" applyBorder="1"/>
    <xf numFmtId="0" fontId="0" fillId="13" borderId="21" xfId="0" applyFill="1" applyBorder="1"/>
    <xf numFmtId="0" fontId="9" fillId="13" borderId="21" xfId="0" applyFont="1" applyFill="1" applyBorder="1"/>
    <xf numFmtId="0" fontId="10" fillId="0" borderId="25" xfId="0" applyFont="1" applyBorder="1"/>
    <xf numFmtId="0" fontId="0" fillId="0" borderId="21" xfId="0" applyBorder="1"/>
    <xf numFmtId="0" fontId="10" fillId="0" borderId="21" xfId="0" applyFont="1" applyBorder="1" applyAlignment="1">
      <alignment horizontal="center"/>
    </xf>
    <xf numFmtId="165" fontId="0" fillId="4" borderId="1" xfId="0" applyNumberFormat="1" applyFill="1" applyBorder="1"/>
    <xf numFmtId="165" fontId="0" fillId="17" borderId="1" xfId="0" applyNumberFormat="1" applyFill="1" applyBorder="1"/>
    <xf numFmtId="165" fontId="0" fillId="14" borderId="1" xfId="0" applyNumberFormat="1" applyFill="1" applyBorder="1"/>
    <xf numFmtId="165" fontId="0" fillId="0" borderId="1" xfId="0" applyNumberFormat="1" applyBorder="1"/>
    <xf numFmtId="0" fontId="0" fillId="0" borderId="1" xfId="0" applyBorder="1" applyAlignment="1">
      <alignment wrapText="1"/>
    </xf>
    <xf numFmtId="0" fontId="2" fillId="19" borderId="21" xfId="0" applyFont="1" applyFill="1" applyBorder="1"/>
    <xf numFmtId="0" fontId="0" fillId="0" borderId="24" xfId="0" applyBorder="1"/>
    <xf numFmtId="0" fontId="2" fillId="2" borderId="21" xfId="0" applyFont="1" applyFill="1" applyBorder="1"/>
    <xf numFmtId="0" fontId="2" fillId="0" borderId="21" xfId="0" applyFont="1" applyBorder="1"/>
    <xf numFmtId="0" fontId="9" fillId="0" borderId="24" xfId="0" applyFont="1" applyBorder="1"/>
    <xf numFmtId="0" fontId="0" fillId="15" borderId="21" xfId="0" applyFill="1" applyBorder="1"/>
    <xf numFmtId="0" fontId="0" fillId="14" borderId="21" xfId="0" applyFill="1" applyBorder="1"/>
    <xf numFmtId="0" fontId="0" fillId="20" borderId="21" xfId="0" applyFill="1" applyBorder="1"/>
    <xf numFmtId="0" fontId="9" fillId="19" borderId="0" xfId="0" applyFont="1" applyFill="1"/>
    <xf numFmtId="9" fontId="9" fillId="0" borderId="0" xfId="0" applyNumberFormat="1" applyFont="1"/>
    <xf numFmtId="0" fontId="9" fillId="0" borderId="1" xfId="0" applyFont="1" applyBorder="1"/>
    <xf numFmtId="0" fontId="10" fillId="12" borderId="0" xfId="2" applyNumberFormat="1" applyFont="1" applyFill="1"/>
    <xf numFmtId="0" fontId="9" fillId="3" borderId="1" xfId="0" applyFont="1" applyFill="1" applyBorder="1"/>
    <xf numFmtId="0" fontId="2" fillId="19" borderId="0" xfId="0" applyFont="1" applyFill="1"/>
    <xf numFmtId="0" fontId="9" fillId="6" borderId="1" xfId="0" applyFont="1" applyFill="1" applyBorder="1"/>
    <xf numFmtId="0" fontId="9" fillId="20" borderId="21" xfId="0" applyFont="1" applyFill="1" applyBorder="1"/>
    <xf numFmtId="0" fontId="9" fillId="0" borderId="28" xfId="0" applyFont="1" applyBorder="1" applyAlignment="1">
      <alignment vertical="center"/>
    </xf>
    <xf numFmtId="2" fontId="0" fillId="0" borderId="20" xfId="0" applyNumberFormat="1" applyBorder="1"/>
    <xf numFmtId="0" fontId="9" fillId="13" borderId="1" xfId="0" applyFont="1" applyFill="1" applyBorder="1"/>
    <xf numFmtId="0" fontId="0" fillId="13" borderId="0" xfId="0" applyFill="1"/>
    <xf numFmtId="0" fontId="3" fillId="14" borderId="21" xfId="0" applyFont="1" applyFill="1" applyBorder="1"/>
    <xf numFmtId="0" fontId="10" fillId="13" borderId="1" xfId="0" applyFont="1" applyFill="1" applyBorder="1"/>
    <xf numFmtId="0" fontId="0" fillId="13" borderId="1" xfId="0" applyFill="1" applyBorder="1"/>
    <xf numFmtId="0" fontId="10" fillId="13" borderId="1" xfId="0" applyFont="1" applyFill="1" applyBorder="1" applyAlignment="1">
      <alignment horizontal="center"/>
    </xf>
    <xf numFmtId="0" fontId="2" fillId="0" borderId="0" xfId="0" applyFont="1"/>
    <xf numFmtId="2" fontId="0" fillId="6" borderId="1" xfId="0" applyNumberFormat="1" applyFill="1" applyBorder="1"/>
    <xf numFmtId="2" fontId="0" fillId="0" borderId="1" xfId="0" applyNumberFormat="1" applyBorder="1"/>
    <xf numFmtId="166" fontId="0" fillId="6" borderId="1" xfId="0" applyNumberFormat="1" applyFill="1" applyBorder="1"/>
    <xf numFmtId="1" fontId="0" fillId="6" borderId="1" xfId="0" applyNumberFormat="1" applyFill="1" applyBorder="1"/>
    <xf numFmtId="166" fontId="0" fillId="0" borderId="1" xfId="0" applyNumberFormat="1" applyBorder="1"/>
    <xf numFmtId="166" fontId="9" fillId="0" borderId="1" xfId="0" applyNumberFormat="1" applyFont="1" applyBorder="1"/>
    <xf numFmtId="0" fontId="9" fillId="14" borderId="21" xfId="0" applyFont="1" applyFill="1" applyBorder="1"/>
    <xf numFmtId="0" fontId="0" fillId="21" borderId="21" xfId="0" applyFill="1" applyBorder="1"/>
    <xf numFmtId="49" fontId="0" fillId="14" borderId="21" xfId="0" applyNumberFormat="1" applyFill="1" applyBorder="1"/>
    <xf numFmtId="2" fontId="9" fillId="14" borderId="21" xfId="0" applyNumberFormat="1" applyFont="1" applyFill="1" applyBorder="1"/>
    <xf numFmtId="0" fontId="20" fillId="0" borderId="0" xfId="0" applyFont="1"/>
    <xf numFmtId="0" fontId="21" fillId="0" borderId="0" xfId="0" applyFont="1"/>
    <xf numFmtId="0" fontId="22" fillId="0" borderId="0" xfId="0" applyFont="1"/>
    <xf numFmtId="0" fontId="19" fillId="9" borderId="0" xfId="0" applyFont="1" applyFill="1"/>
    <xf numFmtId="0" fontId="20" fillId="22" borderId="0" xfId="0" applyFont="1" applyFill="1"/>
    <xf numFmtId="0" fontId="21" fillId="22" borderId="0" xfId="0" applyFont="1" applyFill="1"/>
    <xf numFmtId="0" fontId="19" fillId="22" borderId="0" xfId="0" applyFont="1" applyFill="1"/>
    <xf numFmtId="0" fontId="20" fillId="23" borderId="0" xfId="0" applyFont="1" applyFill="1"/>
    <xf numFmtId="0" fontId="21" fillId="23" borderId="0" xfId="0" applyFont="1" applyFill="1"/>
    <xf numFmtId="9" fontId="21" fillId="22" borderId="0" xfId="0" applyNumberFormat="1" applyFont="1" applyFill="1"/>
    <xf numFmtId="167" fontId="0" fillId="14" borderId="21" xfId="0" applyNumberFormat="1" applyFill="1" applyBorder="1"/>
    <xf numFmtId="1" fontId="0" fillId="14" borderId="21" xfId="0" applyNumberFormat="1" applyFill="1" applyBorder="1"/>
    <xf numFmtId="0" fontId="10" fillId="14" borderId="21" xfId="0" applyFont="1" applyFill="1" applyBorder="1"/>
    <xf numFmtId="49" fontId="10" fillId="14" borderId="21" xfId="0" applyNumberFormat="1" applyFont="1" applyFill="1" applyBorder="1"/>
    <xf numFmtId="49" fontId="0" fillId="0" borderId="0" xfId="0" applyNumberFormat="1"/>
    <xf numFmtId="168" fontId="0" fillId="0" borderId="0" xfId="0" applyNumberFormat="1"/>
    <xf numFmtId="169" fontId="0" fillId="0" borderId="0" xfId="0" applyNumberFormat="1"/>
    <xf numFmtId="2" fontId="3" fillId="14" borderId="21" xfId="0" applyNumberFormat="1" applyFont="1" applyFill="1" applyBorder="1"/>
    <xf numFmtId="0" fontId="2" fillId="0" borderId="21" xfId="0" applyFont="1" applyBorder="1" applyAlignment="1">
      <alignment horizontal="center"/>
    </xf>
    <xf numFmtId="0" fontId="2" fillId="0" borderId="26" xfId="0" applyFont="1" applyBorder="1" applyAlignment="1">
      <alignment horizontal="center"/>
    </xf>
    <xf numFmtId="0" fontId="2" fillId="0" borderId="27" xfId="0" applyFont="1" applyBorder="1" applyAlignment="1">
      <alignment horizontal="center"/>
    </xf>
    <xf numFmtId="44" fontId="2" fillId="0" borderId="26" xfId="3" applyFont="1" applyBorder="1" applyAlignment="1">
      <alignment horizontal="center"/>
    </xf>
    <xf numFmtId="44" fontId="2" fillId="0" borderId="27" xfId="3" applyFont="1" applyBorder="1" applyAlignment="1">
      <alignment horizontal="center"/>
    </xf>
    <xf numFmtId="0" fontId="0" fillId="0" borderId="1" xfId="0" applyBorder="1" applyAlignment="1">
      <alignment horizontal="center"/>
    </xf>
    <xf numFmtId="0" fontId="11" fillId="0" borderId="23" xfId="0" applyFont="1" applyBorder="1" applyAlignment="1">
      <alignment horizontal="center"/>
    </xf>
    <xf numFmtId="1" fontId="0" fillId="0" borderId="0" xfId="0" applyNumberFormat="1"/>
    <xf numFmtId="0" fontId="0" fillId="0" borderId="0" xfId="0"/>
    <xf numFmtId="0" fontId="10" fillId="0" borderId="0" xfId="0" applyFont="1" applyAlignment="1">
      <alignment horizontal="center" vertical="center"/>
    </xf>
    <xf numFmtId="0" fontId="10" fillId="13" borderId="21" xfId="0" applyFont="1" applyFill="1" applyBorder="1" applyAlignment="1">
      <alignment horizontal="center"/>
    </xf>
    <xf numFmtId="0" fontId="10" fillId="0" borderId="21" xfId="0" applyFont="1" applyBorder="1" applyAlignment="1">
      <alignment horizontal="center"/>
    </xf>
    <xf numFmtId="0" fontId="9" fillId="13" borderId="21" xfId="0" applyFont="1" applyFill="1" applyBorder="1" applyAlignment="1">
      <alignment horizontal="center" vertical="center"/>
    </xf>
    <xf numFmtId="49" fontId="9" fillId="13" borderId="21" xfId="0" applyNumberFormat="1" applyFont="1" applyFill="1" applyBorder="1" applyAlignment="1">
      <alignment horizontal="center"/>
    </xf>
  </cellXfs>
  <cellStyles count="4">
    <cellStyle name="Currency" xfId="3" builtinId="4"/>
    <cellStyle name="Hyperlink" xfId="1" builtinId="8"/>
    <cellStyle name="Normal" xfId="0" builtinId="0"/>
    <cellStyle name="Per cent" xfId="2" builtinId="5"/>
  </cellStyles>
  <dxfs count="0"/>
  <tableStyles count="0" defaultTableStyle="TableStyleMedium2" defaultPivotStyle="PivotStyleLight16"/>
  <colors>
    <mruColors>
      <color rgb="FF8EAAD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a:t>Carbon Footprint of Lettuce Production</a:t>
            </a:r>
            <a:r>
              <a:rPr lang="en-GB" sz="1800" baseline="0"/>
              <a:t> with Deforestation Considered</a:t>
            </a:r>
            <a:endParaRPr lang="en-GB" sz="1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Fertilisers/Nutrients</c:v>
          </c:tx>
          <c:spPr>
            <a:solidFill>
              <a:schemeClr val="accent2"/>
            </a:solidFill>
            <a:ln>
              <a:noFill/>
            </a:ln>
            <a:effectLst/>
          </c:spPr>
          <c:invertIfNegative val="0"/>
          <c:cat>
            <c:strRef>
              <c:f>('Carbon Footprint Life Cycle'!$B$7,'Carbon Footprint Life Cycle'!$B$14)</c:f>
              <c:strCache>
                <c:ptCount val="2"/>
                <c:pt idx="0">
                  <c:v>Conventional Farm</c:v>
                </c:pt>
                <c:pt idx="1">
                  <c:v>Vertical Farm </c:v>
                </c:pt>
              </c:strCache>
            </c:strRef>
          </c:cat>
          <c:val>
            <c:numRef>
              <c:f>('Carbon Footprint Life Cycle'!$D$7,'Carbon Footprint Life Cycle'!$D$14)</c:f>
              <c:numCache>
                <c:formatCode>General</c:formatCode>
                <c:ptCount val="2"/>
                <c:pt idx="0">
                  <c:v>3.1015384615384616E-3</c:v>
                </c:pt>
                <c:pt idx="1">
                  <c:v>1.1948275862068963E-2</c:v>
                </c:pt>
              </c:numCache>
            </c:numRef>
          </c:val>
          <c:extLst>
            <c:ext xmlns:c16="http://schemas.microsoft.com/office/drawing/2014/chart" uri="{C3380CC4-5D6E-409C-BE32-E72D297353CC}">
              <c16:uniqueId val="{00000005-90C3-CD4B-9685-B2AC98E89123}"/>
            </c:ext>
          </c:extLst>
        </c:ser>
        <c:ser>
          <c:idx val="3"/>
          <c:order val="1"/>
          <c:tx>
            <c:v>Growing media</c:v>
          </c:tx>
          <c:spPr>
            <a:solidFill>
              <a:schemeClr val="accent4"/>
            </a:solidFill>
            <a:ln>
              <a:noFill/>
            </a:ln>
            <a:effectLst/>
          </c:spPr>
          <c:invertIfNegative val="0"/>
          <c:cat>
            <c:strRef>
              <c:f>('Carbon Footprint Life Cycle'!$B$7,'Carbon Footprint Life Cycle'!$B$14)</c:f>
              <c:strCache>
                <c:ptCount val="2"/>
                <c:pt idx="0">
                  <c:v>Conventional Farm</c:v>
                </c:pt>
                <c:pt idx="1">
                  <c:v>Vertical Farm </c:v>
                </c:pt>
              </c:strCache>
            </c:strRef>
          </c:cat>
          <c:val>
            <c:numRef>
              <c:f>('Carbon Footprint Life Cycle'!$F$7,'Carbon Footprint Life Cycle'!$F$14)</c:f>
              <c:numCache>
                <c:formatCode>General</c:formatCode>
                <c:ptCount val="2"/>
                <c:pt idx="0">
                  <c:v>0</c:v>
                </c:pt>
                <c:pt idx="1">
                  <c:v>1.5644444444444447E-2</c:v>
                </c:pt>
              </c:numCache>
            </c:numRef>
          </c:val>
          <c:extLst>
            <c:ext xmlns:c16="http://schemas.microsoft.com/office/drawing/2014/chart" uri="{C3380CC4-5D6E-409C-BE32-E72D297353CC}">
              <c16:uniqueId val="{00000007-90C3-CD4B-9685-B2AC98E89123}"/>
            </c:ext>
          </c:extLst>
        </c:ser>
        <c:ser>
          <c:idx val="4"/>
          <c:order val="2"/>
          <c:tx>
            <c:v>Water consumption</c:v>
          </c:tx>
          <c:spPr>
            <a:solidFill>
              <a:schemeClr val="accent5"/>
            </a:solidFill>
            <a:ln>
              <a:noFill/>
            </a:ln>
            <a:effectLst/>
          </c:spPr>
          <c:invertIfNegative val="0"/>
          <c:cat>
            <c:strRef>
              <c:f>('Carbon Footprint Life Cycle'!$B$7,'Carbon Footprint Life Cycle'!$B$14)</c:f>
              <c:strCache>
                <c:ptCount val="2"/>
                <c:pt idx="0">
                  <c:v>Conventional Farm</c:v>
                </c:pt>
                <c:pt idx="1">
                  <c:v>Vertical Farm </c:v>
                </c:pt>
              </c:strCache>
            </c:strRef>
          </c:cat>
          <c:val>
            <c:numRef>
              <c:f>('Carbon Footprint Life Cycle'!$G$7,'Carbon Footprint Life Cycle'!$G$14)</c:f>
              <c:numCache>
                <c:formatCode>0.000000</c:formatCode>
                <c:ptCount val="2"/>
                <c:pt idx="0" formatCode="0.00000">
                  <c:v>8.5999999999999993E-2</c:v>
                </c:pt>
                <c:pt idx="1">
                  <c:v>6.8800000000000007E-3</c:v>
                </c:pt>
              </c:numCache>
            </c:numRef>
          </c:val>
          <c:extLst>
            <c:ext xmlns:c16="http://schemas.microsoft.com/office/drawing/2014/chart" uri="{C3380CC4-5D6E-409C-BE32-E72D297353CC}">
              <c16:uniqueId val="{00000008-90C3-CD4B-9685-B2AC98E89123}"/>
            </c:ext>
          </c:extLst>
        </c:ser>
        <c:ser>
          <c:idx val="5"/>
          <c:order val="3"/>
          <c:tx>
            <c:v>Pesticides</c:v>
          </c:tx>
          <c:spPr>
            <a:solidFill>
              <a:schemeClr val="accent6"/>
            </a:solidFill>
            <a:ln>
              <a:noFill/>
            </a:ln>
            <a:effectLst/>
          </c:spPr>
          <c:invertIfNegative val="0"/>
          <c:cat>
            <c:strRef>
              <c:f>('Carbon Footprint Life Cycle'!$B$7,'Carbon Footprint Life Cycle'!$B$14)</c:f>
              <c:strCache>
                <c:ptCount val="2"/>
                <c:pt idx="0">
                  <c:v>Conventional Farm</c:v>
                </c:pt>
                <c:pt idx="1">
                  <c:v>Vertical Farm </c:v>
                </c:pt>
              </c:strCache>
            </c:strRef>
          </c:cat>
          <c:val>
            <c:numRef>
              <c:f>('Carbon Footprint Life Cycle'!$H$7,'Carbon Footprint Life Cycle'!$H$14)</c:f>
              <c:numCache>
                <c:formatCode>General</c:formatCode>
                <c:ptCount val="2"/>
                <c:pt idx="0">
                  <c:v>1.0350000000000002E-2</c:v>
                </c:pt>
                <c:pt idx="1">
                  <c:v>0</c:v>
                </c:pt>
              </c:numCache>
            </c:numRef>
          </c:val>
          <c:extLst>
            <c:ext xmlns:c16="http://schemas.microsoft.com/office/drawing/2014/chart" uri="{C3380CC4-5D6E-409C-BE32-E72D297353CC}">
              <c16:uniqueId val="{00000009-90C3-CD4B-9685-B2AC98E89123}"/>
            </c:ext>
          </c:extLst>
        </c:ser>
        <c:ser>
          <c:idx val="6"/>
          <c:order val="4"/>
          <c:tx>
            <c:v>Energy consumption</c:v>
          </c:tx>
          <c:spPr>
            <a:solidFill>
              <a:schemeClr val="accent1">
                <a:lumMod val="60000"/>
              </a:schemeClr>
            </a:solidFill>
            <a:ln>
              <a:noFill/>
            </a:ln>
            <a:effectLst/>
          </c:spPr>
          <c:invertIfNegative val="0"/>
          <c:cat>
            <c:strRef>
              <c:f>('Carbon Footprint Life Cycle'!$B$7,'Carbon Footprint Life Cycle'!$B$14)</c:f>
              <c:strCache>
                <c:ptCount val="2"/>
                <c:pt idx="0">
                  <c:v>Conventional Farm</c:v>
                </c:pt>
                <c:pt idx="1">
                  <c:v>Vertical Farm </c:v>
                </c:pt>
              </c:strCache>
            </c:strRef>
          </c:cat>
          <c:val>
            <c:numRef>
              <c:f>('Carbon Footprint Life Cycle'!$J$7,'Carbon Footprint Life Cycle'!$J$14)</c:f>
              <c:numCache>
                <c:formatCode>General</c:formatCode>
                <c:ptCount val="2"/>
                <c:pt idx="0">
                  <c:v>5.1027818599999997E-2</c:v>
                </c:pt>
                <c:pt idx="1">
                  <c:v>3.2597713615618651</c:v>
                </c:pt>
              </c:numCache>
            </c:numRef>
          </c:val>
          <c:extLst>
            <c:ext xmlns:c16="http://schemas.microsoft.com/office/drawing/2014/chart" uri="{C3380CC4-5D6E-409C-BE32-E72D297353CC}">
              <c16:uniqueId val="{0000000A-90C3-CD4B-9685-B2AC98E89123}"/>
            </c:ext>
          </c:extLst>
        </c:ser>
        <c:ser>
          <c:idx val="7"/>
          <c:order val="5"/>
          <c:tx>
            <c:v>Petrol for machinery</c:v>
          </c:tx>
          <c:spPr>
            <a:solidFill>
              <a:schemeClr val="accent2">
                <a:lumMod val="60000"/>
              </a:schemeClr>
            </a:solidFill>
            <a:ln>
              <a:noFill/>
            </a:ln>
            <a:effectLst/>
          </c:spPr>
          <c:invertIfNegative val="0"/>
          <c:cat>
            <c:strRef>
              <c:f>('Carbon Footprint Life Cycle'!$B$7,'Carbon Footprint Life Cycle'!$B$14)</c:f>
              <c:strCache>
                <c:ptCount val="2"/>
                <c:pt idx="0">
                  <c:v>Conventional Farm</c:v>
                </c:pt>
                <c:pt idx="1">
                  <c:v>Vertical Farm </c:v>
                </c:pt>
              </c:strCache>
            </c:strRef>
          </c:cat>
          <c:val>
            <c:numRef>
              <c:f>('Carbon Footprint Life Cycle'!$I$7,'Carbon Footprint Life Cycle'!$I$14)</c:f>
              <c:numCache>
                <c:formatCode>General</c:formatCode>
                <c:ptCount val="2"/>
                <c:pt idx="0">
                  <c:v>5.5384615384615381E-3</c:v>
                </c:pt>
                <c:pt idx="1">
                  <c:v>0</c:v>
                </c:pt>
              </c:numCache>
            </c:numRef>
          </c:val>
          <c:extLst>
            <c:ext xmlns:c16="http://schemas.microsoft.com/office/drawing/2014/chart" uri="{C3380CC4-5D6E-409C-BE32-E72D297353CC}">
              <c16:uniqueId val="{0000000B-90C3-CD4B-9685-B2AC98E89123}"/>
            </c:ext>
          </c:extLst>
        </c:ser>
        <c:ser>
          <c:idx val="12"/>
          <c:order val="6"/>
          <c:tx>
            <c:v>Waste</c:v>
          </c:tx>
          <c:spPr>
            <a:solidFill>
              <a:schemeClr val="accent1">
                <a:lumMod val="80000"/>
                <a:lumOff val="20000"/>
              </a:schemeClr>
            </a:solidFill>
            <a:ln>
              <a:noFill/>
            </a:ln>
            <a:effectLst/>
          </c:spPr>
          <c:invertIfNegative val="0"/>
          <c:cat>
            <c:strRef>
              <c:f>('Carbon Footprint Life Cycle'!$B$7,'Carbon Footprint Life Cycle'!$B$14)</c:f>
              <c:strCache>
                <c:ptCount val="2"/>
                <c:pt idx="0">
                  <c:v>Conventional Farm</c:v>
                </c:pt>
                <c:pt idx="1">
                  <c:v>Vertical Farm </c:v>
                </c:pt>
              </c:strCache>
            </c:strRef>
          </c:cat>
          <c:val>
            <c:numRef>
              <c:f>('Carbon Footprint Life Cycle'!$P$7,'Carbon Footprint Life Cycle'!$P$14)</c:f>
              <c:numCache>
                <c:formatCode>General</c:formatCode>
                <c:ptCount val="2"/>
                <c:pt idx="0">
                  <c:v>0.46</c:v>
                </c:pt>
                <c:pt idx="1">
                  <c:v>0.49495036228025668</c:v>
                </c:pt>
              </c:numCache>
            </c:numRef>
          </c:val>
          <c:extLst>
            <c:ext xmlns:c16="http://schemas.microsoft.com/office/drawing/2014/chart" uri="{C3380CC4-5D6E-409C-BE32-E72D297353CC}">
              <c16:uniqueId val="{00000010-90C3-CD4B-9685-B2AC98E89123}"/>
            </c:ext>
          </c:extLst>
        </c:ser>
        <c:ser>
          <c:idx val="13"/>
          <c:order val="7"/>
          <c:tx>
            <c:v>Deforestation</c:v>
          </c:tx>
          <c:spPr>
            <a:solidFill>
              <a:schemeClr val="accent2">
                <a:lumMod val="80000"/>
                <a:lumOff val="20000"/>
              </a:schemeClr>
            </a:solidFill>
            <a:ln>
              <a:noFill/>
            </a:ln>
            <a:effectLst/>
          </c:spPr>
          <c:invertIfNegative val="0"/>
          <c:cat>
            <c:strRef>
              <c:f>('Carbon Footprint Life Cycle'!$B$7,'Carbon Footprint Life Cycle'!$B$14)</c:f>
              <c:strCache>
                <c:ptCount val="2"/>
                <c:pt idx="0">
                  <c:v>Conventional Farm</c:v>
                </c:pt>
                <c:pt idx="1">
                  <c:v>Vertical Farm </c:v>
                </c:pt>
              </c:strCache>
            </c:strRef>
          </c:cat>
          <c:val>
            <c:numRef>
              <c:f>('Carbon Footprint Life Cycle'!$Q$7,'Carbon Footprint Life Cycle'!$Q$14)</c:f>
              <c:numCache>
                <c:formatCode>General</c:formatCode>
                <c:ptCount val="2"/>
                <c:pt idx="0">
                  <c:v>3.9086057046824658</c:v>
                </c:pt>
                <c:pt idx="1">
                  <c:v>0.65345219601119986</c:v>
                </c:pt>
              </c:numCache>
            </c:numRef>
          </c:val>
          <c:extLst>
            <c:ext xmlns:c16="http://schemas.microsoft.com/office/drawing/2014/chart" uri="{C3380CC4-5D6E-409C-BE32-E72D297353CC}">
              <c16:uniqueId val="{00000011-90C3-CD4B-9685-B2AC98E89123}"/>
            </c:ext>
          </c:extLst>
        </c:ser>
        <c:ser>
          <c:idx val="8"/>
          <c:order val="8"/>
          <c:tx>
            <c:strRef>
              <c:f>'Carbon Footprint Life Cycle'!$M$4</c:f>
              <c:strCache>
                <c:ptCount val="1"/>
                <c:pt idx="0">
                  <c:v>Food Miles (km)</c:v>
                </c:pt>
              </c:strCache>
            </c:strRef>
          </c:tx>
          <c:spPr>
            <a:solidFill>
              <a:schemeClr val="accent3">
                <a:lumMod val="60000"/>
              </a:schemeClr>
            </a:solidFill>
            <a:ln>
              <a:noFill/>
            </a:ln>
            <a:effectLst/>
          </c:spPr>
          <c:invertIfNegative val="0"/>
          <c:cat>
            <c:strRef>
              <c:f>('Carbon Footprint Life Cycle'!$B$7,'Carbon Footprint Life Cycle'!$B$14)</c:f>
              <c:strCache>
                <c:ptCount val="2"/>
                <c:pt idx="0">
                  <c:v>Conventional Farm</c:v>
                </c:pt>
                <c:pt idx="1">
                  <c:v>Vertical Farm </c:v>
                </c:pt>
              </c:strCache>
            </c:strRef>
          </c:cat>
          <c:val>
            <c:numRef>
              <c:f>('Carbon Footprint Life Cycle'!$M$7,'Carbon Footprint Life Cycle'!$M$14)</c:f>
              <c:numCache>
                <c:formatCode>General</c:formatCode>
                <c:ptCount val="2"/>
                <c:pt idx="0">
                  <c:v>0.52080000000000004</c:v>
                </c:pt>
                <c:pt idx="1">
                  <c:v>5.4249999999999993E-3</c:v>
                </c:pt>
              </c:numCache>
            </c:numRef>
          </c:val>
          <c:extLst>
            <c:ext xmlns:c16="http://schemas.microsoft.com/office/drawing/2014/chart" uri="{C3380CC4-5D6E-409C-BE32-E72D297353CC}">
              <c16:uniqueId val="{0000003C-90C3-CD4B-9685-B2AC98E89123}"/>
            </c:ext>
          </c:extLst>
        </c:ser>
        <c:dLbls>
          <c:showLegendKey val="0"/>
          <c:showVal val="0"/>
          <c:showCatName val="0"/>
          <c:showSerName val="0"/>
          <c:showPercent val="0"/>
          <c:showBubbleSize val="0"/>
        </c:dLbls>
        <c:gapWidth val="150"/>
        <c:overlap val="100"/>
        <c:axId val="1029260271"/>
        <c:axId val="1029261919"/>
      </c:barChart>
      <c:catAx>
        <c:axId val="1029260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261919"/>
        <c:crosses val="autoZero"/>
        <c:auto val="1"/>
        <c:lblAlgn val="ctr"/>
        <c:lblOffset val="100"/>
        <c:noMultiLvlLbl val="0"/>
      </c:catAx>
      <c:valAx>
        <c:axId val="1029261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800"/>
                  <a:t>kg of CO2e emissions</a:t>
                </a:r>
                <a:r>
                  <a:rPr lang="en-GB" sz="1800" baseline="0"/>
                  <a:t> per kg of lettuce</a:t>
                </a:r>
                <a:endParaRPr lang="en-GB" sz="18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260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0" i="0" baseline="0">
                <a:effectLst/>
              </a:rPr>
              <a:t>Carbon Footprint of Lettuce Production without Deforestation Considered</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Fertilisers/Nutrients</c:v>
          </c:tx>
          <c:spPr>
            <a:solidFill>
              <a:schemeClr val="accent2"/>
            </a:solidFill>
            <a:ln>
              <a:noFill/>
            </a:ln>
            <a:effectLst/>
          </c:spPr>
          <c:invertIfNegative val="0"/>
          <c:cat>
            <c:strRef>
              <c:f>('Carbon Footprint Life Cycle'!$B$7,'Carbon Footprint Life Cycle'!$B$14)</c:f>
              <c:strCache>
                <c:ptCount val="2"/>
                <c:pt idx="0">
                  <c:v>Conventional Farm</c:v>
                </c:pt>
                <c:pt idx="1">
                  <c:v>Vertical Farm </c:v>
                </c:pt>
              </c:strCache>
            </c:strRef>
          </c:cat>
          <c:val>
            <c:numRef>
              <c:f>('Carbon Footprint Life Cycle'!$D$7,'Carbon Footprint Life Cycle'!$D$14)</c:f>
              <c:numCache>
                <c:formatCode>General</c:formatCode>
                <c:ptCount val="2"/>
                <c:pt idx="0">
                  <c:v>3.1015384615384616E-3</c:v>
                </c:pt>
                <c:pt idx="1">
                  <c:v>1.1948275862068963E-2</c:v>
                </c:pt>
              </c:numCache>
            </c:numRef>
          </c:val>
          <c:extLst>
            <c:ext xmlns:c16="http://schemas.microsoft.com/office/drawing/2014/chart" uri="{C3380CC4-5D6E-409C-BE32-E72D297353CC}">
              <c16:uniqueId val="{00000001-D394-BA41-AFC0-DDAA54889B93}"/>
            </c:ext>
          </c:extLst>
        </c:ser>
        <c:ser>
          <c:idx val="3"/>
          <c:order val="1"/>
          <c:tx>
            <c:v>Growing media</c:v>
          </c:tx>
          <c:spPr>
            <a:solidFill>
              <a:schemeClr val="accent4"/>
            </a:solidFill>
            <a:ln>
              <a:noFill/>
            </a:ln>
            <a:effectLst/>
          </c:spPr>
          <c:invertIfNegative val="0"/>
          <c:cat>
            <c:strRef>
              <c:f>('Carbon Footprint Life Cycle'!$B$7,'Carbon Footprint Life Cycle'!$B$14)</c:f>
              <c:strCache>
                <c:ptCount val="2"/>
                <c:pt idx="0">
                  <c:v>Conventional Farm</c:v>
                </c:pt>
                <c:pt idx="1">
                  <c:v>Vertical Farm </c:v>
                </c:pt>
              </c:strCache>
            </c:strRef>
          </c:cat>
          <c:val>
            <c:numRef>
              <c:f>('Carbon Footprint Life Cycle'!$F$7,'Carbon Footprint Life Cycle'!$F$14)</c:f>
              <c:numCache>
                <c:formatCode>General</c:formatCode>
                <c:ptCount val="2"/>
                <c:pt idx="0">
                  <c:v>0</c:v>
                </c:pt>
                <c:pt idx="1">
                  <c:v>1.5644444444444447E-2</c:v>
                </c:pt>
              </c:numCache>
            </c:numRef>
          </c:val>
          <c:extLst>
            <c:ext xmlns:c16="http://schemas.microsoft.com/office/drawing/2014/chart" uri="{C3380CC4-5D6E-409C-BE32-E72D297353CC}">
              <c16:uniqueId val="{00000003-D394-BA41-AFC0-DDAA54889B93}"/>
            </c:ext>
          </c:extLst>
        </c:ser>
        <c:ser>
          <c:idx val="4"/>
          <c:order val="2"/>
          <c:tx>
            <c:v>Water consumption</c:v>
          </c:tx>
          <c:spPr>
            <a:solidFill>
              <a:schemeClr val="accent5"/>
            </a:solidFill>
            <a:ln>
              <a:noFill/>
            </a:ln>
            <a:effectLst/>
          </c:spPr>
          <c:invertIfNegative val="0"/>
          <c:cat>
            <c:strRef>
              <c:f>('Carbon Footprint Life Cycle'!$B$7,'Carbon Footprint Life Cycle'!$B$14)</c:f>
              <c:strCache>
                <c:ptCount val="2"/>
                <c:pt idx="0">
                  <c:v>Conventional Farm</c:v>
                </c:pt>
                <c:pt idx="1">
                  <c:v>Vertical Farm </c:v>
                </c:pt>
              </c:strCache>
            </c:strRef>
          </c:cat>
          <c:val>
            <c:numRef>
              <c:f>('Carbon Footprint Life Cycle'!$G$7,'Carbon Footprint Life Cycle'!$G$14)</c:f>
              <c:numCache>
                <c:formatCode>0.000000</c:formatCode>
                <c:ptCount val="2"/>
                <c:pt idx="0" formatCode="0.00000">
                  <c:v>8.5999999999999993E-2</c:v>
                </c:pt>
                <c:pt idx="1">
                  <c:v>6.8800000000000007E-3</c:v>
                </c:pt>
              </c:numCache>
            </c:numRef>
          </c:val>
          <c:extLst>
            <c:ext xmlns:c16="http://schemas.microsoft.com/office/drawing/2014/chart" uri="{C3380CC4-5D6E-409C-BE32-E72D297353CC}">
              <c16:uniqueId val="{00000004-D394-BA41-AFC0-DDAA54889B93}"/>
            </c:ext>
          </c:extLst>
        </c:ser>
        <c:ser>
          <c:idx val="5"/>
          <c:order val="3"/>
          <c:tx>
            <c:v>Pesticides</c:v>
          </c:tx>
          <c:spPr>
            <a:solidFill>
              <a:schemeClr val="accent6"/>
            </a:solidFill>
            <a:ln>
              <a:noFill/>
            </a:ln>
            <a:effectLst/>
          </c:spPr>
          <c:invertIfNegative val="0"/>
          <c:cat>
            <c:strRef>
              <c:f>('Carbon Footprint Life Cycle'!$B$7,'Carbon Footprint Life Cycle'!$B$14)</c:f>
              <c:strCache>
                <c:ptCount val="2"/>
                <c:pt idx="0">
                  <c:v>Conventional Farm</c:v>
                </c:pt>
                <c:pt idx="1">
                  <c:v>Vertical Farm </c:v>
                </c:pt>
              </c:strCache>
            </c:strRef>
          </c:cat>
          <c:val>
            <c:numRef>
              <c:f>('Carbon Footprint Life Cycle'!$H$7,'Carbon Footprint Life Cycle'!$H$14)</c:f>
              <c:numCache>
                <c:formatCode>General</c:formatCode>
                <c:ptCount val="2"/>
                <c:pt idx="0">
                  <c:v>1.0350000000000002E-2</c:v>
                </c:pt>
                <c:pt idx="1">
                  <c:v>0</c:v>
                </c:pt>
              </c:numCache>
            </c:numRef>
          </c:val>
          <c:extLst>
            <c:ext xmlns:c16="http://schemas.microsoft.com/office/drawing/2014/chart" uri="{C3380CC4-5D6E-409C-BE32-E72D297353CC}">
              <c16:uniqueId val="{00000005-D394-BA41-AFC0-DDAA54889B93}"/>
            </c:ext>
          </c:extLst>
        </c:ser>
        <c:ser>
          <c:idx val="6"/>
          <c:order val="4"/>
          <c:tx>
            <c:v>Energy consumption</c:v>
          </c:tx>
          <c:spPr>
            <a:solidFill>
              <a:schemeClr val="accent1">
                <a:lumMod val="60000"/>
              </a:schemeClr>
            </a:solidFill>
            <a:ln>
              <a:noFill/>
            </a:ln>
            <a:effectLst/>
          </c:spPr>
          <c:invertIfNegative val="0"/>
          <c:cat>
            <c:strRef>
              <c:f>('Carbon Footprint Life Cycle'!$B$7,'Carbon Footprint Life Cycle'!$B$14)</c:f>
              <c:strCache>
                <c:ptCount val="2"/>
                <c:pt idx="0">
                  <c:v>Conventional Farm</c:v>
                </c:pt>
                <c:pt idx="1">
                  <c:v>Vertical Farm </c:v>
                </c:pt>
              </c:strCache>
            </c:strRef>
          </c:cat>
          <c:val>
            <c:numRef>
              <c:f>('Carbon Footprint Life Cycle'!$J$7,'Carbon Footprint Life Cycle'!$J$14)</c:f>
              <c:numCache>
                <c:formatCode>General</c:formatCode>
                <c:ptCount val="2"/>
                <c:pt idx="0">
                  <c:v>5.1027818599999997E-2</c:v>
                </c:pt>
                <c:pt idx="1">
                  <c:v>3.2597713615618651</c:v>
                </c:pt>
              </c:numCache>
            </c:numRef>
          </c:val>
          <c:extLst>
            <c:ext xmlns:c16="http://schemas.microsoft.com/office/drawing/2014/chart" uri="{C3380CC4-5D6E-409C-BE32-E72D297353CC}">
              <c16:uniqueId val="{00000006-D394-BA41-AFC0-DDAA54889B93}"/>
            </c:ext>
          </c:extLst>
        </c:ser>
        <c:ser>
          <c:idx val="7"/>
          <c:order val="5"/>
          <c:tx>
            <c:v>Petrol for machinery</c:v>
          </c:tx>
          <c:spPr>
            <a:solidFill>
              <a:schemeClr val="accent2">
                <a:lumMod val="60000"/>
              </a:schemeClr>
            </a:solidFill>
            <a:ln>
              <a:noFill/>
            </a:ln>
            <a:effectLst/>
          </c:spPr>
          <c:invertIfNegative val="0"/>
          <c:cat>
            <c:strRef>
              <c:f>('Carbon Footprint Life Cycle'!$B$7,'Carbon Footprint Life Cycle'!$B$14)</c:f>
              <c:strCache>
                <c:ptCount val="2"/>
                <c:pt idx="0">
                  <c:v>Conventional Farm</c:v>
                </c:pt>
                <c:pt idx="1">
                  <c:v>Vertical Farm </c:v>
                </c:pt>
              </c:strCache>
            </c:strRef>
          </c:cat>
          <c:val>
            <c:numRef>
              <c:f>('Carbon Footprint Life Cycle'!$I$7,'Carbon Footprint Life Cycle'!$I$14)</c:f>
              <c:numCache>
                <c:formatCode>General</c:formatCode>
                <c:ptCount val="2"/>
                <c:pt idx="0">
                  <c:v>5.5384615384615381E-3</c:v>
                </c:pt>
                <c:pt idx="1">
                  <c:v>0</c:v>
                </c:pt>
              </c:numCache>
            </c:numRef>
          </c:val>
          <c:extLst>
            <c:ext xmlns:c16="http://schemas.microsoft.com/office/drawing/2014/chart" uri="{C3380CC4-5D6E-409C-BE32-E72D297353CC}">
              <c16:uniqueId val="{00000007-D394-BA41-AFC0-DDAA54889B93}"/>
            </c:ext>
          </c:extLst>
        </c:ser>
        <c:ser>
          <c:idx val="12"/>
          <c:order val="6"/>
          <c:tx>
            <c:v>Waste</c:v>
          </c:tx>
          <c:spPr>
            <a:solidFill>
              <a:schemeClr val="accent1">
                <a:lumMod val="80000"/>
                <a:lumOff val="20000"/>
              </a:schemeClr>
            </a:solidFill>
            <a:ln>
              <a:noFill/>
            </a:ln>
            <a:effectLst/>
          </c:spPr>
          <c:invertIfNegative val="0"/>
          <c:cat>
            <c:strRef>
              <c:f>('Carbon Footprint Life Cycle'!$B$7,'Carbon Footprint Life Cycle'!$B$14)</c:f>
              <c:strCache>
                <c:ptCount val="2"/>
                <c:pt idx="0">
                  <c:v>Conventional Farm</c:v>
                </c:pt>
                <c:pt idx="1">
                  <c:v>Vertical Farm </c:v>
                </c:pt>
              </c:strCache>
            </c:strRef>
          </c:cat>
          <c:val>
            <c:numRef>
              <c:f>('Carbon Footprint Life Cycle'!$P$7,'Carbon Footprint Life Cycle'!$P$14)</c:f>
              <c:numCache>
                <c:formatCode>General</c:formatCode>
                <c:ptCount val="2"/>
                <c:pt idx="0">
                  <c:v>0.46</c:v>
                </c:pt>
                <c:pt idx="1">
                  <c:v>0.49495036228025668</c:v>
                </c:pt>
              </c:numCache>
            </c:numRef>
          </c:val>
          <c:extLst>
            <c:ext xmlns:c16="http://schemas.microsoft.com/office/drawing/2014/chart" uri="{C3380CC4-5D6E-409C-BE32-E72D297353CC}">
              <c16:uniqueId val="{0000000C-D394-BA41-AFC0-DDAA54889B93}"/>
            </c:ext>
          </c:extLst>
        </c:ser>
        <c:ser>
          <c:idx val="8"/>
          <c:order val="7"/>
          <c:tx>
            <c:strRef>
              <c:f>'Carbon Footprint Life Cycle'!$M$4</c:f>
              <c:strCache>
                <c:ptCount val="1"/>
                <c:pt idx="0">
                  <c:v>Food Miles (km)</c:v>
                </c:pt>
              </c:strCache>
            </c:strRef>
          </c:tx>
          <c:spPr>
            <a:solidFill>
              <a:schemeClr val="accent3">
                <a:lumMod val="60000"/>
              </a:schemeClr>
            </a:solidFill>
            <a:ln>
              <a:noFill/>
            </a:ln>
            <a:effectLst/>
          </c:spPr>
          <c:invertIfNegative val="0"/>
          <c:cat>
            <c:strRef>
              <c:f>('Carbon Footprint Life Cycle'!$B$7,'Carbon Footprint Life Cycle'!$B$14)</c:f>
              <c:strCache>
                <c:ptCount val="2"/>
                <c:pt idx="0">
                  <c:v>Conventional Farm</c:v>
                </c:pt>
                <c:pt idx="1">
                  <c:v>Vertical Farm </c:v>
                </c:pt>
              </c:strCache>
            </c:strRef>
          </c:cat>
          <c:val>
            <c:numRef>
              <c:f>('Carbon Footprint Life Cycle'!$M$7,'Carbon Footprint Life Cycle'!$M$14)</c:f>
              <c:numCache>
                <c:formatCode>General</c:formatCode>
                <c:ptCount val="2"/>
                <c:pt idx="0">
                  <c:v>0.52080000000000004</c:v>
                </c:pt>
                <c:pt idx="1">
                  <c:v>5.4249999999999993E-3</c:v>
                </c:pt>
              </c:numCache>
            </c:numRef>
          </c:val>
          <c:extLst>
            <c:ext xmlns:c16="http://schemas.microsoft.com/office/drawing/2014/chart" uri="{C3380CC4-5D6E-409C-BE32-E72D297353CC}">
              <c16:uniqueId val="{0000000F-D394-BA41-AFC0-DDAA54889B93}"/>
            </c:ext>
          </c:extLst>
        </c:ser>
        <c:dLbls>
          <c:showLegendKey val="0"/>
          <c:showVal val="0"/>
          <c:showCatName val="0"/>
          <c:showSerName val="0"/>
          <c:showPercent val="0"/>
          <c:showBubbleSize val="0"/>
        </c:dLbls>
        <c:gapWidth val="150"/>
        <c:overlap val="100"/>
        <c:axId val="1029260271"/>
        <c:axId val="1029261919"/>
      </c:barChart>
      <c:catAx>
        <c:axId val="1029260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261919"/>
        <c:crosses val="autoZero"/>
        <c:auto val="1"/>
        <c:lblAlgn val="ctr"/>
        <c:lblOffset val="100"/>
        <c:noMultiLvlLbl val="0"/>
      </c:catAx>
      <c:valAx>
        <c:axId val="1029261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800" b="0" i="0" baseline="0">
                    <a:effectLst/>
                  </a:rPr>
                  <a:t>kg of CO2e emissions per kg of lettuce</a:t>
                </a:r>
                <a:endParaRPr lang="en-GB">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260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a:t>Carbon Footprint of Lettuce Production</a:t>
            </a:r>
            <a:r>
              <a:rPr lang="en-GB" sz="1800" baseline="0"/>
              <a:t> with Deforestation Considered</a:t>
            </a:r>
            <a:endParaRPr lang="en-GB" sz="1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Fertilisers/Nutrients</c:v>
          </c:tx>
          <c:spPr>
            <a:solidFill>
              <a:schemeClr val="accent2"/>
            </a:solidFill>
            <a:ln>
              <a:noFill/>
            </a:ln>
            <a:effectLst/>
          </c:spPr>
          <c:invertIfNegative val="0"/>
          <c:cat>
            <c:strRef>
              <c:f>('Carbon Footprint Life Cycle'!$B$7,'Carbon Footprint Life Cycle'!$B$14)</c:f>
              <c:strCache>
                <c:ptCount val="2"/>
                <c:pt idx="0">
                  <c:v>Conventional Farm</c:v>
                </c:pt>
                <c:pt idx="1">
                  <c:v>Vertical Farm </c:v>
                </c:pt>
              </c:strCache>
            </c:strRef>
          </c:cat>
          <c:val>
            <c:numRef>
              <c:f>('Carbon Footprint Life Cycle'!$D$7,'Carbon Footprint Life Cycle'!$D$14)</c:f>
              <c:numCache>
                <c:formatCode>General</c:formatCode>
                <c:ptCount val="2"/>
                <c:pt idx="0">
                  <c:v>3.1015384615384616E-3</c:v>
                </c:pt>
                <c:pt idx="1">
                  <c:v>1.1948275862068963E-2</c:v>
                </c:pt>
              </c:numCache>
            </c:numRef>
          </c:val>
          <c:extLst>
            <c:ext xmlns:c16="http://schemas.microsoft.com/office/drawing/2014/chart" uri="{C3380CC4-5D6E-409C-BE32-E72D297353CC}">
              <c16:uniqueId val="{00000000-2EE8-134C-9F07-2AF922021B7F}"/>
            </c:ext>
          </c:extLst>
        </c:ser>
        <c:ser>
          <c:idx val="3"/>
          <c:order val="1"/>
          <c:tx>
            <c:v>Growing media</c:v>
          </c:tx>
          <c:spPr>
            <a:solidFill>
              <a:schemeClr val="accent4"/>
            </a:solidFill>
            <a:ln>
              <a:noFill/>
            </a:ln>
            <a:effectLst/>
          </c:spPr>
          <c:invertIfNegative val="0"/>
          <c:cat>
            <c:strRef>
              <c:f>('Carbon Footprint Life Cycle'!$B$7,'Carbon Footprint Life Cycle'!$B$14)</c:f>
              <c:strCache>
                <c:ptCount val="2"/>
                <c:pt idx="0">
                  <c:v>Conventional Farm</c:v>
                </c:pt>
                <c:pt idx="1">
                  <c:v>Vertical Farm </c:v>
                </c:pt>
              </c:strCache>
            </c:strRef>
          </c:cat>
          <c:val>
            <c:numRef>
              <c:f>('Carbon Footprint Life Cycle'!$F$7,'Carbon Footprint Life Cycle'!$F$14)</c:f>
              <c:numCache>
                <c:formatCode>General</c:formatCode>
                <c:ptCount val="2"/>
                <c:pt idx="0">
                  <c:v>0</c:v>
                </c:pt>
                <c:pt idx="1">
                  <c:v>1.5644444444444447E-2</c:v>
                </c:pt>
              </c:numCache>
            </c:numRef>
          </c:val>
          <c:extLst>
            <c:ext xmlns:c16="http://schemas.microsoft.com/office/drawing/2014/chart" uri="{C3380CC4-5D6E-409C-BE32-E72D297353CC}">
              <c16:uniqueId val="{00000001-2EE8-134C-9F07-2AF922021B7F}"/>
            </c:ext>
          </c:extLst>
        </c:ser>
        <c:ser>
          <c:idx val="4"/>
          <c:order val="2"/>
          <c:tx>
            <c:v>Water consumption</c:v>
          </c:tx>
          <c:spPr>
            <a:solidFill>
              <a:schemeClr val="accent5"/>
            </a:solidFill>
            <a:ln>
              <a:noFill/>
            </a:ln>
            <a:effectLst/>
          </c:spPr>
          <c:invertIfNegative val="0"/>
          <c:cat>
            <c:strRef>
              <c:f>('Carbon Footprint Life Cycle'!$B$7,'Carbon Footprint Life Cycle'!$B$14)</c:f>
              <c:strCache>
                <c:ptCount val="2"/>
                <c:pt idx="0">
                  <c:v>Conventional Farm</c:v>
                </c:pt>
                <c:pt idx="1">
                  <c:v>Vertical Farm </c:v>
                </c:pt>
              </c:strCache>
            </c:strRef>
          </c:cat>
          <c:val>
            <c:numRef>
              <c:f>('Carbon Footprint Life Cycle'!$G$7,'Carbon Footprint Life Cycle'!$G$14)</c:f>
              <c:numCache>
                <c:formatCode>0.000000</c:formatCode>
                <c:ptCount val="2"/>
                <c:pt idx="0" formatCode="0.00000">
                  <c:v>8.5999999999999993E-2</c:v>
                </c:pt>
                <c:pt idx="1">
                  <c:v>6.8800000000000007E-3</c:v>
                </c:pt>
              </c:numCache>
            </c:numRef>
          </c:val>
          <c:extLst>
            <c:ext xmlns:c16="http://schemas.microsoft.com/office/drawing/2014/chart" uri="{C3380CC4-5D6E-409C-BE32-E72D297353CC}">
              <c16:uniqueId val="{00000002-2EE8-134C-9F07-2AF922021B7F}"/>
            </c:ext>
          </c:extLst>
        </c:ser>
        <c:ser>
          <c:idx val="5"/>
          <c:order val="3"/>
          <c:tx>
            <c:v>Pesticides</c:v>
          </c:tx>
          <c:spPr>
            <a:solidFill>
              <a:schemeClr val="accent6"/>
            </a:solidFill>
            <a:ln>
              <a:noFill/>
            </a:ln>
            <a:effectLst/>
          </c:spPr>
          <c:invertIfNegative val="0"/>
          <c:cat>
            <c:strRef>
              <c:f>('Carbon Footprint Life Cycle'!$B$7,'Carbon Footprint Life Cycle'!$B$14)</c:f>
              <c:strCache>
                <c:ptCount val="2"/>
                <c:pt idx="0">
                  <c:v>Conventional Farm</c:v>
                </c:pt>
                <c:pt idx="1">
                  <c:v>Vertical Farm </c:v>
                </c:pt>
              </c:strCache>
            </c:strRef>
          </c:cat>
          <c:val>
            <c:numRef>
              <c:f>('Carbon Footprint Life Cycle'!$H$7,'Carbon Footprint Life Cycle'!$H$14)</c:f>
              <c:numCache>
                <c:formatCode>General</c:formatCode>
                <c:ptCount val="2"/>
                <c:pt idx="0">
                  <c:v>1.0350000000000002E-2</c:v>
                </c:pt>
                <c:pt idx="1">
                  <c:v>0</c:v>
                </c:pt>
              </c:numCache>
            </c:numRef>
          </c:val>
          <c:extLst>
            <c:ext xmlns:c16="http://schemas.microsoft.com/office/drawing/2014/chart" uri="{C3380CC4-5D6E-409C-BE32-E72D297353CC}">
              <c16:uniqueId val="{00000003-2EE8-134C-9F07-2AF922021B7F}"/>
            </c:ext>
          </c:extLst>
        </c:ser>
        <c:ser>
          <c:idx val="6"/>
          <c:order val="4"/>
          <c:tx>
            <c:v>Energy consumption</c:v>
          </c:tx>
          <c:spPr>
            <a:solidFill>
              <a:schemeClr val="accent1">
                <a:lumMod val="60000"/>
              </a:schemeClr>
            </a:solidFill>
            <a:ln>
              <a:noFill/>
            </a:ln>
            <a:effectLst/>
          </c:spPr>
          <c:invertIfNegative val="0"/>
          <c:cat>
            <c:strRef>
              <c:f>('Carbon Footprint Life Cycle'!$B$7,'Carbon Footprint Life Cycle'!$B$14)</c:f>
              <c:strCache>
                <c:ptCount val="2"/>
                <c:pt idx="0">
                  <c:v>Conventional Farm</c:v>
                </c:pt>
                <c:pt idx="1">
                  <c:v>Vertical Farm </c:v>
                </c:pt>
              </c:strCache>
            </c:strRef>
          </c:cat>
          <c:val>
            <c:numRef>
              <c:f>('Carbon Footprint Life Cycle'!$J$7,'Carbon Footprint Life Cycle'!$J$14)</c:f>
              <c:numCache>
                <c:formatCode>General</c:formatCode>
                <c:ptCount val="2"/>
                <c:pt idx="0">
                  <c:v>5.1027818599999997E-2</c:v>
                </c:pt>
                <c:pt idx="1">
                  <c:v>3.2597713615618651</c:v>
                </c:pt>
              </c:numCache>
            </c:numRef>
          </c:val>
          <c:extLst>
            <c:ext xmlns:c16="http://schemas.microsoft.com/office/drawing/2014/chart" uri="{C3380CC4-5D6E-409C-BE32-E72D297353CC}">
              <c16:uniqueId val="{00000004-2EE8-134C-9F07-2AF922021B7F}"/>
            </c:ext>
          </c:extLst>
        </c:ser>
        <c:ser>
          <c:idx val="7"/>
          <c:order val="5"/>
          <c:tx>
            <c:v>Petrol for machinery</c:v>
          </c:tx>
          <c:spPr>
            <a:solidFill>
              <a:schemeClr val="accent2">
                <a:lumMod val="60000"/>
              </a:schemeClr>
            </a:solidFill>
            <a:ln>
              <a:noFill/>
            </a:ln>
            <a:effectLst/>
          </c:spPr>
          <c:invertIfNegative val="0"/>
          <c:cat>
            <c:strRef>
              <c:f>('Carbon Footprint Life Cycle'!$B$7,'Carbon Footprint Life Cycle'!$B$14)</c:f>
              <c:strCache>
                <c:ptCount val="2"/>
                <c:pt idx="0">
                  <c:v>Conventional Farm</c:v>
                </c:pt>
                <c:pt idx="1">
                  <c:v>Vertical Farm </c:v>
                </c:pt>
              </c:strCache>
            </c:strRef>
          </c:cat>
          <c:val>
            <c:numRef>
              <c:f>('Carbon Footprint Life Cycle'!$I$7,'Carbon Footprint Life Cycle'!$I$14)</c:f>
              <c:numCache>
                <c:formatCode>General</c:formatCode>
                <c:ptCount val="2"/>
                <c:pt idx="0">
                  <c:v>5.5384615384615381E-3</c:v>
                </c:pt>
                <c:pt idx="1">
                  <c:v>0</c:v>
                </c:pt>
              </c:numCache>
            </c:numRef>
          </c:val>
          <c:extLst>
            <c:ext xmlns:c16="http://schemas.microsoft.com/office/drawing/2014/chart" uri="{C3380CC4-5D6E-409C-BE32-E72D297353CC}">
              <c16:uniqueId val="{00000005-2EE8-134C-9F07-2AF922021B7F}"/>
            </c:ext>
          </c:extLst>
        </c:ser>
        <c:ser>
          <c:idx val="12"/>
          <c:order val="6"/>
          <c:tx>
            <c:v>Waste</c:v>
          </c:tx>
          <c:spPr>
            <a:solidFill>
              <a:schemeClr val="accent1">
                <a:lumMod val="80000"/>
                <a:lumOff val="20000"/>
              </a:schemeClr>
            </a:solidFill>
            <a:ln>
              <a:noFill/>
            </a:ln>
            <a:effectLst/>
          </c:spPr>
          <c:invertIfNegative val="0"/>
          <c:cat>
            <c:strRef>
              <c:f>('Carbon Footprint Life Cycle'!$B$7,'Carbon Footprint Life Cycle'!$B$14)</c:f>
              <c:strCache>
                <c:ptCount val="2"/>
                <c:pt idx="0">
                  <c:v>Conventional Farm</c:v>
                </c:pt>
                <c:pt idx="1">
                  <c:v>Vertical Farm </c:v>
                </c:pt>
              </c:strCache>
            </c:strRef>
          </c:cat>
          <c:val>
            <c:numRef>
              <c:f>('Carbon Footprint Life Cycle'!$P$7,'Carbon Footprint Life Cycle'!$P$14)</c:f>
              <c:numCache>
                <c:formatCode>General</c:formatCode>
                <c:ptCount val="2"/>
                <c:pt idx="0">
                  <c:v>0.46</c:v>
                </c:pt>
                <c:pt idx="1">
                  <c:v>0.49495036228025668</c:v>
                </c:pt>
              </c:numCache>
            </c:numRef>
          </c:val>
          <c:extLst>
            <c:ext xmlns:c16="http://schemas.microsoft.com/office/drawing/2014/chart" uri="{C3380CC4-5D6E-409C-BE32-E72D297353CC}">
              <c16:uniqueId val="{00000006-2EE8-134C-9F07-2AF922021B7F}"/>
            </c:ext>
          </c:extLst>
        </c:ser>
        <c:ser>
          <c:idx val="13"/>
          <c:order val="7"/>
          <c:tx>
            <c:v>Deforestation</c:v>
          </c:tx>
          <c:spPr>
            <a:solidFill>
              <a:schemeClr val="accent2">
                <a:lumMod val="80000"/>
                <a:lumOff val="20000"/>
              </a:schemeClr>
            </a:solidFill>
            <a:ln>
              <a:noFill/>
            </a:ln>
            <a:effectLst/>
          </c:spPr>
          <c:invertIfNegative val="0"/>
          <c:cat>
            <c:strRef>
              <c:f>('Carbon Footprint Life Cycle'!$B$7,'Carbon Footprint Life Cycle'!$B$14)</c:f>
              <c:strCache>
                <c:ptCount val="2"/>
                <c:pt idx="0">
                  <c:v>Conventional Farm</c:v>
                </c:pt>
                <c:pt idx="1">
                  <c:v>Vertical Farm </c:v>
                </c:pt>
              </c:strCache>
            </c:strRef>
          </c:cat>
          <c:val>
            <c:numRef>
              <c:f>('Carbon Footprint Life Cycle'!$Q$7,'Carbon Footprint Life Cycle'!$Q$14)</c:f>
              <c:numCache>
                <c:formatCode>General</c:formatCode>
                <c:ptCount val="2"/>
                <c:pt idx="0">
                  <c:v>3.9086057046824658</c:v>
                </c:pt>
                <c:pt idx="1">
                  <c:v>0.65345219601119986</c:v>
                </c:pt>
              </c:numCache>
            </c:numRef>
          </c:val>
          <c:extLst>
            <c:ext xmlns:c16="http://schemas.microsoft.com/office/drawing/2014/chart" uri="{C3380CC4-5D6E-409C-BE32-E72D297353CC}">
              <c16:uniqueId val="{00000007-2EE8-134C-9F07-2AF922021B7F}"/>
            </c:ext>
          </c:extLst>
        </c:ser>
        <c:ser>
          <c:idx val="8"/>
          <c:order val="8"/>
          <c:tx>
            <c:strRef>
              <c:f>'Carbon Footprint Life Cycle'!$M$4</c:f>
              <c:strCache>
                <c:ptCount val="1"/>
                <c:pt idx="0">
                  <c:v>Food Miles (km)</c:v>
                </c:pt>
              </c:strCache>
            </c:strRef>
          </c:tx>
          <c:spPr>
            <a:solidFill>
              <a:schemeClr val="accent3">
                <a:lumMod val="60000"/>
              </a:schemeClr>
            </a:solidFill>
            <a:ln>
              <a:noFill/>
            </a:ln>
            <a:effectLst/>
          </c:spPr>
          <c:invertIfNegative val="0"/>
          <c:cat>
            <c:strRef>
              <c:f>('Carbon Footprint Life Cycle'!$B$7,'Carbon Footprint Life Cycle'!$B$14)</c:f>
              <c:strCache>
                <c:ptCount val="2"/>
                <c:pt idx="0">
                  <c:v>Conventional Farm</c:v>
                </c:pt>
                <c:pt idx="1">
                  <c:v>Vertical Farm </c:v>
                </c:pt>
              </c:strCache>
            </c:strRef>
          </c:cat>
          <c:val>
            <c:numRef>
              <c:f>('Carbon Footprint Life Cycle'!$M$7,'Carbon Footprint Life Cycle'!$M$14)</c:f>
              <c:numCache>
                <c:formatCode>General</c:formatCode>
                <c:ptCount val="2"/>
                <c:pt idx="0">
                  <c:v>0.52080000000000004</c:v>
                </c:pt>
                <c:pt idx="1">
                  <c:v>5.4249999999999993E-3</c:v>
                </c:pt>
              </c:numCache>
            </c:numRef>
          </c:val>
          <c:extLst>
            <c:ext xmlns:c16="http://schemas.microsoft.com/office/drawing/2014/chart" uri="{C3380CC4-5D6E-409C-BE32-E72D297353CC}">
              <c16:uniqueId val="{00000008-2EE8-134C-9F07-2AF922021B7F}"/>
            </c:ext>
          </c:extLst>
        </c:ser>
        <c:dLbls>
          <c:showLegendKey val="0"/>
          <c:showVal val="0"/>
          <c:showCatName val="0"/>
          <c:showSerName val="0"/>
          <c:showPercent val="0"/>
          <c:showBubbleSize val="0"/>
        </c:dLbls>
        <c:gapWidth val="150"/>
        <c:overlap val="100"/>
        <c:axId val="1029260271"/>
        <c:axId val="1029261919"/>
      </c:barChart>
      <c:catAx>
        <c:axId val="1029260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261919"/>
        <c:crosses val="autoZero"/>
        <c:auto val="1"/>
        <c:lblAlgn val="ctr"/>
        <c:lblOffset val="100"/>
        <c:noMultiLvlLbl val="0"/>
      </c:catAx>
      <c:valAx>
        <c:axId val="1029261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800"/>
                  <a:t>kg of CO2e emissions</a:t>
                </a:r>
                <a:r>
                  <a:rPr lang="en-GB" sz="1800" baseline="0"/>
                  <a:t> per kg of lettuce</a:t>
                </a:r>
                <a:endParaRPr lang="en-GB" sz="18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260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0" i="0" baseline="0">
                <a:effectLst/>
              </a:rPr>
              <a:t>Carbon Footprint of Field-based Lettuce for Energy Types</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Fertilisers/Nutrients</c:v>
          </c:tx>
          <c:spPr>
            <a:solidFill>
              <a:schemeClr val="accent2"/>
            </a:solidFill>
            <a:ln>
              <a:noFill/>
            </a:ln>
            <a:effectLst/>
          </c:spPr>
          <c:invertIfNegative val="0"/>
          <c:cat>
            <c:strRef>
              <c:f>('Energy compare'!$A$2,'Energy compare'!$A$10,'Energy compare'!$A$18,'Energy compare'!$A$26)</c:f>
              <c:strCache>
                <c:ptCount val="4"/>
                <c:pt idx="0">
                  <c:v>Trad. farming: spanish grid mix</c:v>
                </c:pt>
                <c:pt idx="1">
                  <c:v>Wind Energy</c:v>
                </c:pt>
                <c:pt idx="2">
                  <c:v>Green Hydrogen</c:v>
                </c:pt>
                <c:pt idx="3">
                  <c:v>Solar Energy</c:v>
                </c:pt>
              </c:strCache>
            </c:strRef>
          </c:cat>
          <c:val>
            <c:numRef>
              <c:f>('Energy compare'!$F$7,'Energy compare'!$F$15,'Energy compare'!$F$23,'Energy compare'!$F$31)</c:f>
              <c:numCache>
                <c:formatCode>General</c:formatCode>
                <c:ptCount val="4"/>
                <c:pt idx="0">
                  <c:v>3.1015384615384616E-3</c:v>
                </c:pt>
                <c:pt idx="1">
                  <c:v>3.1015384615384616E-3</c:v>
                </c:pt>
                <c:pt idx="2">
                  <c:v>3.1015384615384616E-3</c:v>
                </c:pt>
                <c:pt idx="3">
                  <c:v>3.1015384615384616E-3</c:v>
                </c:pt>
              </c:numCache>
            </c:numRef>
          </c:val>
          <c:extLst>
            <c:ext xmlns:c16="http://schemas.microsoft.com/office/drawing/2014/chart" uri="{C3380CC4-5D6E-409C-BE32-E72D297353CC}">
              <c16:uniqueId val="{00000000-C8B7-654A-940C-EEB1C417AF1F}"/>
            </c:ext>
          </c:extLst>
        </c:ser>
        <c:ser>
          <c:idx val="3"/>
          <c:order val="1"/>
          <c:tx>
            <c:v>Growing media</c:v>
          </c:tx>
          <c:spPr>
            <a:solidFill>
              <a:schemeClr val="accent4"/>
            </a:solidFill>
            <a:ln>
              <a:noFill/>
            </a:ln>
            <a:effectLst/>
          </c:spPr>
          <c:invertIfNegative val="0"/>
          <c:cat>
            <c:strRef>
              <c:f>('Energy compare'!$A$2,'Energy compare'!$A$10,'Energy compare'!$A$18,'Energy compare'!$A$26)</c:f>
              <c:strCache>
                <c:ptCount val="4"/>
                <c:pt idx="0">
                  <c:v>Trad. farming: spanish grid mix</c:v>
                </c:pt>
                <c:pt idx="1">
                  <c:v>Wind Energy</c:v>
                </c:pt>
                <c:pt idx="2">
                  <c:v>Green Hydrogen</c:v>
                </c:pt>
                <c:pt idx="3">
                  <c:v>Solar Energy</c:v>
                </c:pt>
              </c:strCache>
            </c:strRef>
          </c:cat>
          <c:val>
            <c:numRef>
              <c:f>'Energy compare'!$H$7</c:f>
              <c:numCache>
                <c:formatCode>General</c:formatCode>
                <c:ptCount val="1"/>
                <c:pt idx="0">
                  <c:v>0</c:v>
                </c:pt>
              </c:numCache>
            </c:numRef>
          </c:val>
          <c:extLst>
            <c:ext xmlns:c16="http://schemas.microsoft.com/office/drawing/2014/chart" uri="{C3380CC4-5D6E-409C-BE32-E72D297353CC}">
              <c16:uniqueId val="{00000001-C8B7-654A-940C-EEB1C417AF1F}"/>
            </c:ext>
          </c:extLst>
        </c:ser>
        <c:ser>
          <c:idx val="4"/>
          <c:order val="2"/>
          <c:tx>
            <c:v>Water consumption</c:v>
          </c:tx>
          <c:spPr>
            <a:solidFill>
              <a:schemeClr val="accent5"/>
            </a:solidFill>
            <a:ln>
              <a:noFill/>
            </a:ln>
            <a:effectLst/>
          </c:spPr>
          <c:invertIfNegative val="0"/>
          <c:cat>
            <c:strRef>
              <c:f>('Energy compare'!$A$2,'Energy compare'!$A$10,'Energy compare'!$A$18,'Energy compare'!$A$26)</c:f>
              <c:strCache>
                <c:ptCount val="4"/>
                <c:pt idx="0">
                  <c:v>Trad. farming: spanish grid mix</c:v>
                </c:pt>
                <c:pt idx="1">
                  <c:v>Wind Energy</c:v>
                </c:pt>
                <c:pt idx="2">
                  <c:v>Green Hydrogen</c:v>
                </c:pt>
                <c:pt idx="3">
                  <c:v>Solar Energy</c:v>
                </c:pt>
              </c:strCache>
            </c:strRef>
          </c:cat>
          <c:val>
            <c:numRef>
              <c:f>'Energy compare'!$I$7</c:f>
              <c:numCache>
                <c:formatCode>General</c:formatCode>
                <c:ptCount val="1"/>
                <c:pt idx="0">
                  <c:v>8.5999999999999993E-2</c:v>
                </c:pt>
              </c:numCache>
            </c:numRef>
          </c:val>
          <c:extLst>
            <c:ext xmlns:c16="http://schemas.microsoft.com/office/drawing/2014/chart" uri="{C3380CC4-5D6E-409C-BE32-E72D297353CC}">
              <c16:uniqueId val="{00000002-C8B7-654A-940C-EEB1C417AF1F}"/>
            </c:ext>
          </c:extLst>
        </c:ser>
        <c:ser>
          <c:idx val="5"/>
          <c:order val="3"/>
          <c:tx>
            <c:v>Pesticides</c:v>
          </c:tx>
          <c:spPr>
            <a:solidFill>
              <a:schemeClr val="accent6"/>
            </a:solidFill>
            <a:ln>
              <a:noFill/>
            </a:ln>
            <a:effectLst/>
          </c:spPr>
          <c:invertIfNegative val="0"/>
          <c:cat>
            <c:strRef>
              <c:f>('Energy compare'!$A$2,'Energy compare'!$A$10,'Energy compare'!$A$18,'Energy compare'!$A$26)</c:f>
              <c:strCache>
                <c:ptCount val="4"/>
                <c:pt idx="0">
                  <c:v>Trad. farming: spanish grid mix</c:v>
                </c:pt>
                <c:pt idx="1">
                  <c:v>Wind Energy</c:v>
                </c:pt>
                <c:pt idx="2">
                  <c:v>Green Hydrogen</c:v>
                </c:pt>
                <c:pt idx="3">
                  <c:v>Solar Energy</c:v>
                </c:pt>
              </c:strCache>
            </c:strRef>
          </c:cat>
          <c:val>
            <c:numRef>
              <c:f>'Energy compare'!$J$7</c:f>
              <c:numCache>
                <c:formatCode>General</c:formatCode>
                <c:ptCount val="1"/>
                <c:pt idx="0">
                  <c:v>1.0350000000000002E-2</c:v>
                </c:pt>
              </c:numCache>
            </c:numRef>
          </c:val>
          <c:extLst>
            <c:ext xmlns:c16="http://schemas.microsoft.com/office/drawing/2014/chart" uri="{C3380CC4-5D6E-409C-BE32-E72D297353CC}">
              <c16:uniqueId val="{00000003-C8B7-654A-940C-EEB1C417AF1F}"/>
            </c:ext>
          </c:extLst>
        </c:ser>
        <c:ser>
          <c:idx val="6"/>
          <c:order val="4"/>
          <c:tx>
            <c:v>Energy consumption</c:v>
          </c:tx>
          <c:spPr>
            <a:solidFill>
              <a:schemeClr val="accent1">
                <a:lumMod val="60000"/>
              </a:schemeClr>
            </a:solidFill>
            <a:ln>
              <a:noFill/>
            </a:ln>
            <a:effectLst/>
          </c:spPr>
          <c:invertIfNegative val="0"/>
          <c:cat>
            <c:strRef>
              <c:f>('Energy compare'!$A$2,'Energy compare'!$A$10,'Energy compare'!$A$18,'Energy compare'!$A$26)</c:f>
              <c:strCache>
                <c:ptCount val="4"/>
                <c:pt idx="0">
                  <c:v>Trad. farming: spanish grid mix</c:v>
                </c:pt>
                <c:pt idx="1">
                  <c:v>Wind Energy</c:v>
                </c:pt>
                <c:pt idx="2">
                  <c:v>Green Hydrogen</c:v>
                </c:pt>
                <c:pt idx="3">
                  <c:v>Solar Energy</c:v>
                </c:pt>
              </c:strCache>
            </c:strRef>
          </c:cat>
          <c:val>
            <c:numRef>
              <c:f>'Energy compare'!$L$7</c:f>
              <c:numCache>
                <c:formatCode>General</c:formatCode>
                <c:ptCount val="1"/>
                <c:pt idx="0">
                  <c:v>5.1027818599999997E-2</c:v>
                </c:pt>
              </c:numCache>
            </c:numRef>
          </c:val>
          <c:extLst>
            <c:ext xmlns:c16="http://schemas.microsoft.com/office/drawing/2014/chart" uri="{C3380CC4-5D6E-409C-BE32-E72D297353CC}">
              <c16:uniqueId val="{00000004-C8B7-654A-940C-EEB1C417AF1F}"/>
            </c:ext>
          </c:extLst>
        </c:ser>
        <c:ser>
          <c:idx val="7"/>
          <c:order val="5"/>
          <c:tx>
            <c:v>Petrol for machinery</c:v>
          </c:tx>
          <c:spPr>
            <a:solidFill>
              <a:schemeClr val="accent2">
                <a:lumMod val="60000"/>
              </a:schemeClr>
            </a:solidFill>
            <a:ln>
              <a:noFill/>
            </a:ln>
            <a:effectLst/>
          </c:spPr>
          <c:invertIfNegative val="0"/>
          <c:cat>
            <c:strRef>
              <c:f>('Energy compare'!$A$2,'Energy compare'!$A$10,'Energy compare'!$A$18,'Energy compare'!$A$26)</c:f>
              <c:strCache>
                <c:ptCount val="4"/>
                <c:pt idx="0">
                  <c:v>Trad. farming: spanish grid mix</c:v>
                </c:pt>
                <c:pt idx="1">
                  <c:v>Wind Energy</c:v>
                </c:pt>
                <c:pt idx="2">
                  <c:v>Green Hydrogen</c:v>
                </c:pt>
                <c:pt idx="3">
                  <c:v>Solar Energy</c:v>
                </c:pt>
              </c:strCache>
            </c:strRef>
          </c:cat>
          <c:val>
            <c:numRef>
              <c:f>'Energy compare'!$K$7</c:f>
              <c:numCache>
                <c:formatCode>General</c:formatCode>
                <c:ptCount val="1"/>
                <c:pt idx="0">
                  <c:v>5.5384615384615381E-3</c:v>
                </c:pt>
              </c:numCache>
            </c:numRef>
          </c:val>
          <c:extLst>
            <c:ext xmlns:c16="http://schemas.microsoft.com/office/drawing/2014/chart" uri="{C3380CC4-5D6E-409C-BE32-E72D297353CC}">
              <c16:uniqueId val="{00000005-C8B7-654A-940C-EEB1C417AF1F}"/>
            </c:ext>
          </c:extLst>
        </c:ser>
        <c:ser>
          <c:idx val="12"/>
          <c:order val="6"/>
          <c:tx>
            <c:v>Waste</c:v>
          </c:tx>
          <c:spPr>
            <a:solidFill>
              <a:schemeClr val="accent1">
                <a:lumMod val="80000"/>
                <a:lumOff val="20000"/>
              </a:schemeClr>
            </a:solidFill>
            <a:ln>
              <a:noFill/>
            </a:ln>
            <a:effectLst/>
          </c:spPr>
          <c:invertIfNegative val="0"/>
          <c:cat>
            <c:strRef>
              <c:f>('Energy compare'!$A$2,'Energy compare'!$A$10,'Energy compare'!$A$18,'Energy compare'!$A$26)</c:f>
              <c:strCache>
                <c:ptCount val="4"/>
                <c:pt idx="0">
                  <c:v>Trad. farming: spanish grid mix</c:v>
                </c:pt>
                <c:pt idx="1">
                  <c:v>Wind Energy</c:v>
                </c:pt>
                <c:pt idx="2">
                  <c:v>Green Hydrogen</c:v>
                </c:pt>
                <c:pt idx="3">
                  <c:v>Solar Energy</c:v>
                </c:pt>
              </c:strCache>
            </c:strRef>
          </c:cat>
          <c:val>
            <c:numRef>
              <c:f>'Energy compare'!$R$7</c:f>
              <c:numCache>
                <c:formatCode>General</c:formatCode>
                <c:ptCount val="1"/>
                <c:pt idx="0">
                  <c:v>0.46</c:v>
                </c:pt>
              </c:numCache>
            </c:numRef>
          </c:val>
          <c:extLst>
            <c:ext xmlns:c16="http://schemas.microsoft.com/office/drawing/2014/chart" uri="{C3380CC4-5D6E-409C-BE32-E72D297353CC}">
              <c16:uniqueId val="{00000006-C8B7-654A-940C-EEB1C417AF1F}"/>
            </c:ext>
          </c:extLst>
        </c:ser>
        <c:ser>
          <c:idx val="8"/>
          <c:order val="7"/>
          <c:tx>
            <c:strRef>
              <c:f>'Carbon Footprint Life Cycle'!$M$4</c:f>
              <c:strCache>
                <c:ptCount val="1"/>
                <c:pt idx="0">
                  <c:v>Food Miles (km)</c:v>
                </c:pt>
              </c:strCache>
            </c:strRef>
          </c:tx>
          <c:spPr>
            <a:solidFill>
              <a:schemeClr val="accent3">
                <a:lumMod val="60000"/>
              </a:schemeClr>
            </a:solidFill>
            <a:ln>
              <a:noFill/>
            </a:ln>
            <a:effectLst/>
          </c:spPr>
          <c:invertIfNegative val="0"/>
          <c:cat>
            <c:strRef>
              <c:f>('Energy compare'!$A$2,'Energy compare'!$A$10,'Energy compare'!$A$18,'Energy compare'!$A$26)</c:f>
              <c:strCache>
                <c:ptCount val="4"/>
                <c:pt idx="0">
                  <c:v>Trad. farming: spanish grid mix</c:v>
                </c:pt>
                <c:pt idx="1">
                  <c:v>Wind Energy</c:v>
                </c:pt>
                <c:pt idx="2">
                  <c:v>Green Hydrogen</c:v>
                </c:pt>
                <c:pt idx="3">
                  <c:v>Solar Energy</c:v>
                </c:pt>
              </c:strCache>
            </c:strRef>
          </c:cat>
          <c:val>
            <c:numRef>
              <c:f>'Energy compare'!$O$7</c:f>
              <c:numCache>
                <c:formatCode>General</c:formatCode>
                <c:ptCount val="1"/>
                <c:pt idx="0">
                  <c:v>0.52080000000000004</c:v>
                </c:pt>
              </c:numCache>
            </c:numRef>
          </c:val>
          <c:extLst>
            <c:ext xmlns:c16="http://schemas.microsoft.com/office/drawing/2014/chart" uri="{C3380CC4-5D6E-409C-BE32-E72D297353CC}">
              <c16:uniqueId val="{00000007-C8B7-654A-940C-EEB1C417AF1F}"/>
            </c:ext>
          </c:extLst>
        </c:ser>
        <c:dLbls>
          <c:showLegendKey val="0"/>
          <c:showVal val="0"/>
          <c:showCatName val="0"/>
          <c:showSerName val="0"/>
          <c:showPercent val="0"/>
          <c:showBubbleSize val="0"/>
        </c:dLbls>
        <c:gapWidth val="150"/>
        <c:overlap val="100"/>
        <c:axId val="1029260271"/>
        <c:axId val="1029261919"/>
      </c:barChart>
      <c:catAx>
        <c:axId val="1029260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261919"/>
        <c:crosses val="autoZero"/>
        <c:auto val="1"/>
        <c:lblAlgn val="ctr"/>
        <c:lblOffset val="100"/>
        <c:noMultiLvlLbl val="0"/>
      </c:catAx>
      <c:valAx>
        <c:axId val="1029261919"/>
        <c:scaling>
          <c:orientation val="minMax"/>
          <c:max val="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800" b="0" i="0" baseline="0">
                    <a:effectLst/>
                  </a:rPr>
                  <a:t>kg of CO2e emissions per kg of lettuce</a:t>
                </a:r>
                <a:endParaRPr lang="en-GB">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260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700" b="0" i="0" baseline="0">
                <a:effectLst/>
              </a:rPr>
              <a:t>Carbon Footprint of Vertical Farmed Lettuce for Energy Types</a:t>
            </a:r>
            <a:endParaRPr lang="en-GB" sz="17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Fertilisers/Nutrients</c:v>
          </c:tx>
          <c:spPr>
            <a:solidFill>
              <a:schemeClr val="accent2"/>
            </a:solidFill>
            <a:ln>
              <a:noFill/>
            </a:ln>
            <a:effectLst/>
          </c:spPr>
          <c:invertIfNegative val="0"/>
          <c:cat>
            <c:strRef>
              <c:f>('Energy compare'!$A$34,'Energy compare'!$A$43,'Energy compare'!$A$53,'Energy compare'!$A$63,'Energy compare'!$A$73,'Energy compare'!$A$83,'Energy compare'!$A$93,'Energy compare'!$A$103)</c:f>
              <c:strCache>
                <c:ptCount val="8"/>
                <c:pt idx="0">
                  <c:v>VF: UK grid mix</c:v>
                </c:pt>
                <c:pt idx="1">
                  <c:v>VF: wind energy</c:v>
                </c:pt>
                <c:pt idx="2">
                  <c:v>VF: blue hydrogen</c:v>
                </c:pt>
                <c:pt idx="3">
                  <c:v>VF: solar energy</c:v>
                </c:pt>
                <c:pt idx="4">
                  <c:v>VF: ocean/tidal energy</c:v>
                </c:pt>
                <c:pt idx="5">
                  <c:v>VF: nuclear energy</c:v>
                </c:pt>
                <c:pt idx="6">
                  <c:v>VF: geothermal</c:v>
                </c:pt>
                <c:pt idx="7">
                  <c:v>VF: coal CCS</c:v>
                </c:pt>
              </c:strCache>
            </c:strRef>
          </c:cat>
          <c:val>
            <c:numRef>
              <c:f>('Energy compare'!$F$39,'Energy compare'!$F$48,'Energy compare'!$F$58,'Energy compare'!$F$68,'Energy compare'!$F$78,'Energy compare'!$F$88,'Energy compare'!$F$98,'Energy compare'!$F$108)</c:f>
              <c:numCache>
                <c:formatCode>General</c:formatCode>
                <c:ptCount val="8"/>
                <c:pt idx="0">
                  <c:v>1.1948275862068963E-2</c:v>
                </c:pt>
                <c:pt idx="1">
                  <c:v>1.1948275862068963E-2</c:v>
                </c:pt>
                <c:pt idx="2">
                  <c:v>1.1948275862068963E-2</c:v>
                </c:pt>
                <c:pt idx="3">
                  <c:v>1.1948275862068963E-2</c:v>
                </c:pt>
                <c:pt idx="4">
                  <c:v>1.1948275862068963E-2</c:v>
                </c:pt>
                <c:pt idx="5">
                  <c:v>1.1948275862068963E-2</c:v>
                </c:pt>
                <c:pt idx="6">
                  <c:v>1.1948275862068963E-2</c:v>
                </c:pt>
                <c:pt idx="7">
                  <c:v>1.1948275862068963E-2</c:v>
                </c:pt>
              </c:numCache>
            </c:numRef>
          </c:val>
          <c:extLst>
            <c:ext xmlns:c16="http://schemas.microsoft.com/office/drawing/2014/chart" uri="{C3380CC4-5D6E-409C-BE32-E72D297353CC}">
              <c16:uniqueId val="{00000000-CA1A-C549-8908-D715773B3D79}"/>
            </c:ext>
          </c:extLst>
        </c:ser>
        <c:ser>
          <c:idx val="3"/>
          <c:order val="1"/>
          <c:tx>
            <c:v>Growing media</c:v>
          </c:tx>
          <c:spPr>
            <a:solidFill>
              <a:schemeClr val="accent4"/>
            </a:solidFill>
            <a:ln>
              <a:noFill/>
            </a:ln>
            <a:effectLst/>
          </c:spPr>
          <c:invertIfNegative val="0"/>
          <c:cat>
            <c:strRef>
              <c:f>('Energy compare'!$A$34,'Energy compare'!$A$43,'Energy compare'!$A$53,'Energy compare'!$A$63,'Energy compare'!$A$73,'Energy compare'!$A$83,'Energy compare'!$A$93,'Energy compare'!$A$103)</c:f>
              <c:strCache>
                <c:ptCount val="8"/>
                <c:pt idx="0">
                  <c:v>VF: UK grid mix</c:v>
                </c:pt>
                <c:pt idx="1">
                  <c:v>VF: wind energy</c:v>
                </c:pt>
                <c:pt idx="2">
                  <c:v>VF: blue hydrogen</c:v>
                </c:pt>
                <c:pt idx="3">
                  <c:v>VF: solar energy</c:v>
                </c:pt>
                <c:pt idx="4">
                  <c:v>VF: ocean/tidal energy</c:v>
                </c:pt>
                <c:pt idx="5">
                  <c:v>VF: nuclear energy</c:v>
                </c:pt>
                <c:pt idx="6">
                  <c:v>VF: geothermal</c:v>
                </c:pt>
                <c:pt idx="7">
                  <c:v>VF: coal CCS</c:v>
                </c:pt>
              </c:strCache>
            </c:strRef>
          </c:cat>
          <c:val>
            <c:numRef>
              <c:f>('Energy compare'!$H$39,'Energy compare'!$H$48,'Energy compare'!$H$58,'Energy compare'!$H$68,'Energy compare'!$H$78,'Energy compare'!$H$88,'Energy compare'!$H$98,'Energy compare'!$H$108)</c:f>
              <c:numCache>
                <c:formatCode>General</c:formatCode>
                <c:ptCount val="8"/>
                <c:pt idx="0">
                  <c:v>1.5644444444444447E-2</c:v>
                </c:pt>
                <c:pt idx="1">
                  <c:v>1.5644444444444447E-2</c:v>
                </c:pt>
                <c:pt idx="2">
                  <c:v>1.5644444444444447E-2</c:v>
                </c:pt>
                <c:pt idx="3">
                  <c:v>1.5644444444444447E-2</c:v>
                </c:pt>
                <c:pt idx="4">
                  <c:v>1.5644444444444447E-2</c:v>
                </c:pt>
                <c:pt idx="5">
                  <c:v>1.5644444444444447E-2</c:v>
                </c:pt>
                <c:pt idx="6">
                  <c:v>1.5644444444444447E-2</c:v>
                </c:pt>
                <c:pt idx="7">
                  <c:v>1.5644444444444447E-2</c:v>
                </c:pt>
              </c:numCache>
            </c:numRef>
          </c:val>
          <c:extLst>
            <c:ext xmlns:c16="http://schemas.microsoft.com/office/drawing/2014/chart" uri="{C3380CC4-5D6E-409C-BE32-E72D297353CC}">
              <c16:uniqueId val="{00000001-CA1A-C549-8908-D715773B3D79}"/>
            </c:ext>
          </c:extLst>
        </c:ser>
        <c:ser>
          <c:idx val="4"/>
          <c:order val="2"/>
          <c:tx>
            <c:v>Water consumption</c:v>
          </c:tx>
          <c:spPr>
            <a:solidFill>
              <a:schemeClr val="accent5"/>
            </a:solidFill>
            <a:ln>
              <a:noFill/>
            </a:ln>
            <a:effectLst/>
          </c:spPr>
          <c:invertIfNegative val="0"/>
          <c:cat>
            <c:strRef>
              <c:f>('Energy compare'!$A$34,'Energy compare'!$A$43,'Energy compare'!$A$53,'Energy compare'!$A$63,'Energy compare'!$A$73,'Energy compare'!$A$83,'Energy compare'!$A$93,'Energy compare'!$A$103)</c:f>
              <c:strCache>
                <c:ptCount val="8"/>
                <c:pt idx="0">
                  <c:v>VF: UK grid mix</c:v>
                </c:pt>
                <c:pt idx="1">
                  <c:v>VF: wind energy</c:v>
                </c:pt>
                <c:pt idx="2">
                  <c:v>VF: blue hydrogen</c:v>
                </c:pt>
                <c:pt idx="3">
                  <c:v>VF: solar energy</c:v>
                </c:pt>
                <c:pt idx="4">
                  <c:v>VF: ocean/tidal energy</c:v>
                </c:pt>
                <c:pt idx="5">
                  <c:v>VF: nuclear energy</c:v>
                </c:pt>
                <c:pt idx="6">
                  <c:v>VF: geothermal</c:v>
                </c:pt>
                <c:pt idx="7">
                  <c:v>VF: coal CCS</c:v>
                </c:pt>
              </c:strCache>
            </c:strRef>
          </c:cat>
          <c:val>
            <c:numRef>
              <c:f>('Energy compare'!$I$39,'Energy compare'!$I$48,'Energy compare'!$I$58,'Energy compare'!$I$68,'Energy compare'!$I$78,'Energy compare'!$I$88,'Energy compare'!$I$98,'Energy compare'!$I$108)</c:f>
              <c:numCache>
                <c:formatCode>General</c:formatCode>
                <c:ptCount val="8"/>
                <c:pt idx="0">
                  <c:v>6.8800000000000007E-3</c:v>
                </c:pt>
                <c:pt idx="1">
                  <c:v>6.8800000000000007E-3</c:v>
                </c:pt>
                <c:pt idx="2">
                  <c:v>6.8800000000000007E-3</c:v>
                </c:pt>
                <c:pt idx="3">
                  <c:v>6.8800000000000007E-3</c:v>
                </c:pt>
                <c:pt idx="4">
                  <c:v>6.8800000000000007E-3</c:v>
                </c:pt>
                <c:pt idx="5">
                  <c:v>6.8800000000000007E-3</c:v>
                </c:pt>
                <c:pt idx="6">
                  <c:v>6.8800000000000007E-3</c:v>
                </c:pt>
                <c:pt idx="7">
                  <c:v>6.8800000000000007E-3</c:v>
                </c:pt>
              </c:numCache>
            </c:numRef>
          </c:val>
          <c:extLst>
            <c:ext xmlns:c16="http://schemas.microsoft.com/office/drawing/2014/chart" uri="{C3380CC4-5D6E-409C-BE32-E72D297353CC}">
              <c16:uniqueId val="{00000002-CA1A-C549-8908-D715773B3D79}"/>
            </c:ext>
          </c:extLst>
        </c:ser>
        <c:ser>
          <c:idx val="5"/>
          <c:order val="3"/>
          <c:tx>
            <c:v>Pesticides</c:v>
          </c:tx>
          <c:spPr>
            <a:solidFill>
              <a:schemeClr val="accent6"/>
            </a:solidFill>
            <a:ln>
              <a:noFill/>
            </a:ln>
            <a:effectLst/>
          </c:spPr>
          <c:invertIfNegative val="0"/>
          <c:cat>
            <c:strRef>
              <c:f>('Energy compare'!$A$34,'Energy compare'!$A$43,'Energy compare'!$A$53,'Energy compare'!$A$63,'Energy compare'!$A$73,'Energy compare'!$A$83,'Energy compare'!$A$93,'Energy compare'!$A$103)</c:f>
              <c:strCache>
                <c:ptCount val="8"/>
                <c:pt idx="0">
                  <c:v>VF: UK grid mix</c:v>
                </c:pt>
                <c:pt idx="1">
                  <c:v>VF: wind energy</c:v>
                </c:pt>
                <c:pt idx="2">
                  <c:v>VF: blue hydrogen</c:v>
                </c:pt>
                <c:pt idx="3">
                  <c:v>VF: solar energy</c:v>
                </c:pt>
                <c:pt idx="4">
                  <c:v>VF: ocean/tidal energy</c:v>
                </c:pt>
                <c:pt idx="5">
                  <c:v>VF: nuclear energy</c:v>
                </c:pt>
                <c:pt idx="6">
                  <c:v>VF: geothermal</c:v>
                </c:pt>
                <c:pt idx="7">
                  <c:v>VF: coal CCS</c:v>
                </c:pt>
              </c:strCache>
            </c:strRef>
          </c:cat>
          <c:val>
            <c:numRef>
              <c:f>('Energy compare'!$J$39,'Energy compare'!$J$48,'Energy compare'!$J$58,'Energy compare'!$J$68,'Energy compare'!$J$78,'Energy compare'!$J$88,'Energy compare'!$J$98,'Energy compare'!$J$108)</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CA1A-C549-8908-D715773B3D79}"/>
            </c:ext>
          </c:extLst>
        </c:ser>
        <c:ser>
          <c:idx val="6"/>
          <c:order val="4"/>
          <c:tx>
            <c:v>Energy consumption</c:v>
          </c:tx>
          <c:spPr>
            <a:solidFill>
              <a:srgbClr val="002060"/>
            </a:solidFill>
            <a:ln>
              <a:noFill/>
            </a:ln>
            <a:effectLst/>
          </c:spPr>
          <c:invertIfNegative val="0"/>
          <c:cat>
            <c:strRef>
              <c:f>('Energy compare'!$A$34,'Energy compare'!$A$43,'Energy compare'!$A$53,'Energy compare'!$A$63,'Energy compare'!$A$73,'Energy compare'!$A$83,'Energy compare'!$A$93,'Energy compare'!$A$103)</c:f>
              <c:strCache>
                <c:ptCount val="8"/>
                <c:pt idx="0">
                  <c:v>VF: UK grid mix</c:v>
                </c:pt>
                <c:pt idx="1">
                  <c:v>VF: wind energy</c:v>
                </c:pt>
                <c:pt idx="2">
                  <c:v>VF: blue hydrogen</c:v>
                </c:pt>
                <c:pt idx="3">
                  <c:v>VF: solar energy</c:v>
                </c:pt>
                <c:pt idx="4">
                  <c:v>VF: ocean/tidal energy</c:v>
                </c:pt>
                <c:pt idx="5">
                  <c:v>VF: nuclear energy</c:v>
                </c:pt>
                <c:pt idx="6">
                  <c:v>VF: geothermal</c:v>
                </c:pt>
                <c:pt idx="7">
                  <c:v>VF: coal CCS</c:v>
                </c:pt>
              </c:strCache>
            </c:strRef>
          </c:cat>
          <c:val>
            <c:numRef>
              <c:f>('Energy compare'!$L$39,'Energy compare'!$L$48,'Energy compare'!$L$58,'Energy compare'!$L$68,'Energy compare'!$L$78,'Energy compare'!$L$88,'Energy compare'!$L$98,'Energy compare'!$L$108)</c:f>
              <c:numCache>
                <c:formatCode>General</c:formatCode>
                <c:ptCount val="8"/>
                <c:pt idx="0">
                  <c:v>8.7859317368154137</c:v>
                </c:pt>
                <c:pt idx="1">
                  <c:v>1.6958348123732248</c:v>
                </c:pt>
                <c:pt idx="2">
                  <c:v>3.2597713615618655</c:v>
                </c:pt>
                <c:pt idx="3">
                  <c:v>1.3189826318458413</c:v>
                </c:pt>
                <c:pt idx="4">
                  <c:v>0.75370436105476646</c:v>
                </c:pt>
                <c:pt idx="5">
                  <c:v>1.8842609026369166</c:v>
                </c:pt>
                <c:pt idx="6" formatCode="@">
                  <c:v>1.3189826318458413</c:v>
                </c:pt>
                <c:pt idx="7">
                  <c:v>6.783339249492899</c:v>
                </c:pt>
              </c:numCache>
            </c:numRef>
          </c:val>
          <c:extLst>
            <c:ext xmlns:c16="http://schemas.microsoft.com/office/drawing/2014/chart" uri="{C3380CC4-5D6E-409C-BE32-E72D297353CC}">
              <c16:uniqueId val="{00000004-CA1A-C549-8908-D715773B3D79}"/>
            </c:ext>
          </c:extLst>
        </c:ser>
        <c:ser>
          <c:idx val="7"/>
          <c:order val="5"/>
          <c:tx>
            <c:v>Petrol for machinery</c:v>
          </c:tx>
          <c:spPr>
            <a:solidFill>
              <a:schemeClr val="accent2">
                <a:lumMod val="60000"/>
              </a:schemeClr>
            </a:solidFill>
            <a:ln>
              <a:noFill/>
            </a:ln>
            <a:effectLst/>
          </c:spPr>
          <c:invertIfNegative val="0"/>
          <c:cat>
            <c:strRef>
              <c:f>('Energy compare'!$A$34,'Energy compare'!$A$43,'Energy compare'!$A$53,'Energy compare'!$A$63,'Energy compare'!$A$73,'Energy compare'!$A$83,'Energy compare'!$A$93,'Energy compare'!$A$103)</c:f>
              <c:strCache>
                <c:ptCount val="8"/>
                <c:pt idx="0">
                  <c:v>VF: UK grid mix</c:v>
                </c:pt>
                <c:pt idx="1">
                  <c:v>VF: wind energy</c:v>
                </c:pt>
                <c:pt idx="2">
                  <c:v>VF: blue hydrogen</c:v>
                </c:pt>
                <c:pt idx="3">
                  <c:v>VF: solar energy</c:v>
                </c:pt>
                <c:pt idx="4">
                  <c:v>VF: ocean/tidal energy</c:v>
                </c:pt>
                <c:pt idx="5">
                  <c:v>VF: nuclear energy</c:v>
                </c:pt>
                <c:pt idx="6">
                  <c:v>VF: geothermal</c:v>
                </c:pt>
                <c:pt idx="7">
                  <c:v>VF: coal CCS</c:v>
                </c:pt>
              </c:strCache>
            </c:strRef>
          </c:cat>
          <c:val>
            <c:numRef>
              <c:f>('Energy compare'!$K$39,'Energy compare'!$K$48,'Energy compare'!$K$58,'Energy compare'!$K$68,'Energy compare'!$K$78,'Energy compare'!$K$88,'Energy compare'!$K$98,'Energy compare'!$K$108)</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5-CA1A-C549-8908-D715773B3D79}"/>
            </c:ext>
          </c:extLst>
        </c:ser>
        <c:ser>
          <c:idx val="12"/>
          <c:order val="6"/>
          <c:tx>
            <c:v>Waste</c:v>
          </c:tx>
          <c:spPr>
            <a:solidFill>
              <a:schemeClr val="accent1">
                <a:lumMod val="80000"/>
                <a:lumOff val="20000"/>
              </a:schemeClr>
            </a:solidFill>
            <a:ln>
              <a:noFill/>
            </a:ln>
            <a:effectLst/>
          </c:spPr>
          <c:invertIfNegative val="0"/>
          <c:cat>
            <c:strRef>
              <c:f>('Energy compare'!$A$34,'Energy compare'!$A$43,'Energy compare'!$A$53,'Energy compare'!$A$63,'Energy compare'!$A$73,'Energy compare'!$A$83,'Energy compare'!$A$93,'Energy compare'!$A$103)</c:f>
              <c:strCache>
                <c:ptCount val="8"/>
                <c:pt idx="0">
                  <c:v>VF: UK grid mix</c:v>
                </c:pt>
                <c:pt idx="1">
                  <c:v>VF: wind energy</c:v>
                </c:pt>
                <c:pt idx="2">
                  <c:v>VF: blue hydrogen</c:v>
                </c:pt>
                <c:pt idx="3">
                  <c:v>VF: solar energy</c:v>
                </c:pt>
                <c:pt idx="4">
                  <c:v>VF: ocean/tidal energy</c:v>
                </c:pt>
                <c:pt idx="5">
                  <c:v>VF: nuclear energy</c:v>
                </c:pt>
                <c:pt idx="6">
                  <c:v>VF: geothermal</c:v>
                </c:pt>
                <c:pt idx="7">
                  <c:v>VF: coal CCS</c:v>
                </c:pt>
              </c:strCache>
            </c:strRef>
          </c:cat>
          <c:val>
            <c:numRef>
              <c:f>('Energy compare'!$R$39,'Energy compare'!$R$48,'Energy compare'!$R$58,'Energy compare'!$R$68,'Energy compare'!$R$78,'Energy compare'!$R$88,'Energy compare'!$R$98,'Energy compare'!$R$108)</c:f>
              <c:numCache>
                <c:formatCode>General</c:formatCode>
                <c:ptCount val="8"/>
                <c:pt idx="0">
                  <c:v>1.3238744185682891</c:v>
                </c:pt>
                <c:pt idx="1">
                  <c:v>0.26035987990196069</c:v>
                </c:pt>
                <c:pt idx="2">
                  <c:v>0.49495036228025679</c:v>
                </c:pt>
                <c:pt idx="3">
                  <c:v>0.20383205282285319</c:v>
                </c:pt>
                <c:pt idx="4">
                  <c:v>0.11904031220419198</c:v>
                </c:pt>
                <c:pt idx="5">
                  <c:v>0.28862379344151451</c:v>
                </c:pt>
                <c:pt idx="6">
                  <c:v>0.20383205282285319</c:v>
                </c:pt>
                <c:pt idx="7">
                  <c:v>1.0234855454699117</c:v>
                </c:pt>
              </c:numCache>
            </c:numRef>
          </c:val>
          <c:extLst>
            <c:ext xmlns:c16="http://schemas.microsoft.com/office/drawing/2014/chart" uri="{C3380CC4-5D6E-409C-BE32-E72D297353CC}">
              <c16:uniqueId val="{00000006-CA1A-C549-8908-D715773B3D79}"/>
            </c:ext>
          </c:extLst>
        </c:ser>
        <c:ser>
          <c:idx val="8"/>
          <c:order val="7"/>
          <c:tx>
            <c:strRef>
              <c:f>'Carbon Footprint Life Cycle'!$M$4</c:f>
              <c:strCache>
                <c:ptCount val="1"/>
                <c:pt idx="0">
                  <c:v>Food Miles (km)</c:v>
                </c:pt>
              </c:strCache>
            </c:strRef>
          </c:tx>
          <c:spPr>
            <a:solidFill>
              <a:schemeClr val="accent3">
                <a:lumMod val="60000"/>
              </a:schemeClr>
            </a:solidFill>
            <a:ln>
              <a:noFill/>
            </a:ln>
            <a:effectLst/>
          </c:spPr>
          <c:invertIfNegative val="0"/>
          <c:cat>
            <c:strRef>
              <c:f>('Energy compare'!$A$34,'Energy compare'!$A$43,'Energy compare'!$A$53,'Energy compare'!$A$63,'Energy compare'!$A$73,'Energy compare'!$A$83,'Energy compare'!$A$93,'Energy compare'!$A$103)</c:f>
              <c:strCache>
                <c:ptCount val="8"/>
                <c:pt idx="0">
                  <c:v>VF: UK grid mix</c:v>
                </c:pt>
                <c:pt idx="1">
                  <c:v>VF: wind energy</c:v>
                </c:pt>
                <c:pt idx="2">
                  <c:v>VF: blue hydrogen</c:v>
                </c:pt>
                <c:pt idx="3">
                  <c:v>VF: solar energy</c:v>
                </c:pt>
                <c:pt idx="4">
                  <c:v>VF: ocean/tidal energy</c:v>
                </c:pt>
                <c:pt idx="5">
                  <c:v>VF: nuclear energy</c:v>
                </c:pt>
                <c:pt idx="6">
                  <c:v>VF: geothermal</c:v>
                </c:pt>
                <c:pt idx="7">
                  <c:v>VF: coal CCS</c:v>
                </c:pt>
              </c:strCache>
            </c:strRef>
          </c:cat>
          <c:val>
            <c:numRef>
              <c:f>('Energy compare'!$O$39,'Energy compare'!$O$48,'Energy compare'!$O$58,'Energy compare'!$O$68,'Energy compare'!$O$78,'Energy compare'!$O$88,'Energy compare'!$O$98,'Energy compare'!$O$108)</c:f>
              <c:numCache>
                <c:formatCode>General</c:formatCode>
                <c:ptCount val="8"/>
                <c:pt idx="0">
                  <c:v>5.4249999999999993E-3</c:v>
                </c:pt>
                <c:pt idx="1">
                  <c:v>5.4249999999999993E-3</c:v>
                </c:pt>
                <c:pt idx="2">
                  <c:v>5.4249999999999993E-3</c:v>
                </c:pt>
                <c:pt idx="3">
                  <c:v>5.4249999999999993E-3</c:v>
                </c:pt>
                <c:pt idx="4">
                  <c:v>5.4249999999999993E-3</c:v>
                </c:pt>
                <c:pt idx="5">
                  <c:v>5.4249999999999993E-3</c:v>
                </c:pt>
                <c:pt idx="6">
                  <c:v>5.4249999999999993E-3</c:v>
                </c:pt>
                <c:pt idx="7">
                  <c:v>5.4249999999999993E-3</c:v>
                </c:pt>
              </c:numCache>
            </c:numRef>
          </c:val>
          <c:extLst>
            <c:ext xmlns:c16="http://schemas.microsoft.com/office/drawing/2014/chart" uri="{C3380CC4-5D6E-409C-BE32-E72D297353CC}">
              <c16:uniqueId val="{00000007-CA1A-C549-8908-D715773B3D79}"/>
            </c:ext>
          </c:extLst>
        </c:ser>
        <c:ser>
          <c:idx val="0"/>
          <c:order val="8"/>
          <c:tx>
            <c:strRef>
              <c:f>'Energy compare'!$S$36</c:f>
              <c:strCache>
                <c:ptCount val="1"/>
                <c:pt idx="0">
                  <c:v>Deforestation</c:v>
                </c:pt>
              </c:strCache>
            </c:strRef>
          </c:tx>
          <c:spPr>
            <a:solidFill>
              <a:schemeClr val="accent6">
                <a:lumMod val="40000"/>
                <a:lumOff val="60000"/>
              </a:schemeClr>
            </a:solidFill>
            <a:ln>
              <a:noFill/>
            </a:ln>
            <a:effectLst/>
          </c:spPr>
          <c:invertIfNegative val="0"/>
          <c:val>
            <c:numRef>
              <c:f>('Energy compare'!$S$39,'Energy compare'!$S$48,'Energy compare'!$S$58,'Energy compare'!$S$68,'Energy compare'!$S$78,'Energy compare'!$S$88,'Energy compare'!$S$98,'Energy compare'!$S$108)</c:f>
              <c:numCache>
                <c:formatCode>General</c:formatCode>
                <c:ptCount val="8"/>
                <c:pt idx="0">
                  <c:v>0.65345219601119986</c:v>
                </c:pt>
                <c:pt idx="1">
                  <c:v>0.65345219601119986</c:v>
                </c:pt>
                <c:pt idx="2">
                  <c:v>0.65345219601119986</c:v>
                </c:pt>
                <c:pt idx="3">
                  <c:v>0.65345219601119986</c:v>
                </c:pt>
                <c:pt idx="4">
                  <c:v>0.65345219601119986</c:v>
                </c:pt>
                <c:pt idx="5">
                  <c:v>0.65345219601119986</c:v>
                </c:pt>
                <c:pt idx="6">
                  <c:v>0.65345219601119986</c:v>
                </c:pt>
                <c:pt idx="7">
                  <c:v>0.65345219601119986</c:v>
                </c:pt>
              </c:numCache>
            </c:numRef>
          </c:val>
          <c:extLst>
            <c:ext xmlns:c16="http://schemas.microsoft.com/office/drawing/2014/chart" uri="{C3380CC4-5D6E-409C-BE32-E72D297353CC}">
              <c16:uniqueId val="{0000000A-CA1A-C549-8908-D715773B3D79}"/>
            </c:ext>
          </c:extLst>
        </c:ser>
        <c:dLbls>
          <c:showLegendKey val="0"/>
          <c:showVal val="0"/>
          <c:showCatName val="0"/>
          <c:showSerName val="0"/>
          <c:showPercent val="0"/>
          <c:showBubbleSize val="0"/>
        </c:dLbls>
        <c:gapWidth val="150"/>
        <c:overlap val="100"/>
        <c:axId val="1029260271"/>
        <c:axId val="1029261919"/>
      </c:barChart>
      <c:catAx>
        <c:axId val="1029260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261919"/>
        <c:crosses val="autoZero"/>
        <c:auto val="1"/>
        <c:lblAlgn val="ctr"/>
        <c:lblOffset val="100"/>
        <c:noMultiLvlLbl val="0"/>
      </c:catAx>
      <c:valAx>
        <c:axId val="1029261919"/>
        <c:scaling>
          <c:orientation val="minMax"/>
          <c:max val="11"/>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800" b="0" i="0" baseline="0">
                    <a:effectLst/>
                  </a:rPr>
                  <a:t>kg of CO2e emissions per kg of lettuce</a:t>
                </a:r>
                <a:endParaRPr lang="en-GB">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260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700" b="0" i="0" baseline="0">
                <a:effectLst/>
              </a:rPr>
              <a:t>Carbon Footprint Comparison of Lettuce for Farm and Energy Types</a:t>
            </a:r>
            <a:endParaRPr lang="en-GB" sz="17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1"/>
          <c:order val="0"/>
          <c:tx>
            <c:v>Fertilisers/Nutrients</c:v>
          </c:tx>
          <c:spPr>
            <a:solidFill>
              <a:schemeClr val="accent2"/>
            </a:solidFill>
            <a:ln>
              <a:noFill/>
            </a:ln>
            <a:effectLst/>
          </c:spPr>
          <c:invertIfNegative val="0"/>
          <c:cat>
            <c:strRef>
              <c:f>('Energy compare'!$A$93,'Energy compare'!$A$53,'Energy compare'!$A$43,'Energy compare'!$A$73,'Energy compare'!$A$83,'Energy compare'!$A$63,'Energy compare'!$A$34,'Energy compare'!$A$123,'Energy compare'!$A$2)</c:f>
              <c:strCache>
                <c:ptCount val="9"/>
                <c:pt idx="0">
                  <c:v>VF: geothermal</c:v>
                </c:pt>
                <c:pt idx="1">
                  <c:v>VF: blue hydrogen</c:v>
                </c:pt>
                <c:pt idx="2">
                  <c:v>VF: wind energy</c:v>
                </c:pt>
                <c:pt idx="3">
                  <c:v>VF: ocean/tidal energy</c:v>
                </c:pt>
                <c:pt idx="4">
                  <c:v>VF: nuclear energy</c:v>
                </c:pt>
                <c:pt idx="5">
                  <c:v>VF: solar energy</c:v>
                </c:pt>
                <c:pt idx="6">
                  <c:v>VF: UK grid mix</c:v>
                </c:pt>
                <c:pt idx="7">
                  <c:v>USA Greenhouse </c:v>
                </c:pt>
                <c:pt idx="8">
                  <c:v>Trad. farming: spanish grid mix</c:v>
                </c:pt>
              </c:strCache>
            </c:strRef>
          </c:cat>
          <c:val>
            <c:numRef>
              <c:f>('Energy compare'!$F$98,'Energy compare'!$F$58,'Energy compare'!$F$48,'Energy compare'!$F$78,'Energy compare'!$F$88,'Energy compare'!$F$68,'Energy compare'!$F$39,'Energy compare'!$F$124,'Energy compare'!$F$7)</c:f>
              <c:numCache>
                <c:formatCode>General</c:formatCode>
                <c:ptCount val="9"/>
                <c:pt idx="0">
                  <c:v>1.1948275862068963E-2</c:v>
                </c:pt>
                <c:pt idx="1">
                  <c:v>1.1948275862068963E-2</c:v>
                </c:pt>
                <c:pt idx="2">
                  <c:v>1.1948275862068963E-2</c:v>
                </c:pt>
                <c:pt idx="3">
                  <c:v>1.1948275862068963E-2</c:v>
                </c:pt>
                <c:pt idx="4">
                  <c:v>1.1948275862068963E-2</c:v>
                </c:pt>
                <c:pt idx="5">
                  <c:v>1.1948275862068963E-2</c:v>
                </c:pt>
                <c:pt idx="6">
                  <c:v>1.1948275862068963E-2</c:v>
                </c:pt>
                <c:pt idx="7">
                  <c:v>0</c:v>
                </c:pt>
                <c:pt idx="8">
                  <c:v>3.1015384615384616E-3</c:v>
                </c:pt>
              </c:numCache>
            </c:numRef>
          </c:val>
          <c:extLst>
            <c:ext xmlns:c16="http://schemas.microsoft.com/office/drawing/2014/chart" uri="{C3380CC4-5D6E-409C-BE32-E72D297353CC}">
              <c16:uniqueId val="{00000000-CD83-934D-8FC5-5A81E87481D9}"/>
            </c:ext>
          </c:extLst>
        </c:ser>
        <c:ser>
          <c:idx val="3"/>
          <c:order val="1"/>
          <c:tx>
            <c:v>Growing media</c:v>
          </c:tx>
          <c:spPr>
            <a:solidFill>
              <a:schemeClr val="accent4"/>
            </a:solidFill>
            <a:ln>
              <a:noFill/>
            </a:ln>
            <a:effectLst/>
          </c:spPr>
          <c:invertIfNegative val="0"/>
          <c:cat>
            <c:strRef>
              <c:f>('Energy compare'!$A$93,'Energy compare'!$A$53,'Energy compare'!$A$43,'Energy compare'!$A$73,'Energy compare'!$A$83,'Energy compare'!$A$63,'Energy compare'!$A$34,'Energy compare'!$A$123,'Energy compare'!$A$2)</c:f>
              <c:strCache>
                <c:ptCount val="9"/>
                <c:pt idx="0">
                  <c:v>VF: geothermal</c:v>
                </c:pt>
                <c:pt idx="1">
                  <c:v>VF: blue hydrogen</c:v>
                </c:pt>
                <c:pt idx="2">
                  <c:v>VF: wind energy</c:v>
                </c:pt>
                <c:pt idx="3">
                  <c:v>VF: ocean/tidal energy</c:v>
                </c:pt>
                <c:pt idx="4">
                  <c:v>VF: nuclear energy</c:v>
                </c:pt>
                <c:pt idx="5">
                  <c:v>VF: solar energy</c:v>
                </c:pt>
                <c:pt idx="6">
                  <c:v>VF: UK grid mix</c:v>
                </c:pt>
                <c:pt idx="7">
                  <c:v>USA Greenhouse </c:v>
                </c:pt>
                <c:pt idx="8">
                  <c:v>Trad. farming: spanish grid mix</c:v>
                </c:pt>
              </c:strCache>
            </c:strRef>
          </c:cat>
          <c:val>
            <c:numRef>
              <c:f>('Energy compare'!$H$98,'Energy compare'!$H$58,'Energy compare'!$H$48,'Energy compare'!$H$78,'Energy compare'!$H$88,'Energy compare'!$H$68,'Energy compare'!$H$39,'Energy compare'!$H$124,'Energy compare'!$H$7)</c:f>
              <c:numCache>
                <c:formatCode>General</c:formatCode>
                <c:ptCount val="9"/>
                <c:pt idx="0">
                  <c:v>1.5644444444444447E-2</c:v>
                </c:pt>
                <c:pt idx="1">
                  <c:v>1.5644444444444447E-2</c:v>
                </c:pt>
                <c:pt idx="2">
                  <c:v>1.5644444444444447E-2</c:v>
                </c:pt>
                <c:pt idx="3">
                  <c:v>1.5644444444444447E-2</c:v>
                </c:pt>
                <c:pt idx="4">
                  <c:v>1.5644444444444447E-2</c:v>
                </c:pt>
                <c:pt idx="5">
                  <c:v>1.5644444444444447E-2</c:v>
                </c:pt>
                <c:pt idx="6">
                  <c:v>1.5644444444444447E-2</c:v>
                </c:pt>
                <c:pt idx="7">
                  <c:v>0</c:v>
                </c:pt>
                <c:pt idx="8">
                  <c:v>0</c:v>
                </c:pt>
              </c:numCache>
            </c:numRef>
          </c:val>
          <c:extLst>
            <c:ext xmlns:c16="http://schemas.microsoft.com/office/drawing/2014/chart" uri="{C3380CC4-5D6E-409C-BE32-E72D297353CC}">
              <c16:uniqueId val="{00000001-CD83-934D-8FC5-5A81E87481D9}"/>
            </c:ext>
          </c:extLst>
        </c:ser>
        <c:ser>
          <c:idx val="4"/>
          <c:order val="2"/>
          <c:tx>
            <c:v>Water consumption</c:v>
          </c:tx>
          <c:spPr>
            <a:solidFill>
              <a:schemeClr val="accent5"/>
            </a:solidFill>
            <a:ln>
              <a:noFill/>
            </a:ln>
            <a:effectLst/>
          </c:spPr>
          <c:invertIfNegative val="0"/>
          <c:cat>
            <c:strRef>
              <c:f>('Energy compare'!$A$93,'Energy compare'!$A$53,'Energy compare'!$A$43,'Energy compare'!$A$73,'Energy compare'!$A$83,'Energy compare'!$A$63,'Energy compare'!$A$34,'Energy compare'!$A$123,'Energy compare'!$A$2)</c:f>
              <c:strCache>
                <c:ptCount val="9"/>
                <c:pt idx="0">
                  <c:v>VF: geothermal</c:v>
                </c:pt>
                <c:pt idx="1">
                  <c:v>VF: blue hydrogen</c:v>
                </c:pt>
                <c:pt idx="2">
                  <c:v>VF: wind energy</c:v>
                </c:pt>
                <c:pt idx="3">
                  <c:v>VF: ocean/tidal energy</c:v>
                </c:pt>
                <c:pt idx="4">
                  <c:v>VF: nuclear energy</c:v>
                </c:pt>
                <c:pt idx="5">
                  <c:v>VF: solar energy</c:v>
                </c:pt>
                <c:pt idx="6">
                  <c:v>VF: UK grid mix</c:v>
                </c:pt>
                <c:pt idx="7">
                  <c:v>USA Greenhouse </c:v>
                </c:pt>
                <c:pt idx="8">
                  <c:v>Trad. farming: spanish grid mix</c:v>
                </c:pt>
              </c:strCache>
            </c:strRef>
          </c:cat>
          <c:val>
            <c:numRef>
              <c:f>('Energy compare'!$I$98,'Energy compare'!$I$58,'Energy compare'!$I$48,'Energy compare'!$I$78,'Energy compare'!$I$88,'Energy compare'!$I$68,'Energy compare'!$I$39,'Energy compare'!$I$124,'Energy compare'!$I$7)</c:f>
              <c:numCache>
                <c:formatCode>General</c:formatCode>
                <c:ptCount val="9"/>
                <c:pt idx="0">
                  <c:v>6.8800000000000007E-3</c:v>
                </c:pt>
                <c:pt idx="1">
                  <c:v>6.8800000000000007E-3</c:v>
                </c:pt>
                <c:pt idx="2">
                  <c:v>6.8800000000000007E-3</c:v>
                </c:pt>
                <c:pt idx="3">
                  <c:v>6.8800000000000007E-3</c:v>
                </c:pt>
                <c:pt idx="4">
                  <c:v>6.8800000000000007E-3</c:v>
                </c:pt>
                <c:pt idx="5">
                  <c:v>6.8800000000000007E-3</c:v>
                </c:pt>
                <c:pt idx="6">
                  <c:v>6.8800000000000007E-3</c:v>
                </c:pt>
                <c:pt idx="7">
                  <c:v>0</c:v>
                </c:pt>
                <c:pt idx="8">
                  <c:v>8.5999999999999993E-2</c:v>
                </c:pt>
              </c:numCache>
            </c:numRef>
          </c:val>
          <c:extLst>
            <c:ext xmlns:c16="http://schemas.microsoft.com/office/drawing/2014/chart" uri="{C3380CC4-5D6E-409C-BE32-E72D297353CC}">
              <c16:uniqueId val="{00000002-CD83-934D-8FC5-5A81E87481D9}"/>
            </c:ext>
          </c:extLst>
        </c:ser>
        <c:ser>
          <c:idx val="5"/>
          <c:order val="3"/>
          <c:tx>
            <c:v>Pesticides</c:v>
          </c:tx>
          <c:spPr>
            <a:solidFill>
              <a:schemeClr val="accent6"/>
            </a:solidFill>
            <a:ln>
              <a:noFill/>
            </a:ln>
            <a:effectLst/>
          </c:spPr>
          <c:invertIfNegative val="0"/>
          <c:cat>
            <c:strRef>
              <c:f>('Energy compare'!$A$93,'Energy compare'!$A$53,'Energy compare'!$A$43,'Energy compare'!$A$73,'Energy compare'!$A$83,'Energy compare'!$A$63,'Energy compare'!$A$34,'Energy compare'!$A$123,'Energy compare'!$A$2)</c:f>
              <c:strCache>
                <c:ptCount val="9"/>
                <c:pt idx="0">
                  <c:v>VF: geothermal</c:v>
                </c:pt>
                <c:pt idx="1">
                  <c:v>VF: blue hydrogen</c:v>
                </c:pt>
                <c:pt idx="2">
                  <c:v>VF: wind energy</c:v>
                </c:pt>
                <c:pt idx="3">
                  <c:v>VF: ocean/tidal energy</c:v>
                </c:pt>
                <c:pt idx="4">
                  <c:v>VF: nuclear energy</c:v>
                </c:pt>
                <c:pt idx="5">
                  <c:v>VF: solar energy</c:v>
                </c:pt>
                <c:pt idx="6">
                  <c:v>VF: UK grid mix</c:v>
                </c:pt>
                <c:pt idx="7">
                  <c:v>USA Greenhouse </c:v>
                </c:pt>
                <c:pt idx="8">
                  <c:v>Trad. farming: spanish grid mix</c:v>
                </c:pt>
              </c:strCache>
            </c:strRef>
          </c:cat>
          <c:val>
            <c:numRef>
              <c:f>('Energy compare'!$J$98,'Energy compare'!$J$58,'Energy compare'!$J$48,'Energy compare'!$J$78,'Energy compare'!$J$88,'Energy compare'!$J$68,'Energy compare'!$J$39,'Energy compare'!$J$124,'Energy compare'!$J$7)</c:f>
              <c:numCache>
                <c:formatCode>General</c:formatCode>
                <c:ptCount val="9"/>
                <c:pt idx="0">
                  <c:v>0</c:v>
                </c:pt>
                <c:pt idx="1">
                  <c:v>0</c:v>
                </c:pt>
                <c:pt idx="2">
                  <c:v>0</c:v>
                </c:pt>
                <c:pt idx="3">
                  <c:v>0</c:v>
                </c:pt>
                <c:pt idx="4">
                  <c:v>0</c:v>
                </c:pt>
                <c:pt idx="5">
                  <c:v>0</c:v>
                </c:pt>
                <c:pt idx="6">
                  <c:v>0</c:v>
                </c:pt>
                <c:pt idx="7">
                  <c:v>0</c:v>
                </c:pt>
                <c:pt idx="8">
                  <c:v>1.0350000000000002E-2</c:v>
                </c:pt>
              </c:numCache>
            </c:numRef>
          </c:val>
          <c:extLst>
            <c:ext xmlns:c16="http://schemas.microsoft.com/office/drawing/2014/chart" uri="{C3380CC4-5D6E-409C-BE32-E72D297353CC}">
              <c16:uniqueId val="{00000003-CD83-934D-8FC5-5A81E87481D9}"/>
            </c:ext>
          </c:extLst>
        </c:ser>
        <c:ser>
          <c:idx val="6"/>
          <c:order val="4"/>
          <c:tx>
            <c:v>Energy consumption</c:v>
          </c:tx>
          <c:spPr>
            <a:solidFill>
              <a:srgbClr val="002060"/>
            </a:solidFill>
            <a:ln>
              <a:noFill/>
            </a:ln>
            <a:effectLst/>
          </c:spPr>
          <c:invertIfNegative val="0"/>
          <c:cat>
            <c:strRef>
              <c:f>('Energy compare'!$A$93,'Energy compare'!$A$53,'Energy compare'!$A$43,'Energy compare'!$A$73,'Energy compare'!$A$83,'Energy compare'!$A$63,'Energy compare'!$A$34,'Energy compare'!$A$123,'Energy compare'!$A$2)</c:f>
              <c:strCache>
                <c:ptCount val="9"/>
                <c:pt idx="0">
                  <c:v>VF: geothermal</c:v>
                </c:pt>
                <c:pt idx="1">
                  <c:v>VF: blue hydrogen</c:v>
                </c:pt>
                <c:pt idx="2">
                  <c:v>VF: wind energy</c:v>
                </c:pt>
                <c:pt idx="3">
                  <c:v>VF: ocean/tidal energy</c:v>
                </c:pt>
                <c:pt idx="4">
                  <c:v>VF: nuclear energy</c:v>
                </c:pt>
                <c:pt idx="5">
                  <c:v>VF: solar energy</c:v>
                </c:pt>
                <c:pt idx="6">
                  <c:v>VF: UK grid mix</c:v>
                </c:pt>
                <c:pt idx="7">
                  <c:v>USA Greenhouse </c:v>
                </c:pt>
                <c:pt idx="8">
                  <c:v>Trad. farming: spanish grid mix</c:v>
                </c:pt>
              </c:strCache>
            </c:strRef>
          </c:cat>
          <c:val>
            <c:numRef>
              <c:f>('Energy compare'!$L$98,'Energy compare'!$L$58,'Energy compare'!$L$48,'Energy compare'!$L$78,'Energy compare'!$L$88,'Energy compare'!$L$68,'Energy compare'!$L$39,'Energy compare'!$L$124,'Energy compare'!$L$7)</c:f>
              <c:numCache>
                <c:formatCode>General</c:formatCode>
                <c:ptCount val="9"/>
                <c:pt idx="0" formatCode="@">
                  <c:v>1.3189826318458413</c:v>
                </c:pt>
                <c:pt idx="1">
                  <c:v>3.2597713615618655</c:v>
                </c:pt>
                <c:pt idx="2">
                  <c:v>1.6958348123732248</c:v>
                </c:pt>
                <c:pt idx="3">
                  <c:v>0.75370436105476646</c:v>
                </c:pt>
                <c:pt idx="4">
                  <c:v>1.8842609026369166</c:v>
                </c:pt>
                <c:pt idx="5">
                  <c:v>1.3189826318458413</c:v>
                </c:pt>
                <c:pt idx="6">
                  <c:v>8.7859317368154137</c:v>
                </c:pt>
                <c:pt idx="7">
                  <c:v>0</c:v>
                </c:pt>
                <c:pt idx="8">
                  <c:v>5.1027818599999997E-2</c:v>
                </c:pt>
              </c:numCache>
            </c:numRef>
          </c:val>
          <c:extLst>
            <c:ext xmlns:c16="http://schemas.microsoft.com/office/drawing/2014/chart" uri="{C3380CC4-5D6E-409C-BE32-E72D297353CC}">
              <c16:uniqueId val="{00000004-CD83-934D-8FC5-5A81E87481D9}"/>
            </c:ext>
          </c:extLst>
        </c:ser>
        <c:ser>
          <c:idx val="7"/>
          <c:order val="5"/>
          <c:tx>
            <c:v>Petrol for machinery</c:v>
          </c:tx>
          <c:spPr>
            <a:solidFill>
              <a:schemeClr val="accent2">
                <a:lumMod val="60000"/>
              </a:schemeClr>
            </a:solidFill>
            <a:ln>
              <a:noFill/>
            </a:ln>
            <a:effectLst/>
          </c:spPr>
          <c:invertIfNegative val="0"/>
          <c:cat>
            <c:strRef>
              <c:f>('Energy compare'!$A$93,'Energy compare'!$A$53,'Energy compare'!$A$43,'Energy compare'!$A$73,'Energy compare'!$A$83,'Energy compare'!$A$63,'Energy compare'!$A$34,'Energy compare'!$A$123,'Energy compare'!$A$2)</c:f>
              <c:strCache>
                <c:ptCount val="9"/>
                <c:pt idx="0">
                  <c:v>VF: geothermal</c:v>
                </c:pt>
                <c:pt idx="1">
                  <c:v>VF: blue hydrogen</c:v>
                </c:pt>
                <c:pt idx="2">
                  <c:v>VF: wind energy</c:v>
                </c:pt>
                <c:pt idx="3">
                  <c:v>VF: ocean/tidal energy</c:v>
                </c:pt>
                <c:pt idx="4">
                  <c:v>VF: nuclear energy</c:v>
                </c:pt>
                <c:pt idx="5">
                  <c:v>VF: solar energy</c:v>
                </c:pt>
                <c:pt idx="6">
                  <c:v>VF: UK grid mix</c:v>
                </c:pt>
                <c:pt idx="7">
                  <c:v>USA Greenhouse </c:v>
                </c:pt>
                <c:pt idx="8">
                  <c:v>Trad. farming: spanish grid mix</c:v>
                </c:pt>
              </c:strCache>
            </c:strRef>
          </c:cat>
          <c:val>
            <c:numRef>
              <c:f>('Energy compare'!$K$98,'Energy compare'!$K$58,'Energy compare'!$K$48,'Energy compare'!$K$78,'Energy compare'!$K$88,'Energy compare'!$K$68,'Energy compare'!$K$39,'Energy compare'!$K$124,'Energy compare'!$K$7)</c:f>
              <c:numCache>
                <c:formatCode>General</c:formatCode>
                <c:ptCount val="9"/>
                <c:pt idx="0">
                  <c:v>0</c:v>
                </c:pt>
                <c:pt idx="1">
                  <c:v>0</c:v>
                </c:pt>
                <c:pt idx="2">
                  <c:v>0</c:v>
                </c:pt>
                <c:pt idx="3">
                  <c:v>0</c:v>
                </c:pt>
                <c:pt idx="4">
                  <c:v>0</c:v>
                </c:pt>
                <c:pt idx="5">
                  <c:v>0</c:v>
                </c:pt>
                <c:pt idx="6">
                  <c:v>0</c:v>
                </c:pt>
                <c:pt idx="7">
                  <c:v>0</c:v>
                </c:pt>
                <c:pt idx="8">
                  <c:v>5.5384615384615381E-3</c:v>
                </c:pt>
              </c:numCache>
            </c:numRef>
          </c:val>
          <c:extLst>
            <c:ext xmlns:c16="http://schemas.microsoft.com/office/drawing/2014/chart" uri="{C3380CC4-5D6E-409C-BE32-E72D297353CC}">
              <c16:uniqueId val="{00000005-CD83-934D-8FC5-5A81E87481D9}"/>
            </c:ext>
          </c:extLst>
        </c:ser>
        <c:ser>
          <c:idx val="12"/>
          <c:order val="6"/>
          <c:tx>
            <c:v>Waste</c:v>
          </c:tx>
          <c:spPr>
            <a:solidFill>
              <a:schemeClr val="accent1">
                <a:lumMod val="80000"/>
                <a:lumOff val="20000"/>
              </a:schemeClr>
            </a:solidFill>
            <a:ln>
              <a:noFill/>
            </a:ln>
            <a:effectLst/>
          </c:spPr>
          <c:invertIfNegative val="0"/>
          <c:cat>
            <c:strRef>
              <c:f>('Energy compare'!$A$93,'Energy compare'!$A$53,'Energy compare'!$A$43,'Energy compare'!$A$73,'Energy compare'!$A$83,'Energy compare'!$A$63,'Energy compare'!$A$34,'Energy compare'!$A$123,'Energy compare'!$A$2)</c:f>
              <c:strCache>
                <c:ptCount val="9"/>
                <c:pt idx="0">
                  <c:v>VF: geothermal</c:v>
                </c:pt>
                <c:pt idx="1">
                  <c:v>VF: blue hydrogen</c:v>
                </c:pt>
                <c:pt idx="2">
                  <c:v>VF: wind energy</c:v>
                </c:pt>
                <c:pt idx="3">
                  <c:v>VF: ocean/tidal energy</c:v>
                </c:pt>
                <c:pt idx="4">
                  <c:v>VF: nuclear energy</c:v>
                </c:pt>
                <c:pt idx="5">
                  <c:v>VF: solar energy</c:v>
                </c:pt>
                <c:pt idx="6">
                  <c:v>VF: UK grid mix</c:v>
                </c:pt>
                <c:pt idx="7">
                  <c:v>USA Greenhouse </c:v>
                </c:pt>
                <c:pt idx="8">
                  <c:v>Trad. farming: spanish grid mix</c:v>
                </c:pt>
              </c:strCache>
            </c:strRef>
          </c:cat>
          <c:val>
            <c:numRef>
              <c:f>('Energy compare'!$R$98,'Energy compare'!$R$58,'Energy compare'!$R$48,'Energy compare'!$R$78,'Energy compare'!$R$88,'Energy compare'!$R$68,'Energy compare'!$R$39,'Energy compare'!$R$125,'Energy compare'!$R$7)</c:f>
              <c:numCache>
                <c:formatCode>General</c:formatCode>
                <c:ptCount val="9"/>
                <c:pt idx="0">
                  <c:v>0.20383205282285319</c:v>
                </c:pt>
                <c:pt idx="1">
                  <c:v>0.49495036228025679</c:v>
                </c:pt>
                <c:pt idx="2">
                  <c:v>0.26035987990196069</c:v>
                </c:pt>
                <c:pt idx="3">
                  <c:v>0.11904031220419198</c:v>
                </c:pt>
                <c:pt idx="4">
                  <c:v>0.28862379344151451</c:v>
                </c:pt>
                <c:pt idx="5">
                  <c:v>0.20383205282285319</c:v>
                </c:pt>
                <c:pt idx="6">
                  <c:v>1.3238744185682891</c:v>
                </c:pt>
                <c:pt idx="8">
                  <c:v>0.46</c:v>
                </c:pt>
              </c:numCache>
            </c:numRef>
          </c:val>
          <c:extLst>
            <c:ext xmlns:c16="http://schemas.microsoft.com/office/drawing/2014/chart" uri="{C3380CC4-5D6E-409C-BE32-E72D297353CC}">
              <c16:uniqueId val="{00000006-CD83-934D-8FC5-5A81E87481D9}"/>
            </c:ext>
          </c:extLst>
        </c:ser>
        <c:ser>
          <c:idx val="8"/>
          <c:order val="7"/>
          <c:tx>
            <c:strRef>
              <c:f>'Carbon Footprint Life Cycle'!$M$4</c:f>
              <c:strCache>
                <c:ptCount val="1"/>
                <c:pt idx="0">
                  <c:v>Food Miles (km)</c:v>
                </c:pt>
              </c:strCache>
            </c:strRef>
          </c:tx>
          <c:spPr>
            <a:solidFill>
              <a:schemeClr val="accent3">
                <a:lumMod val="60000"/>
              </a:schemeClr>
            </a:solidFill>
            <a:ln>
              <a:noFill/>
            </a:ln>
            <a:effectLst/>
          </c:spPr>
          <c:invertIfNegative val="0"/>
          <c:cat>
            <c:strRef>
              <c:f>('Energy compare'!$A$93,'Energy compare'!$A$53,'Energy compare'!$A$43,'Energy compare'!$A$73,'Energy compare'!$A$83,'Energy compare'!$A$63,'Energy compare'!$A$34,'Energy compare'!$A$123,'Energy compare'!$A$2)</c:f>
              <c:strCache>
                <c:ptCount val="9"/>
                <c:pt idx="0">
                  <c:v>VF: geothermal</c:v>
                </c:pt>
                <c:pt idx="1">
                  <c:v>VF: blue hydrogen</c:v>
                </c:pt>
                <c:pt idx="2">
                  <c:v>VF: wind energy</c:v>
                </c:pt>
                <c:pt idx="3">
                  <c:v>VF: ocean/tidal energy</c:v>
                </c:pt>
                <c:pt idx="4">
                  <c:v>VF: nuclear energy</c:v>
                </c:pt>
                <c:pt idx="5">
                  <c:v>VF: solar energy</c:v>
                </c:pt>
                <c:pt idx="6">
                  <c:v>VF: UK grid mix</c:v>
                </c:pt>
                <c:pt idx="7">
                  <c:v>USA Greenhouse </c:v>
                </c:pt>
                <c:pt idx="8">
                  <c:v>Trad. farming: spanish grid mix</c:v>
                </c:pt>
              </c:strCache>
            </c:strRef>
          </c:cat>
          <c:val>
            <c:numRef>
              <c:f>('Energy compare'!$O$98,'Energy compare'!$O$58,'Energy compare'!$O$48,'Energy compare'!$O$78,'Energy compare'!$O$88,'Energy compare'!$O$68,'Energy compare'!$O$39,'Energy compare'!$M$124,'Energy compare'!$O$7)</c:f>
              <c:numCache>
                <c:formatCode>General</c:formatCode>
                <c:ptCount val="9"/>
                <c:pt idx="0">
                  <c:v>5.4249999999999993E-3</c:v>
                </c:pt>
                <c:pt idx="1">
                  <c:v>5.4249999999999993E-3</c:v>
                </c:pt>
                <c:pt idx="2">
                  <c:v>5.4249999999999993E-3</c:v>
                </c:pt>
                <c:pt idx="3">
                  <c:v>5.4249999999999993E-3</c:v>
                </c:pt>
                <c:pt idx="4">
                  <c:v>5.4249999999999993E-3</c:v>
                </c:pt>
                <c:pt idx="5">
                  <c:v>5.4249999999999993E-3</c:v>
                </c:pt>
                <c:pt idx="6">
                  <c:v>5.4249999999999993E-3</c:v>
                </c:pt>
                <c:pt idx="7">
                  <c:v>0</c:v>
                </c:pt>
                <c:pt idx="8">
                  <c:v>0.52080000000000004</c:v>
                </c:pt>
              </c:numCache>
            </c:numRef>
          </c:val>
          <c:extLst>
            <c:ext xmlns:c16="http://schemas.microsoft.com/office/drawing/2014/chart" uri="{C3380CC4-5D6E-409C-BE32-E72D297353CC}">
              <c16:uniqueId val="{00000007-CD83-934D-8FC5-5A81E87481D9}"/>
            </c:ext>
          </c:extLst>
        </c:ser>
        <c:ser>
          <c:idx val="0"/>
          <c:order val="8"/>
          <c:tx>
            <c:strRef>
              <c:f>'Energy compare'!$S$36</c:f>
              <c:strCache>
                <c:ptCount val="1"/>
                <c:pt idx="0">
                  <c:v>Deforestation</c:v>
                </c:pt>
              </c:strCache>
            </c:strRef>
          </c:tx>
          <c:spPr>
            <a:solidFill>
              <a:schemeClr val="accent6">
                <a:lumMod val="40000"/>
                <a:lumOff val="60000"/>
              </a:schemeClr>
            </a:solidFill>
            <a:ln>
              <a:noFill/>
            </a:ln>
            <a:effectLst/>
          </c:spPr>
          <c:invertIfNegative val="0"/>
          <c:cat>
            <c:strRef>
              <c:f>('Energy compare'!$A$93,'Energy compare'!$A$53,'Energy compare'!$A$43,'Energy compare'!$A$73,'Energy compare'!$A$83,'Energy compare'!$A$63,'Energy compare'!$A$34,'Energy compare'!$A$123,'Energy compare'!$A$2)</c:f>
              <c:strCache>
                <c:ptCount val="9"/>
                <c:pt idx="0">
                  <c:v>VF: geothermal</c:v>
                </c:pt>
                <c:pt idx="1">
                  <c:v>VF: blue hydrogen</c:v>
                </c:pt>
                <c:pt idx="2">
                  <c:v>VF: wind energy</c:v>
                </c:pt>
                <c:pt idx="3">
                  <c:v>VF: ocean/tidal energy</c:v>
                </c:pt>
                <c:pt idx="4">
                  <c:v>VF: nuclear energy</c:v>
                </c:pt>
                <c:pt idx="5">
                  <c:v>VF: solar energy</c:v>
                </c:pt>
                <c:pt idx="6">
                  <c:v>VF: UK grid mix</c:v>
                </c:pt>
                <c:pt idx="7">
                  <c:v>USA Greenhouse </c:v>
                </c:pt>
                <c:pt idx="8">
                  <c:v>Trad. farming: spanish grid mix</c:v>
                </c:pt>
              </c:strCache>
            </c:strRef>
          </c:cat>
          <c:val>
            <c:numRef>
              <c:f>('Energy compare'!$S$98,'Energy compare'!$S$58,'Energy compare'!$S$48,'Energy compare'!$S$78,'Energy compare'!$S$88,'Energy compare'!$S$68,'Energy compare'!$S$39,'Energy compare'!$N$125,'Energy compare'!$S$7)</c:f>
              <c:numCache>
                <c:formatCode>General</c:formatCode>
                <c:ptCount val="9"/>
                <c:pt idx="0">
                  <c:v>0.65345219601119986</c:v>
                </c:pt>
                <c:pt idx="1">
                  <c:v>0.65345219601119986</c:v>
                </c:pt>
                <c:pt idx="2">
                  <c:v>0.65345219601119986</c:v>
                </c:pt>
                <c:pt idx="3">
                  <c:v>0.65345219601119986</c:v>
                </c:pt>
                <c:pt idx="4">
                  <c:v>0.65345219601119986</c:v>
                </c:pt>
                <c:pt idx="5">
                  <c:v>0.65345219601119986</c:v>
                </c:pt>
                <c:pt idx="6">
                  <c:v>0.65345219601119986</c:v>
                </c:pt>
                <c:pt idx="7">
                  <c:v>0.23131825537654827</c:v>
                </c:pt>
                <c:pt idx="8">
                  <c:v>3.9086057046824658</c:v>
                </c:pt>
              </c:numCache>
            </c:numRef>
          </c:val>
          <c:extLst>
            <c:ext xmlns:c16="http://schemas.microsoft.com/office/drawing/2014/chart" uri="{C3380CC4-5D6E-409C-BE32-E72D297353CC}">
              <c16:uniqueId val="{00000008-CD83-934D-8FC5-5A81E87481D9}"/>
            </c:ext>
          </c:extLst>
        </c:ser>
        <c:ser>
          <c:idx val="2"/>
          <c:order val="9"/>
          <c:tx>
            <c:v>Secondary data</c:v>
          </c:tx>
          <c:spPr>
            <a:solidFill>
              <a:schemeClr val="accent3"/>
            </a:solidFill>
            <a:ln>
              <a:noFill/>
            </a:ln>
            <a:effectLst/>
          </c:spPr>
          <c:invertIfNegative val="0"/>
          <c:val>
            <c:numRef>
              <c:f>'Energy compare'!$G$128:$O$128</c:f>
              <c:numCache>
                <c:formatCode>General</c:formatCode>
                <c:ptCount val="9"/>
                <c:pt idx="0">
                  <c:v>0</c:v>
                </c:pt>
                <c:pt idx="1">
                  <c:v>0</c:v>
                </c:pt>
                <c:pt idx="2">
                  <c:v>0</c:v>
                </c:pt>
                <c:pt idx="3">
                  <c:v>0</c:v>
                </c:pt>
                <c:pt idx="4">
                  <c:v>0</c:v>
                </c:pt>
                <c:pt idx="5">
                  <c:v>0</c:v>
                </c:pt>
                <c:pt idx="6">
                  <c:v>0</c:v>
                </c:pt>
                <c:pt idx="7">
                  <c:v>2.0699999999999998</c:v>
                </c:pt>
                <c:pt idx="8">
                  <c:v>0</c:v>
                </c:pt>
              </c:numCache>
            </c:numRef>
          </c:val>
          <c:extLst>
            <c:ext xmlns:c16="http://schemas.microsoft.com/office/drawing/2014/chart" uri="{C3380CC4-5D6E-409C-BE32-E72D297353CC}">
              <c16:uniqueId val="{0000000B-CD83-934D-8FC5-5A81E87481D9}"/>
            </c:ext>
          </c:extLst>
        </c:ser>
        <c:dLbls>
          <c:showLegendKey val="0"/>
          <c:showVal val="0"/>
          <c:showCatName val="0"/>
          <c:showSerName val="0"/>
          <c:showPercent val="0"/>
          <c:showBubbleSize val="0"/>
        </c:dLbls>
        <c:gapWidth val="150"/>
        <c:overlap val="100"/>
        <c:axId val="1029260271"/>
        <c:axId val="1029261919"/>
      </c:barChart>
      <c:catAx>
        <c:axId val="1029260271"/>
        <c:scaling>
          <c:orientation val="minMax"/>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sz="1400"/>
                  <a:t>Farm and energy type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029261919"/>
        <c:crosses val="autoZero"/>
        <c:auto val="1"/>
        <c:lblAlgn val="ctr"/>
        <c:lblOffset val="100"/>
        <c:noMultiLvlLbl val="0"/>
      </c:catAx>
      <c:valAx>
        <c:axId val="1029261919"/>
        <c:scaling>
          <c:orientation val="minMax"/>
          <c:max val="12"/>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sz="1400" b="0" i="0" baseline="0">
                    <a:effectLst/>
                  </a:rPr>
                  <a:t>kg of CO2e emissions per kg of lettuce</a:t>
                </a:r>
                <a:endParaRPr lang="en-GB" sz="1400">
                  <a:effectLst/>
                </a:endParaRP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029260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1187450</xdr:colOff>
      <xdr:row>0</xdr:row>
      <xdr:rowOff>95250</xdr:rowOff>
    </xdr:from>
    <xdr:ext cx="9134475" cy="1323975"/>
    <xdr:sp macro="" textlink="">
      <xdr:nvSpPr>
        <xdr:cNvPr id="3" name="Shape 3">
          <a:extLst>
            <a:ext uri="{FF2B5EF4-FFF2-40B4-BE49-F238E27FC236}">
              <a16:creationId xmlns:a16="http://schemas.microsoft.com/office/drawing/2014/main" id="{00000000-0008-0000-0000-000003000000}"/>
            </a:ext>
          </a:extLst>
        </xdr:cNvPr>
        <xdr:cNvSpPr txBox="1"/>
      </xdr:nvSpPr>
      <xdr:spPr>
        <a:xfrm>
          <a:off x="7435850" y="95250"/>
          <a:ext cx="9134475" cy="1323975"/>
        </a:xfrm>
        <a:prstGeom prst="rect">
          <a:avLst/>
        </a:prstGeom>
        <a:solidFill>
          <a:srgbClr val="FFFFFF"/>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dk1"/>
              </a:solidFill>
              <a:latin typeface="Calibri"/>
              <a:ea typeface="Calibri"/>
              <a:cs typeface="Calibri"/>
              <a:sym typeface="Calibri"/>
            </a:rPr>
            <a:t>Scenario for CO2 emissions calculations:</a:t>
          </a:r>
          <a:br>
            <a:rPr lang="en-US" sz="1100">
              <a:solidFill>
                <a:schemeClr val="dk1"/>
              </a:solidFill>
              <a:latin typeface="Calibri"/>
              <a:ea typeface="Calibri"/>
              <a:cs typeface="Calibri"/>
              <a:sym typeface="Calibri"/>
            </a:rPr>
          </a:b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twoCellAnchor>
    <xdr:from>
      <xdr:col>2</xdr:col>
      <xdr:colOff>698500</xdr:colOff>
      <xdr:row>18</xdr:row>
      <xdr:rowOff>57150</xdr:rowOff>
    </xdr:from>
    <xdr:to>
      <xdr:col>7</xdr:col>
      <xdr:colOff>177800</xdr:colOff>
      <xdr:row>46</xdr:row>
      <xdr:rowOff>63500</xdr:rowOff>
    </xdr:to>
    <xdr:graphicFrame macro="">
      <xdr:nvGraphicFramePr>
        <xdr:cNvPr id="3" name="Chart 2">
          <a:extLst>
            <a:ext uri="{FF2B5EF4-FFF2-40B4-BE49-F238E27FC236}">
              <a16:creationId xmlns:a16="http://schemas.microsoft.com/office/drawing/2014/main" id="{5782B5FC-35EA-5048-A46E-154DCFAF9C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520700</xdr:colOff>
      <xdr:row>18</xdr:row>
      <xdr:rowOff>76200</xdr:rowOff>
    </xdr:from>
    <xdr:to>
      <xdr:col>13</xdr:col>
      <xdr:colOff>469900</xdr:colOff>
      <xdr:row>46</xdr:row>
      <xdr:rowOff>82550</xdr:rowOff>
    </xdr:to>
    <xdr:graphicFrame macro="">
      <xdr:nvGraphicFramePr>
        <xdr:cNvPr id="4" name="Chart 3">
          <a:extLst>
            <a:ext uri="{FF2B5EF4-FFF2-40B4-BE49-F238E27FC236}">
              <a16:creationId xmlns:a16="http://schemas.microsoft.com/office/drawing/2014/main" id="{CBC8CB6F-6091-484E-90D1-BEDBF6D625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322943</xdr:colOff>
      <xdr:row>137</xdr:row>
      <xdr:rowOff>34471</xdr:rowOff>
    </xdr:from>
    <xdr:to>
      <xdr:col>15</xdr:col>
      <xdr:colOff>716643</xdr:colOff>
      <xdr:row>165</xdr:row>
      <xdr:rowOff>40821</xdr:rowOff>
    </xdr:to>
    <xdr:graphicFrame macro="">
      <xdr:nvGraphicFramePr>
        <xdr:cNvPr id="4" name="Chart 3">
          <a:extLst>
            <a:ext uri="{FF2B5EF4-FFF2-40B4-BE49-F238E27FC236}">
              <a16:creationId xmlns:a16="http://schemas.microsoft.com/office/drawing/2014/main" id="{FB926228-C4FF-5E45-9585-F72C51B9B9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558800</xdr:colOff>
      <xdr:row>120</xdr:row>
      <xdr:rowOff>82550</xdr:rowOff>
    </xdr:from>
    <xdr:to>
      <xdr:col>23</xdr:col>
      <xdr:colOff>812800</xdr:colOff>
      <xdr:row>148</xdr:row>
      <xdr:rowOff>88900</xdr:rowOff>
    </xdr:to>
    <xdr:graphicFrame macro="">
      <xdr:nvGraphicFramePr>
        <xdr:cNvPr id="5" name="Chart 4">
          <a:extLst>
            <a:ext uri="{FF2B5EF4-FFF2-40B4-BE49-F238E27FC236}">
              <a16:creationId xmlns:a16="http://schemas.microsoft.com/office/drawing/2014/main" id="{3CC79004-45F0-C842-AF88-790B0FD94B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657749</xdr:colOff>
      <xdr:row>137</xdr:row>
      <xdr:rowOff>56523</xdr:rowOff>
    </xdr:from>
    <xdr:to>
      <xdr:col>9</xdr:col>
      <xdr:colOff>10049</xdr:colOff>
      <xdr:row>165</xdr:row>
      <xdr:rowOff>62873</xdr:rowOff>
    </xdr:to>
    <xdr:graphicFrame macro="">
      <xdr:nvGraphicFramePr>
        <xdr:cNvPr id="6" name="Chart 5">
          <a:extLst>
            <a:ext uri="{FF2B5EF4-FFF2-40B4-BE49-F238E27FC236}">
              <a16:creationId xmlns:a16="http://schemas.microsoft.com/office/drawing/2014/main" id="{203D088F-1B62-9F47-8A37-271986D470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181430</xdr:colOff>
      <xdr:row>167</xdr:row>
      <xdr:rowOff>0</xdr:rowOff>
    </xdr:from>
    <xdr:to>
      <xdr:col>9</xdr:col>
      <xdr:colOff>9073</xdr:colOff>
      <xdr:row>188</xdr:row>
      <xdr:rowOff>63500</xdr:rowOff>
    </xdr:to>
    <xdr:graphicFrame macro="">
      <xdr:nvGraphicFramePr>
        <xdr:cNvPr id="7" name="Chart 6">
          <a:extLst>
            <a:ext uri="{FF2B5EF4-FFF2-40B4-BE49-F238E27FC236}">
              <a16:creationId xmlns:a16="http://schemas.microsoft.com/office/drawing/2014/main" id="{D1810976-52DD-3342-82BE-6C810DDD2B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21</xdr:col>
      <xdr:colOff>495300</xdr:colOff>
      <xdr:row>27</xdr:row>
      <xdr:rowOff>63500</xdr:rowOff>
    </xdr:from>
    <xdr:to>
      <xdr:col>28</xdr:col>
      <xdr:colOff>203200</xdr:colOff>
      <xdr:row>48</xdr:row>
      <xdr:rowOff>114300</xdr:rowOff>
    </xdr:to>
    <xdr:pic>
      <xdr:nvPicPr>
        <xdr:cNvPr id="4" name="Picture 3">
          <a:extLst>
            <a:ext uri="{FF2B5EF4-FFF2-40B4-BE49-F238E27FC236}">
              <a16:creationId xmlns:a16="http://schemas.microsoft.com/office/drawing/2014/main" id="{AB1A3501-576E-C84B-BC0C-4F0838BF9525}"/>
            </a:ext>
          </a:extLst>
        </xdr:cNvPr>
        <xdr:cNvPicPr>
          <a:picLocks noChangeAspect="1"/>
        </xdr:cNvPicPr>
      </xdr:nvPicPr>
      <xdr:blipFill>
        <a:blip xmlns:r="http://schemas.openxmlformats.org/officeDocument/2006/relationships" r:embed="rId1"/>
        <a:stretch>
          <a:fillRect/>
        </a:stretch>
      </xdr:blipFill>
      <xdr:spPr>
        <a:xfrm>
          <a:off x="25019000" y="9232900"/>
          <a:ext cx="7442200" cy="40513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Baumont de Oliveira, Francis" id="{9A527DCD-BDE6-0948-AD35-BF2CF1A226A8}" userId="S::sgfbaumo@liverpool.ac.uk::0aec5cd3-f133-40ba-be14-9b5b1f6dd0ca"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T64" dT="2021-12-15T19:47:11.47" personId="{9A527DCD-BDE6-0948-AD35-BF2CF1A226A8}" id="{20FC5B1D-790B-2649-8915-3D6579962666}">
    <text>https://www.statista.com/statistics/1190075/carbon-intensity-outlook-of-spain/#:~:text=The%20power%20sector%20in%20Spain,an%20estimated%2037%20gCO2%2FKWh.</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dspace.lib.cranfield.ac.uk/bitstream/handle/1826/3913/Estimation_of_the_greenhouse_gas_emissions_from_agricultural_pesticide_manufacture_and_use-2009.pdf;jsessionid=68BECFBC69928A0001083B2F578D349E?sequence=1" TargetMode="External"/><Relationship Id="rId3" Type="http://schemas.openxmlformats.org/officeDocument/2006/relationships/hyperlink" Target="http://assets.wwf.org.uk/downloads/how_low_report_1.pdf" TargetMode="External"/><Relationship Id="rId7" Type="http://schemas.openxmlformats.org/officeDocument/2006/relationships/hyperlink" Target="https://university.upstartfarmers.com/blog/why-how-supplement-co2-indoor-farms" TargetMode="External"/><Relationship Id="rId2" Type="http://schemas.openxmlformats.org/officeDocument/2006/relationships/hyperlink" Target="https://www.ncbi.nlm.nih.gov/pmc/articles/PMC4483736/" TargetMode="External"/><Relationship Id="rId1" Type="http://schemas.openxmlformats.org/officeDocument/2006/relationships/hyperlink" Target="https://secure.fera.defra.gov.uk/pusstats/surveys/documents/softfruit2016.pdf" TargetMode="External"/><Relationship Id="rId6" Type="http://schemas.openxmlformats.org/officeDocument/2006/relationships/hyperlink" Target="https://www.gov.uk/government/publications/greenhouse-gas-reporting-conversion-factors-2019" TargetMode="External"/><Relationship Id="rId5" Type="http://schemas.openxmlformats.org/officeDocument/2006/relationships/hyperlink" Target="https://secure.fera.defra.gov.uk/pusstats/surveys/documents/outdoorVegetables2017.pdf" TargetMode="External"/><Relationship Id="rId10" Type="http://schemas.openxmlformats.org/officeDocument/2006/relationships/drawing" Target="../drawings/drawing1.xml"/><Relationship Id="rId4" Type="http://schemas.openxmlformats.org/officeDocument/2006/relationships/hyperlink" Target="https://core.ac.uk/download/pdf/35458650.pdf" TargetMode="External"/><Relationship Id="rId9" Type="http://schemas.openxmlformats.org/officeDocument/2006/relationships/hyperlink" Target="http://www.winacc.org.uk/wp-content/uploads/2015/11/Laymans-Food-Transport.pdf"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knaufinsulation.com/sites/ki_com/files/uploads/Rock%20Mineral%20Wool%20DP7-DP8.pdf"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https://dspace.lib.cranfield.ac.uk/bitstream/handle/1826/3913/Estimation_of_the_greenhouse_gas_emissions_from_agricultural_pesticide_manufacture_and_use-2009.pdf;jsessionid=68BECFBC69928A0001083B2F578D349E?sequence=1" TargetMode="External"/><Relationship Id="rId1" Type="http://schemas.openxmlformats.org/officeDocument/2006/relationships/hyperlink" Target="https://secure.fera.defra.gov.uk/pusstats/surveys/documents/outdoorVegetables2017.pdf"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s://www.ipcc.ch/site/assets/uploads/2018/02/ipcc_wg3_ar5_chapter7.pdf" TargetMode="External"/><Relationship Id="rId1" Type="http://schemas.openxmlformats.org/officeDocument/2006/relationships/hyperlink" Target="https://www.gov.uk/government/publications/greenhouse-gas-reporting-conversion-factors-2019"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4.xml.rels><?xml version="1.0" encoding="UTF-8" standalone="yes"?>
<Relationships xmlns="http://schemas.openxmlformats.org/package/2006/relationships"><Relationship Id="rId1" Type="http://schemas.openxmlformats.org/officeDocument/2006/relationships/hyperlink" Target="https://university.upstartfarmers.com/blog/why-how-supplement-co2-indoor-farm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ncbi.nlm.nih.gov/pmc/articles/PMC4483736/"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assets.wwf.org.uk/downloads/how_low_report_1.pdf"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core.ac.uk/download/pdf/35458650.pdf"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sciencedirect.com/science/article/abs/pii/S0959652617304171?via%3Dihub" TargetMode="External"/><Relationship Id="rId2" Type="http://schemas.openxmlformats.org/officeDocument/2006/relationships/hyperlink" Target="http://dx.doi.org/10.1016/j.jclepro.2013.10.053" TargetMode="External"/><Relationship Id="rId1" Type="http://schemas.openxmlformats.org/officeDocument/2006/relationships/hyperlink" Target="https://dx.doi.org/10.1016/j.eja.2015.06.001" TargetMode="External"/><Relationship Id="rId6" Type="http://schemas.openxmlformats.org/officeDocument/2006/relationships/hyperlink" Target="http://dx.doi.org/10.3390/en13092361" TargetMode="External"/><Relationship Id="rId5" Type="http://schemas.openxmlformats.org/officeDocument/2006/relationships/hyperlink" Target="https://www.fertilizerseurope.com/wp-content/uploads/2020/01/The-carbon-footprint-of-fertilizer-production_Regional-reference-values.pdf" TargetMode="External"/><Relationship Id="rId4" Type="http://schemas.openxmlformats.org/officeDocument/2006/relationships/hyperlink" Target="https://doi.org/10.3389/fsufs.2021.6260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30"/>
  <sheetViews>
    <sheetView tabSelected="1" workbookViewId="0">
      <selection activeCell="F17" sqref="F17"/>
    </sheetView>
  </sheetViews>
  <sheetFormatPr baseColWidth="10" defaultColWidth="14.5" defaultRowHeight="15" customHeight="1"/>
  <cols>
    <col min="1" max="1" width="82" customWidth="1"/>
    <col min="2" max="2" width="17.33203125" customWidth="1"/>
    <col min="3" max="3" width="19.33203125" customWidth="1"/>
    <col min="4" max="4" width="24.33203125" customWidth="1"/>
    <col min="5" max="5" width="13.33203125" customWidth="1"/>
    <col min="6" max="6" width="21.33203125" customWidth="1"/>
    <col min="7" max="7" width="17" customWidth="1"/>
    <col min="8" max="8" width="18.83203125" customWidth="1"/>
    <col min="9" max="9" width="12.5" customWidth="1"/>
    <col min="10" max="10" width="20" customWidth="1"/>
    <col min="11" max="12" width="16.83203125" customWidth="1"/>
    <col min="13" max="13" width="62" customWidth="1"/>
    <col min="14" max="15" width="8.83203125" customWidth="1"/>
  </cols>
  <sheetData>
    <row r="1" spans="1:13" ht="24">
      <c r="A1" s="63" t="s">
        <v>323</v>
      </c>
      <c r="M1" s="1" t="s">
        <v>0</v>
      </c>
    </row>
    <row r="2" spans="1:13">
      <c r="A2" s="64" t="s">
        <v>324</v>
      </c>
    </row>
    <row r="3" spans="1:13">
      <c r="A3" s="65" t="s">
        <v>325</v>
      </c>
      <c r="B3" s="62"/>
      <c r="C3" s="62"/>
      <c r="D3" s="62"/>
      <c r="E3" s="62"/>
      <c r="F3" s="62"/>
      <c r="G3" s="62"/>
      <c r="H3" s="62"/>
      <c r="I3" s="62"/>
      <c r="J3" s="62"/>
    </row>
    <row r="4" spans="1:13">
      <c r="A4" s="66" t="s">
        <v>327</v>
      </c>
      <c r="B4" s="67"/>
      <c r="C4" s="67"/>
      <c r="D4" s="67"/>
      <c r="E4" s="67"/>
      <c r="F4" s="67"/>
      <c r="G4" s="67"/>
      <c r="H4" s="67"/>
      <c r="I4" s="67"/>
      <c r="J4" s="67"/>
      <c r="M4" s="2" t="s">
        <v>1</v>
      </c>
    </row>
    <row r="5" spans="1:13" ht="16" thickBot="1">
      <c r="A5" s="69" t="s">
        <v>328</v>
      </c>
    </row>
    <row r="6" spans="1:13">
      <c r="A6" s="68" t="s">
        <v>326</v>
      </c>
    </row>
    <row r="7" spans="1:13"/>
    <row r="8" spans="1:13">
      <c r="A8" s="103" t="s">
        <v>412</v>
      </c>
      <c r="B8" s="104">
        <v>3.9</v>
      </c>
      <c r="C8" s="103" t="s">
        <v>413</v>
      </c>
    </row>
    <row r="9" spans="1:13">
      <c r="A9" s="58" t="s">
        <v>345</v>
      </c>
      <c r="B9" s="62">
        <v>0.108</v>
      </c>
      <c r="C9" s="58" t="s">
        <v>50</v>
      </c>
    </row>
    <row r="10" spans="1:13">
      <c r="A10" s="128" t="s">
        <v>414</v>
      </c>
      <c r="B10" s="62">
        <v>0.87</v>
      </c>
      <c r="C10" s="58" t="s">
        <v>50</v>
      </c>
      <c r="D10" s="103" t="s">
        <v>415</v>
      </c>
    </row>
    <row r="11" spans="1:13">
      <c r="A11" s="72" t="s">
        <v>343</v>
      </c>
      <c r="B11" s="62">
        <v>33</v>
      </c>
      <c r="C11" s="58" t="s">
        <v>344</v>
      </c>
    </row>
    <row r="12" spans="1:13">
      <c r="A12" s="72" t="s">
        <v>347</v>
      </c>
      <c r="B12" s="90">
        <v>0</v>
      </c>
      <c r="C12" s="58" t="s">
        <v>348</v>
      </c>
    </row>
    <row r="13" spans="1:13">
      <c r="A13" s="128" t="s">
        <v>416</v>
      </c>
      <c r="B13" s="129">
        <f>C16*7.36</f>
        <v>7.36</v>
      </c>
      <c r="C13" s="103" t="s">
        <v>417</v>
      </c>
    </row>
    <row r="14" spans="1:13"/>
    <row r="15" spans="1:13" ht="29.25" customHeight="1">
      <c r="A15" t="s">
        <v>2</v>
      </c>
      <c r="B15" t="s">
        <v>3</v>
      </c>
      <c r="C15" s="3" t="s">
        <v>4</v>
      </c>
      <c r="D15" s="86" t="s">
        <v>342</v>
      </c>
      <c r="E15" s="4" t="s">
        <v>5</v>
      </c>
      <c r="F15" s="4" t="s">
        <v>6</v>
      </c>
      <c r="G15" s="4" t="s">
        <v>7</v>
      </c>
      <c r="H15" s="4" t="s">
        <v>8</v>
      </c>
      <c r="I15" s="4" t="s">
        <v>9</v>
      </c>
      <c r="J15" s="4" t="s">
        <v>10</v>
      </c>
      <c r="K15" s="4" t="s">
        <v>260</v>
      </c>
      <c r="L15" s="4" t="s">
        <v>322</v>
      </c>
    </row>
    <row r="16" spans="1:13">
      <c r="A16" s="5" t="s">
        <v>11</v>
      </c>
      <c r="B16" s="5" t="s">
        <v>12</v>
      </c>
      <c r="C16" s="5">
        <v>1</v>
      </c>
      <c r="D16" s="62">
        <v>16</v>
      </c>
      <c r="E16" s="5">
        <f>F16/B9</f>
        <v>1425.5892255892256</v>
      </c>
      <c r="F16" s="5">
        <f>C16*D16*B10*(365/B11)</f>
        <v>153.96363636363637</v>
      </c>
      <c r="G16" s="5">
        <v>6.6</v>
      </c>
      <c r="H16" s="5">
        <f>(F16/3.9)*0.000247105</f>
        <v>9.7551754778554788E-3</v>
      </c>
      <c r="I16" s="5">
        <f>0.404686*H16</f>
        <v>3.9477829434314219E-3</v>
      </c>
      <c r="J16" s="5">
        <f>'Energy Consumption'!B16</f>
        <v>66443.813244777572</v>
      </c>
      <c r="K16" s="62" t="s">
        <v>364</v>
      </c>
      <c r="L16" s="62" t="s">
        <v>333</v>
      </c>
    </row>
    <row r="17" spans="1:13">
      <c r="A17" s="5" t="s">
        <v>373</v>
      </c>
      <c r="B17" s="5" t="s">
        <v>12</v>
      </c>
      <c r="C17" s="5">
        <v>0</v>
      </c>
      <c r="D17" s="62">
        <v>0</v>
      </c>
      <c r="E17" s="130" t="s">
        <v>298</v>
      </c>
      <c r="F17" s="5">
        <v>39000</v>
      </c>
      <c r="G17" s="5">
        <f>F17/3.9</f>
        <v>10000</v>
      </c>
      <c r="H17" s="5">
        <f>G17/4046.86</f>
        <v>2.4710516301527603</v>
      </c>
      <c r="I17" s="5">
        <f>G17/10000</f>
        <v>1</v>
      </c>
      <c r="J17" s="5"/>
      <c r="K17" s="62"/>
      <c r="L17" s="62"/>
    </row>
    <row r="18" spans="1:13"/>
    <row r="19" spans="1:13" ht="47" customHeight="1">
      <c r="B19" s="6" t="s">
        <v>13</v>
      </c>
      <c r="C19" s="6" t="s">
        <v>14</v>
      </c>
      <c r="D19" s="6" t="s">
        <v>15</v>
      </c>
      <c r="E19" s="6" t="s">
        <v>16</v>
      </c>
      <c r="F19" s="6" t="s">
        <v>17</v>
      </c>
      <c r="G19" s="7" t="s">
        <v>18</v>
      </c>
      <c r="H19" s="7" t="s">
        <v>19</v>
      </c>
      <c r="I19" s="75" t="s">
        <v>332</v>
      </c>
      <c r="J19" s="74" t="s">
        <v>20</v>
      </c>
      <c r="K19" s="73" t="s">
        <v>21</v>
      </c>
      <c r="L19" s="100" t="s">
        <v>346</v>
      </c>
    </row>
    <row r="20" spans="1:13">
      <c r="A20" s="59" t="s">
        <v>361</v>
      </c>
      <c r="B20" s="92">
        <f>B21/3</f>
        <v>216</v>
      </c>
      <c r="C20" s="92">
        <f t="shared" ref="C20:K20" si="0">C21/3</f>
        <v>3352.9407301818187</v>
      </c>
      <c r="D20" s="92">
        <f t="shared" si="0"/>
        <v>17913.441272727272</v>
      </c>
      <c r="E20" s="92">
        <f>E21/3</f>
        <v>20310.364747272728</v>
      </c>
      <c r="F20" s="92">
        <f t="shared" si="0"/>
        <v>403.65000000000003</v>
      </c>
      <c r="G20" s="93">
        <f>G21/3</f>
        <v>-5747.3898456732604</v>
      </c>
      <c r="H20" s="92">
        <f t="shared" si="0"/>
        <v>245.70000000000002</v>
      </c>
      <c r="I20" s="92">
        <f>I21/3</f>
        <v>274.34213621551368</v>
      </c>
      <c r="J20" s="92">
        <f>J21/3</f>
        <v>36969.04904072408</v>
      </c>
      <c r="K20" s="98">
        <f t="shared" si="0"/>
        <v>36.96904904072408</v>
      </c>
      <c r="L20" s="82">
        <f>K20*1000/21</f>
        <v>1760.4309067011466</v>
      </c>
    </row>
    <row r="21" spans="1:13">
      <c r="A21" s="59" t="s">
        <v>362</v>
      </c>
      <c r="B21" s="94">
        <f>D46</f>
        <v>648</v>
      </c>
      <c r="C21" s="94">
        <f>D63</f>
        <v>10058.822190545456</v>
      </c>
      <c r="D21" s="94">
        <f>D79</f>
        <v>53740.323818181816</v>
      </c>
      <c r="E21" s="94">
        <f>D106</f>
        <v>60931.094241818188</v>
      </c>
      <c r="F21" s="94">
        <f>D121</f>
        <v>1210.95</v>
      </c>
      <c r="G21" s="95">
        <f>-'Energy Consumption'!D72</f>
        <v>-17242.169537019781</v>
      </c>
      <c r="H21" s="96">
        <f>D188</f>
        <v>737.1</v>
      </c>
      <c r="I21" s="97">
        <f>VLOOKUP(L16, Rewilding!A19:D24, 4, FALSE)</f>
        <v>823.02640864654109</v>
      </c>
      <c r="J21" s="94">
        <f>SUM(B21:I21)</f>
        <v>110907.14712217223</v>
      </c>
      <c r="K21" s="99">
        <f>J21/1000</f>
        <v>110.90714712217223</v>
      </c>
      <c r="L21" s="82">
        <f>L20</f>
        <v>1760.4309067011466</v>
      </c>
      <c r="M21" s="101" t="s">
        <v>360</v>
      </c>
    </row>
    <row r="22" spans="1:13">
      <c r="A22" s="8" t="s">
        <v>372</v>
      </c>
      <c r="B22" s="94">
        <f>D46</f>
        <v>648</v>
      </c>
      <c r="C22" s="94">
        <f>D63</f>
        <v>10058.822190545456</v>
      </c>
      <c r="D22" s="94">
        <f>D79</f>
        <v>53740.323818181816</v>
      </c>
      <c r="E22" s="94">
        <f>D106</f>
        <v>60931.094241818188</v>
      </c>
      <c r="F22" s="94">
        <f>D121</f>
        <v>1210.95</v>
      </c>
      <c r="G22" s="95">
        <f>-'Energy Consumption'!D72*B12</f>
        <v>0</v>
      </c>
      <c r="H22" s="96">
        <f>D188</f>
        <v>737.1</v>
      </c>
      <c r="I22" s="97">
        <f>VLOOKUP(L16, Rewilding!A19:D24, 4, FALSE)</f>
        <v>823.02640864654109</v>
      </c>
      <c r="J22" s="94">
        <f>SUM(B22:I22)</f>
        <v>128149.31665919202</v>
      </c>
      <c r="K22" s="99">
        <f>J22/1000</f>
        <v>128.14931665919201</v>
      </c>
      <c r="L22" s="82">
        <f>K22*1000/(21*3)</f>
        <v>2034.1161374474923</v>
      </c>
      <c r="M22" s="101"/>
    </row>
    <row r="23" spans="1:13">
      <c r="A23" s="8"/>
      <c r="B23" s="113"/>
      <c r="C23" s="113"/>
      <c r="D23" s="113"/>
      <c r="E23" s="113"/>
      <c r="F23" s="113"/>
      <c r="G23" s="114"/>
      <c r="H23" s="113"/>
      <c r="I23" s="115"/>
      <c r="J23" s="113"/>
      <c r="K23" s="113"/>
      <c r="L23" s="116"/>
      <c r="M23" s="101"/>
    </row>
    <row r="24" spans="1:13"/>
    <row r="25" spans="1:13"/>
    <row r="26" spans="1:13"/>
    <row r="27" spans="1:13">
      <c r="A27" s="8" t="s">
        <v>22</v>
      </c>
    </row>
    <row r="28" spans="1:13">
      <c r="A28" s="10" t="s">
        <v>23</v>
      </c>
      <c r="F28" s="10" t="s">
        <v>24</v>
      </c>
      <c r="M28" t="s">
        <v>25</v>
      </c>
    </row>
    <row r="29" spans="1:13">
      <c r="A29" s="11" t="s">
        <v>26</v>
      </c>
      <c r="B29" s="11">
        <v>24</v>
      </c>
      <c r="C29" s="11" t="s">
        <v>27</v>
      </c>
      <c r="D29" s="11"/>
      <c r="F29" s="10" t="s">
        <v>28</v>
      </c>
    </row>
    <row r="30" spans="1:13" ht="15.75" customHeight="1"/>
    <row r="31" spans="1:13" ht="15.75" customHeight="1">
      <c r="A31" s="10" t="s">
        <v>29</v>
      </c>
    </row>
    <row r="32" spans="1:13" ht="15.75" customHeight="1">
      <c r="A32" s="10" t="s">
        <v>30</v>
      </c>
      <c r="F32" s="12" t="s">
        <v>31</v>
      </c>
      <c r="G32" s="13"/>
    </row>
    <row r="33" spans="1:7" ht="15.75" customHeight="1">
      <c r="A33" s="10" t="s">
        <v>32</v>
      </c>
      <c r="F33" s="14" t="s">
        <v>2</v>
      </c>
      <c r="G33" s="15"/>
    </row>
    <row r="34" spans="1:7" ht="15.75" customHeight="1">
      <c r="A34" s="10" t="s">
        <v>33</v>
      </c>
      <c r="F34" s="16" t="s">
        <v>34</v>
      </c>
      <c r="G34" s="17"/>
    </row>
    <row r="35" spans="1:7" ht="15.75" customHeight="1">
      <c r="A35" s="11" t="s">
        <v>35</v>
      </c>
      <c r="B35" s="11">
        <v>2.5</v>
      </c>
      <c r="C35" s="11" t="s">
        <v>36</v>
      </c>
      <c r="D35" s="11"/>
      <c r="F35" s="18" t="s">
        <v>37</v>
      </c>
      <c r="G35" s="19"/>
    </row>
    <row r="36" spans="1:7" ht="15.75" customHeight="1">
      <c r="F36" s="20" t="s">
        <v>38</v>
      </c>
      <c r="G36" s="21"/>
    </row>
    <row r="37" spans="1:7" ht="15.75" customHeight="1">
      <c r="A37" t="s">
        <v>39</v>
      </c>
      <c r="B37">
        <f>I17</f>
        <v>1</v>
      </c>
      <c r="C37" t="s">
        <v>40</v>
      </c>
      <c r="F37" s="22" t="s">
        <v>41</v>
      </c>
      <c r="G37" s="23"/>
    </row>
    <row r="38" spans="1:7" ht="15.75" customHeight="1">
      <c r="A38" t="s">
        <v>42</v>
      </c>
      <c r="B38">
        <f>B29*B37</f>
        <v>24</v>
      </c>
      <c r="C38" t="s">
        <v>43</v>
      </c>
      <c r="F38" s="24" t="s">
        <v>44</v>
      </c>
      <c r="G38" s="25"/>
    </row>
    <row r="39" spans="1:7" ht="15.75" customHeight="1">
      <c r="A39" t="s">
        <v>45</v>
      </c>
      <c r="B39">
        <v>3.6</v>
      </c>
      <c r="C39" t="s">
        <v>46</v>
      </c>
    </row>
    <row r="40" spans="1:7" ht="15.75" customHeight="1">
      <c r="A40" t="s">
        <v>47</v>
      </c>
      <c r="B40">
        <f>B38*B39</f>
        <v>86.4</v>
      </c>
      <c r="C40" t="s">
        <v>48</v>
      </c>
    </row>
    <row r="41" spans="1:7" ht="15.75" customHeight="1">
      <c r="A41" t="s">
        <v>49</v>
      </c>
      <c r="B41">
        <f>B35*B40</f>
        <v>216</v>
      </c>
      <c r="C41" t="s">
        <v>50</v>
      </c>
    </row>
    <row r="42" spans="1:7" ht="15.75" customHeight="1"/>
    <row r="43" spans="1:7" ht="15.75" customHeight="1">
      <c r="A43" s="26" t="s">
        <v>51</v>
      </c>
      <c r="B43" s="26" t="s">
        <v>52</v>
      </c>
      <c r="C43" s="26" t="s">
        <v>53</v>
      </c>
      <c r="D43" s="26" t="s">
        <v>54</v>
      </c>
    </row>
    <row r="44" spans="1:7" ht="15.75" customHeight="1">
      <c r="A44" t="s">
        <v>55</v>
      </c>
      <c r="B44">
        <f>B41</f>
        <v>216</v>
      </c>
      <c r="C44">
        <f>B44*2</f>
        <v>432</v>
      </c>
      <c r="D44">
        <f>B44*3</f>
        <v>648</v>
      </c>
    </row>
    <row r="45" spans="1:7" ht="15.75" customHeight="1">
      <c r="A45" t="s">
        <v>56</v>
      </c>
      <c r="B45">
        <v>0</v>
      </c>
      <c r="C45">
        <v>0</v>
      </c>
      <c r="D45">
        <v>0</v>
      </c>
    </row>
    <row r="46" spans="1:7" ht="15.75" customHeight="1">
      <c r="A46" t="s">
        <v>57</v>
      </c>
      <c r="B46">
        <f t="shared" ref="B46:C46" si="1">B44-B45</f>
        <v>216</v>
      </c>
      <c r="C46">
        <f t="shared" si="1"/>
        <v>432</v>
      </c>
      <c r="D46" s="27">
        <f>D44-D45</f>
        <v>648</v>
      </c>
      <c r="E46" s="10" t="s">
        <v>58</v>
      </c>
    </row>
    <row r="47" spans="1:7" ht="15.75" customHeight="1"/>
    <row r="48" spans="1:7" ht="15.75" customHeight="1"/>
    <row r="49" spans="1:15" ht="15.75" customHeight="1">
      <c r="A49" s="8" t="s">
        <v>59</v>
      </c>
    </row>
    <row r="50" spans="1:15" ht="15.75" customHeight="1">
      <c r="A50" s="10" t="s">
        <v>60</v>
      </c>
      <c r="M50" s="2" t="s">
        <v>61</v>
      </c>
      <c r="O50" s="2"/>
    </row>
    <row r="51" spans="1:15" ht="15.75" customHeight="1">
      <c r="A51" s="10" t="s">
        <v>62</v>
      </c>
    </row>
    <row r="52" spans="1:15" ht="15.75" customHeight="1">
      <c r="A52" t="s">
        <v>63</v>
      </c>
      <c r="B52">
        <f>F16</f>
        <v>153.96363636363637</v>
      </c>
      <c r="C52" t="s">
        <v>64</v>
      </c>
    </row>
    <row r="53" spans="1:15" ht="15.75" customHeight="1">
      <c r="B53" t="s">
        <v>65</v>
      </c>
    </row>
    <row r="54" spans="1:15" ht="15.75" customHeight="1">
      <c r="A54" t="s">
        <v>66</v>
      </c>
      <c r="B54" t="s">
        <v>67</v>
      </c>
      <c r="C54" t="s">
        <v>68</v>
      </c>
    </row>
    <row r="55" spans="1:15" ht="15.75" customHeight="1">
      <c r="A55" t="s">
        <v>69</v>
      </c>
      <c r="B55" t="s">
        <v>70</v>
      </c>
      <c r="C55" t="s">
        <v>68</v>
      </c>
    </row>
    <row r="56" spans="1:15" ht="15.75" customHeight="1"/>
    <row r="57" spans="1:15" ht="15.75" customHeight="1">
      <c r="A57" s="11" t="s">
        <v>71</v>
      </c>
      <c r="B57" s="11">
        <v>344</v>
      </c>
      <c r="C57" t="s">
        <v>72</v>
      </c>
      <c r="M57" s="103" t="s">
        <v>73</v>
      </c>
    </row>
    <row r="58" spans="1:15" ht="15.75" customHeight="1"/>
    <row r="59" spans="1:15" ht="15.75" customHeight="1">
      <c r="A59" s="26" t="s">
        <v>74</v>
      </c>
      <c r="B59" s="26" t="s">
        <v>52</v>
      </c>
      <c r="C59" s="26" t="s">
        <v>53</v>
      </c>
      <c r="D59" s="26" t="s">
        <v>54</v>
      </c>
    </row>
    <row r="60" spans="1:15" ht="15.75" customHeight="1">
      <c r="A60" t="s">
        <v>75</v>
      </c>
      <c r="B60">
        <f>F17*250</f>
        <v>9750000</v>
      </c>
      <c r="C60">
        <f t="shared" ref="C60:C61" si="2">B60*2</f>
        <v>19500000</v>
      </c>
      <c r="D60">
        <f t="shared" ref="D60:D61" si="3">B60*3</f>
        <v>29250000</v>
      </c>
      <c r="E60" t="s">
        <v>76</v>
      </c>
    </row>
    <row r="61" spans="1:15" ht="15.75" customHeight="1">
      <c r="A61" t="s">
        <v>77</v>
      </c>
      <c r="B61">
        <f>B52*20</f>
        <v>3079.2727272727275</v>
      </c>
      <c r="C61">
        <f t="shared" si="2"/>
        <v>6158.545454545455</v>
      </c>
      <c r="D61">
        <f t="shared" si="3"/>
        <v>9237.818181818182</v>
      </c>
      <c r="E61" t="s">
        <v>76</v>
      </c>
    </row>
    <row r="62" spans="1:15" ht="15.75" customHeight="1">
      <c r="A62" t="s">
        <v>78</v>
      </c>
      <c r="B62">
        <f>B60-B61</f>
        <v>9746920.7272727266</v>
      </c>
      <c r="C62">
        <f t="shared" ref="C62:D62" si="4">C60-C61</f>
        <v>19493841.454545453</v>
      </c>
      <c r="D62">
        <f t="shared" si="4"/>
        <v>29240762.181818184</v>
      </c>
      <c r="E62" t="s">
        <v>76</v>
      </c>
    </row>
    <row r="63" spans="1:15" ht="15.75" customHeight="1">
      <c r="A63" t="s">
        <v>79</v>
      </c>
      <c r="B63">
        <f t="shared" ref="B63:D63" si="5">B62/1000000 * 344</f>
        <v>3352.9407301818178</v>
      </c>
      <c r="C63">
        <f t="shared" si="5"/>
        <v>6705.8814603636356</v>
      </c>
      <c r="D63" s="28">
        <f t="shared" si="5"/>
        <v>10058.822190545456</v>
      </c>
      <c r="E63" t="s">
        <v>58</v>
      </c>
      <c r="M63" t="s">
        <v>73</v>
      </c>
    </row>
    <row r="64" spans="1:15" ht="15.75" customHeight="1"/>
    <row r="65" spans="1:13" ht="15.75" customHeight="1">
      <c r="A65" s="8" t="s">
        <v>80</v>
      </c>
    </row>
    <row r="66" spans="1:13" ht="15.75" customHeight="1">
      <c r="A66" s="29" t="s">
        <v>81</v>
      </c>
      <c r="M66" s="29"/>
    </row>
    <row r="67" spans="1:13" ht="15.75" customHeight="1">
      <c r="A67" t="s">
        <v>82</v>
      </c>
      <c r="M67" s="2"/>
    </row>
    <row r="68" spans="1:13" ht="15.75" customHeight="1">
      <c r="A68" t="s">
        <v>83</v>
      </c>
      <c r="M68" s="2"/>
    </row>
    <row r="69" spans="1:13" ht="15.75" customHeight="1">
      <c r="A69" t="s">
        <v>84</v>
      </c>
      <c r="M69" s="2"/>
    </row>
    <row r="70" spans="1:13" ht="15.75" customHeight="1">
      <c r="M70" s="2"/>
    </row>
    <row r="71" spans="1:13" ht="15.75" customHeight="1">
      <c r="A71" s="11" t="s">
        <v>85</v>
      </c>
      <c r="B71" s="30">
        <v>0.4</v>
      </c>
      <c r="M71" s="2"/>
    </row>
    <row r="72" spans="1:13" ht="15.75" customHeight="1">
      <c r="A72" s="11" t="s">
        <v>86</v>
      </c>
      <c r="B72" s="30">
        <v>0.15</v>
      </c>
      <c r="C72" t="s">
        <v>87</v>
      </c>
      <c r="M72" s="29" t="s">
        <v>88</v>
      </c>
    </row>
    <row r="73" spans="1:13" ht="15.75" customHeight="1">
      <c r="A73" s="11" t="s">
        <v>89</v>
      </c>
      <c r="B73" s="11">
        <v>1.1499999999999999</v>
      </c>
      <c r="C73" t="s">
        <v>90</v>
      </c>
      <c r="M73" s="2" t="s">
        <v>91</v>
      </c>
    </row>
    <row r="74" spans="1:13" ht="15.75" customHeight="1">
      <c r="M74" s="2"/>
    </row>
    <row r="75" spans="1:13" ht="18" customHeight="1">
      <c r="A75" s="26" t="s">
        <v>92</v>
      </c>
      <c r="B75" s="26" t="s">
        <v>52</v>
      </c>
      <c r="C75" s="26" t="s">
        <v>53</v>
      </c>
      <c r="D75" s="26" t="s">
        <v>54</v>
      </c>
      <c r="M75" s="2" t="s">
        <v>93</v>
      </c>
    </row>
    <row r="76" spans="1:13" ht="15.75" customHeight="1">
      <c r="A76" t="s">
        <v>75</v>
      </c>
      <c r="B76">
        <f>F17*B71</f>
        <v>15600</v>
      </c>
      <c r="C76">
        <f t="shared" ref="C76:C77" si="6">B76*2</f>
        <v>31200</v>
      </c>
      <c r="D76">
        <f t="shared" ref="D76:D77" si="7">B76*3</f>
        <v>46800</v>
      </c>
      <c r="E76" t="s">
        <v>94</v>
      </c>
      <c r="M76" s="2"/>
    </row>
    <row r="77" spans="1:13" ht="15.75" customHeight="1">
      <c r="A77" t="s">
        <v>95</v>
      </c>
      <c r="B77">
        <f>F16*B72</f>
        <v>23.094545454545454</v>
      </c>
      <c r="C77">
        <f t="shared" si="6"/>
        <v>46.189090909090908</v>
      </c>
      <c r="D77">
        <f t="shared" si="7"/>
        <v>69.283636363636361</v>
      </c>
      <c r="E77" t="s">
        <v>96</v>
      </c>
    </row>
    <row r="78" spans="1:13" ht="15.75" customHeight="1">
      <c r="A78" t="s">
        <v>78</v>
      </c>
      <c r="B78">
        <f t="shared" ref="B78:D78" si="8">B76-B77</f>
        <v>15576.905454545455</v>
      </c>
      <c r="C78">
        <f t="shared" si="8"/>
        <v>31153.810909090909</v>
      </c>
      <c r="D78">
        <f t="shared" si="8"/>
        <v>46730.716363636362</v>
      </c>
      <c r="E78" t="s">
        <v>97</v>
      </c>
    </row>
    <row r="79" spans="1:13" ht="15.75" customHeight="1">
      <c r="A79" t="s">
        <v>79</v>
      </c>
      <c r="B79">
        <f>B78*B73</f>
        <v>17913.441272727272</v>
      </c>
      <c r="C79">
        <f>B79*2</f>
        <v>35826.882545454544</v>
      </c>
      <c r="D79" s="28">
        <f>B79*3</f>
        <v>53740.323818181816</v>
      </c>
      <c r="E79" t="s">
        <v>58</v>
      </c>
    </row>
    <row r="80" spans="1:13" ht="15.75" customHeight="1">
      <c r="A80" s="4"/>
      <c r="B80" s="3"/>
    </row>
    <row r="81" spans="1:13" ht="15.75" customHeight="1">
      <c r="A81" s="31" t="s">
        <v>98</v>
      </c>
    </row>
    <row r="82" spans="1:13" ht="15.75" customHeight="1">
      <c r="A82" s="32" t="s">
        <v>99</v>
      </c>
    </row>
    <row r="83" spans="1:13" ht="15.75" customHeight="1"/>
    <row r="84" spans="1:13" ht="15.75" customHeight="1">
      <c r="A84" s="11" t="s">
        <v>100</v>
      </c>
      <c r="B84" s="11">
        <v>45</v>
      </c>
      <c r="C84" t="s">
        <v>101</v>
      </c>
      <c r="G84" s="2"/>
      <c r="M84" s="2" t="s">
        <v>102</v>
      </c>
    </row>
    <row r="85" spans="1:13" ht="15.75" customHeight="1">
      <c r="A85" s="11" t="s">
        <v>103</v>
      </c>
      <c r="B85" s="30">
        <v>1</v>
      </c>
      <c r="C85" s="10" t="s">
        <v>104</v>
      </c>
    </row>
    <row r="86" spans="1:13" ht="15.75" customHeight="1">
      <c r="A86" s="132" t="s">
        <v>456</v>
      </c>
      <c r="B86" s="143">
        <v>2.5</v>
      </c>
      <c r="C86" s="9" t="s">
        <v>457</v>
      </c>
    </row>
    <row r="87" spans="1:13" ht="15.75" customHeight="1">
      <c r="A87" s="132" t="s">
        <v>458</v>
      </c>
      <c r="B87" s="143">
        <v>2400</v>
      </c>
      <c r="C87" s="9" t="s">
        <v>459</v>
      </c>
    </row>
    <row r="88" spans="1:13" ht="15.75" customHeight="1">
      <c r="A88" s="132" t="s">
        <v>474</v>
      </c>
      <c r="B88" s="143">
        <v>25</v>
      </c>
      <c r="C88" s="9" t="s">
        <v>459</v>
      </c>
    </row>
    <row r="89" spans="1:13" ht="15.75" customHeight="1">
      <c r="A89" s="132" t="s">
        <v>465</v>
      </c>
      <c r="B89" s="146">
        <v>3</v>
      </c>
      <c r="C89" s="9" t="s">
        <v>466</v>
      </c>
    </row>
    <row r="90" spans="1:13" ht="15.75" customHeight="1">
      <c r="A90" s="132" t="s">
        <v>460</v>
      </c>
      <c r="B90" s="146">
        <v>1000</v>
      </c>
      <c r="C90" s="9" t="s">
        <v>462</v>
      </c>
    </row>
    <row r="91" spans="1:13" ht="15.75" customHeight="1">
      <c r="A91" s="132" t="s">
        <v>461</v>
      </c>
      <c r="B91" s="143">
        <v>0.75</v>
      </c>
      <c r="C91" s="9" t="s">
        <v>463</v>
      </c>
    </row>
    <row r="92" spans="1:13" ht="15.75" customHeight="1">
      <c r="A92" s="132" t="s">
        <v>467</v>
      </c>
      <c r="B92" s="145">
        <v>0.124</v>
      </c>
      <c r="C92" s="9" t="s">
        <v>468</v>
      </c>
      <c r="D92" s="103" t="s">
        <v>469</v>
      </c>
      <c r="F92" s="56" t="s">
        <v>470</v>
      </c>
    </row>
    <row r="93" spans="1:13" ht="15.75" customHeight="1">
      <c r="A93" s="128"/>
      <c r="B93" s="144"/>
      <c r="C93" s="9"/>
    </row>
    <row r="94" spans="1:13" ht="15.75" customHeight="1">
      <c r="A94" s="128" t="s">
        <v>476</v>
      </c>
      <c r="B94" s="144">
        <f>B87/B89</f>
        <v>800</v>
      </c>
      <c r="C94" s="9" t="s">
        <v>464</v>
      </c>
    </row>
    <row r="95" spans="1:13" ht="15.75" customHeight="1">
      <c r="A95" s="128" t="s">
        <v>471</v>
      </c>
      <c r="B95" s="147">
        <f>B92*B87/1000</f>
        <v>0.29760000000000003</v>
      </c>
      <c r="C95" s="9" t="s">
        <v>472</v>
      </c>
    </row>
    <row r="96" spans="1:13" ht="15.75" customHeight="1">
      <c r="A96" s="128" t="s">
        <v>473</v>
      </c>
      <c r="B96" s="147">
        <f>B95*0.75</f>
        <v>0.22320000000000001</v>
      </c>
      <c r="C96" s="9" t="s">
        <v>472</v>
      </c>
    </row>
    <row r="97" spans="1:5" ht="15.75" customHeight="1">
      <c r="A97" s="128" t="s">
        <v>475</v>
      </c>
      <c r="B97" s="147">
        <f>B96+B95</f>
        <v>0.52080000000000004</v>
      </c>
      <c r="C97" s="9"/>
    </row>
    <row r="98" spans="1:5" ht="15.75" customHeight="1">
      <c r="A98" s="128"/>
      <c r="B98" s="147"/>
      <c r="C98" s="9"/>
    </row>
    <row r="99" spans="1:5" ht="15.75" customHeight="1">
      <c r="A99" s="128" t="s">
        <v>478</v>
      </c>
      <c r="B99" s="148">
        <f>B92*B88/1000</f>
        <v>3.0999999999999999E-3</v>
      </c>
      <c r="C99" s="9" t="s">
        <v>472</v>
      </c>
    </row>
    <row r="100" spans="1:5" ht="15.75" customHeight="1">
      <c r="A100" s="128" t="s">
        <v>479</v>
      </c>
      <c r="B100" s="147">
        <f>B99*0.75</f>
        <v>2.3249999999999998E-3</v>
      </c>
      <c r="C100" s="9"/>
    </row>
    <row r="101" spans="1:5" ht="15.75" customHeight="1">
      <c r="A101" s="128" t="s">
        <v>480</v>
      </c>
      <c r="B101" s="147">
        <f>B99+B100</f>
        <v>5.4249999999999993E-3</v>
      </c>
      <c r="C101" s="9"/>
    </row>
    <row r="102" spans="1:5" ht="15.75" customHeight="1"/>
    <row r="103" spans="1:5" ht="15.75" customHeight="1">
      <c r="A103" s="26" t="s">
        <v>105</v>
      </c>
      <c r="B103" s="26" t="s">
        <v>52</v>
      </c>
      <c r="C103" s="26" t="s">
        <v>53</v>
      </c>
      <c r="D103" s="26" t="s">
        <v>54</v>
      </c>
    </row>
    <row r="104" spans="1:5" ht="15.75" customHeight="1">
      <c r="A104" t="s">
        <v>106</v>
      </c>
      <c r="B104">
        <f>F17*B97</f>
        <v>20311.2</v>
      </c>
      <c r="C104">
        <f t="shared" ref="C104:C105" si="9">B104*2</f>
        <v>40622.400000000001</v>
      </c>
      <c r="D104">
        <f t="shared" ref="D104:D105" si="10">B104*3</f>
        <v>60933.600000000006</v>
      </c>
      <c r="E104" t="s">
        <v>107</v>
      </c>
    </row>
    <row r="105" spans="1:5" ht="15.75" customHeight="1">
      <c r="A105" t="s">
        <v>108</v>
      </c>
      <c r="B105">
        <f>B101*F16</f>
        <v>0.83525272727272715</v>
      </c>
      <c r="C105">
        <f t="shared" si="9"/>
        <v>1.6705054545454543</v>
      </c>
      <c r="D105">
        <f t="shared" si="10"/>
        <v>2.5057581818181816</v>
      </c>
      <c r="E105" s="103" t="s">
        <v>481</v>
      </c>
    </row>
    <row r="106" spans="1:5" ht="15.75" customHeight="1">
      <c r="A106" t="s">
        <v>110</v>
      </c>
      <c r="B106">
        <f>B104-B105</f>
        <v>20310.364747272728</v>
      </c>
      <c r="C106">
        <f t="shared" ref="C106:D106" si="11">C104-C105</f>
        <v>40620.729494545456</v>
      </c>
      <c r="D106">
        <f t="shared" si="11"/>
        <v>60931.094241818188</v>
      </c>
      <c r="E106" t="s">
        <v>97</v>
      </c>
    </row>
    <row r="107" spans="1:5" ht="15.75" customHeight="1"/>
    <row r="108" spans="1:5" ht="15.75" customHeight="1"/>
    <row r="109" spans="1:5" ht="15.75" customHeight="1"/>
    <row r="110" spans="1:5" ht="15.75" customHeight="1">
      <c r="A110" s="31" t="s">
        <v>112</v>
      </c>
    </row>
    <row r="111" spans="1:5" ht="15.75" customHeight="1">
      <c r="A111" t="s">
        <v>113</v>
      </c>
    </row>
    <row r="112" spans="1:5" ht="15.75" customHeight="1">
      <c r="A112" s="127" t="s">
        <v>245</v>
      </c>
    </row>
    <row r="113" spans="1:13" ht="15.75" customHeight="1">
      <c r="A113" s="11" t="s">
        <v>114</v>
      </c>
      <c r="B113" s="11">
        <f>23000/4391</f>
        <v>5.2379867911637437</v>
      </c>
      <c r="C113" s="10" t="s">
        <v>115</v>
      </c>
      <c r="D113" s="10" t="s">
        <v>116</v>
      </c>
      <c r="M113" s="2" t="s">
        <v>117</v>
      </c>
    </row>
    <row r="114" spans="1:13" ht="15.75" customHeight="1">
      <c r="A114" s="11" t="s">
        <v>118</v>
      </c>
      <c r="B114" s="11">
        <v>6.9000000000000006E-2</v>
      </c>
      <c r="C114" s="10" t="s">
        <v>119</v>
      </c>
      <c r="M114" s="56" t="s">
        <v>120</v>
      </c>
    </row>
    <row r="115" spans="1:13" ht="15.75" customHeight="1">
      <c r="A115" s="11" t="s">
        <v>121</v>
      </c>
      <c r="B115" s="11">
        <v>150</v>
      </c>
      <c r="C115" t="s">
        <v>122</v>
      </c>
      <c r="M115" t="s">
        <v>123</v>
      </c>
    </row>
    <row r="116" spans="1:13" ht="15.75" customHeight="1"/>
    <row r="117" spans="1:13" ht="15.75" customHeight="1">
      <c r="A117" s="26" t="s">
        <v>105</v>
      </c>
      <c r="B117" s="26" t="s">
        <v>52</v>
      </c>
      <c r="C117" s="26" t="s">
        <v>53</v>
      </c>
      <c r="D117" s="26" t="s">
        <v>54</v>
      </c>
    </row>
    <row r="118" spans="1:13" ht="15.75" customHeight="1">
      <c r="A118" t="s">
        <v>124</v>
      </c>
      <c r="B118">
        <f>B115*F17/1000</f>
        <v>5850</v>
      </c>
      <c r="C118">
        <f t="shared" ref="C118:C119" si="12">B118*2</f>
        <v>11700</v>
      </c>
      <c r="D118">
        <f t="shared" ref="D118:D119" si="13">B118*3</f>
        <v>17550</v>
      </c>
      <c r="E118" t="s">
        <v>125</v>
      </c>
    </row>
    <row r="119" spans="1:13" ht="15.75" customHeight="1">
      <c r="A119" t="s">
        <v>126</v>
      </c>
      <c r="B119">
        <v>0</v>
      </c>
      <c r="C119">
        <f t="shared" si="12"/>
        <v>0</v>
      </c>
      <c r="D119">
        <f t="shared" si="13"/>
        <v>0</v>
      </c>
      <c r="E119" t="s">
        <v>125</v>
      </c>
    </row>
    <row r="120" spans="1:13" ht="15.75" customHeight="1">
      <c r="A120" t="s">
        <v>78</v>
      </c>
      <c r="B120">
        <f t="shared" ref="B120:D120" si="14">B118-B119</f>
        <v>5850</v>
      </c>
      <c r="C120">
        <f t="shared" si="14"/>
        <v>11700</v>
      </c>
      <c r="D120">
        <f t="shared" si="14"/>
        <v>17550</v>
      </c>
      <c r="E120" t="s">
        <v>127</v>
      </c>
    </row>
    <row r="121" spans="1:13" ht="15.75" customHeight="1">
      <c r="A121" t="s">
        <v>79</v>
      </c>
      <c r="B121">
        <f>B120*B114</f>
        <v>403.65000000000003</v>
      </c>
      <c r="C121">
        <f t="shared" ref="C121:C122" si="15">B121*2</f>
        <v>807.30000000000007</v>
      </c>
      <c r="D121" s="33">
        <f t="shared" ref="D121:D122" si="16">B121*3</f>
        <v>1210.95</v>
      </c>
      <c r="E121" t="s">
        <v>58</v>
      </c>
    </row>
    <row r="122" spans="1:13" ht="15.75" customHeight="1">
      <c r="A122" t="s">
        <v>128</v>
      </c>
      <c r="B122">
        <f>B113*I16</f>
        <v>2.0678434912075314E-2</v>
      </c>
      <c r="C122">
        <f t="shared" si="15"/>
        <v>4.1356869824150627E-2</v>
      </c>
      <c r="D122" s="34">
        <f t="shared" si="16"/>
        <v>6.2035304736225941E-2</v>
      </c>
      <c r="E122" t="s">
        <v>129</v>
      </c>
    </row>
    <row r="123" spans="1:13" ht="15.75" customHeight="1"/>
    <row r="124" spans="1:13" ht="15.75" customHeight="1">
      <c r="A124" s="31" t="s">
        <v>130</v>
      </c>
    </row>
    <row r="125" spans="1:13" ht="15.75" customHeight="1">
      <c r="A125" s="10" t="s">
        <v>131</v>
      </c>
    </row>
    <row r="126" spans="1:13" ht="15.75" customHeight="1">
      <c r="A126" s="10" t="s">
        <v>132</v>
      </c>
    </row>
    <row r="127" spans="1:13" ht="15.75" customHeight="1">
      <c r="A127" t="s">
        <v>133</v>
      </c>
    </row>
    <row r="128" spans="1:13" ht="15.75" customHeight="1"/>
    <row r="129" spans="1:13" ht="15.75" customHeight="1">
      <c r="A129" t="s">
        <v>134</v>
      </c>
      <c r="B129" t="s">
        <v>135</v>
      </c>
      <c r="C129" t="s">
        <v>136</v>
      </c>
      <c r="D129" t="s">
        <v>137</v>
      </c>
      <c r="E129" t="s">
        <v>138</v>
      </c>
      <c r="F129" t="s">
        <v>139</v>
      </c>
      <c r="G129" t="s">
        <v>140</v>
      </c>
    </row>
    <row r="130" spans="1:13" ht="57" customHeight="1">
      <c r="A130" t="s">
        <v>141</v>
      </c>
      <c r="B130" s="4" t="s">
        <v>142</v>
      </c>
      <c r="C130" s="4" t="s">
        <v>143</v>
      </c>
      <c r="D130" s="4" t="s">
        <v>144</v>
      </c>
      <c r="E130" s="4" t="s">
        <v>145</v>
      </c>
      <c r="F130" s="4" t="s">
        <v>146</v>
      </c>
      <c r="G130" s="4" t="s">
        <v>147</v>
      </c>
    </row>
    <row r="131" spans="1:13" ht="15.75" customHeight="1">
      <c r="A131" t="s">
        <v>148</v>
      </c>
      <c r="B131">
        <f>C131*D131*(E131-F131)</f>
        <v>792.24599999999964</v>
      </c>
      <c r="C131">
        <v>0.5</v>
      </c>
      <c r="D131">
        <v>406.28</v>
      </c>
      <c r="E131">
        <v>23.9</v>
      </c>
      <c r="F131">
        <v>20</v>
      </c>
      <c r="G131" s="32">
        <v>0.75</v>
      </c>
    </row>
    <row r="132" spans="1:13" ht="15.75" customHeight="1">
      <c r="A132" s="10" t="s">
        <v>149</v>
      </c>
      <c r="B132" s="10" t="s">
        <v>150</v>
      </c>
      <c r="C132" s="4" t="s">
        <v>151</v>
      </c>
      <c r="D132" s="4" t="s">
        <v>152</v>
      </c>
      <c r="E132" s="4" t="s">
        <v>153</v>
      </c>
      <c r="F132" s="4" t="s">
        <v>154</v>
      </c>
      <c r="G132" s="4" t="s">
        <v>155</v>
      </c>
    </row>
    <row r="133" spans="1:13" ht="15.75" customHeight="1">
      <c r="C133" s="4"/>
      <c r="D133" s="4"/>
      <c r="E133" s="4"/>
      <c r="F133" s="4"/>
      <c r="G133" s="4"/>
    </row>
    <row r="134" spans="1:13" ht="15.75" customHeight="1">
      <c r="A134" s="11" t="s">
        <v>156</v>
      </c>
      <c r="B134" s="11">
        <f>B131*E134*365</f>
        <v>1927.7995638992991</v>
      </c>
      <c r="C134" s="4" t="s">
        <v>157</v>
      </c>
      <c r="D134" s="4"/>
      <c r="E134" s="4">
        <v>6.6666700000000004E-3</v>
      </c>
      <c r="F134" s="4" t="s">
        <v>158</v>
      </c>
    </row>
    <row r="135" spans="1:13" ht="15.75" customHeight="1">
      <c r="A135" s="11" t="s">
        <v>159</v>
      </c>
      <c r="B135" s="11">
        <v>1100</v>
      </c>
      <c r="C135" s="10" t="s">
        <v>160</v>
      </c>
      <c r="E135" s="10">
        <v>2.7777800000000001E-4</v>
      </c>
      <c r="F135" s="10" t="s">
        <v>161</v>
      </c>
    </row>
    <row r="136" spans="1:13" ht="15.75" customHeight="1">
      <c r="A136" s="11" t="s">
        <v>162</v>
      </c>
      <c r="B136" s="11">
        <v>90000</v>
      </c>
      <c r="C136" t="s">
        <v>160</v>
      </c>
      <c r="E136">
        <f>E135*B135</f>
        <v>0.30555579999999999</v>
      </c>
      <c r="F136" s="4" t="s">
        <v>408</v>
      </c>
      <c r="G136">
        <f>E135*B136</f>
        <v>25.000019999999999</v>
      </c>
    </row>
    <row r="137" spans="1:13" ht="15.75" customHeight="1">
      <c r="A137" s="11" t="s">
        <v>163</v>
      </c>
      <c r="B137" s="11">
        <v>0.25559999999999999</v>
      </c>
      <c r="C137" s="4" t="s">
        <v>164</v>
      </c>
      <c r="M137" s="2" t="s">
        <v>165</v>
      </c>
    </row>
    <row r="138" spans="1:13" ht="15.75" customHeight="1">
      <c r="A138" t="s">
        <v>166</v>
      </c>
      <c r="B138">
        <f>'Energy Consumption'!B15</f>
        <v>4754.2272000000003</v>
      </c>
      <c r="C138" t="s">
        <v>167</v>
      </c>
    </row>
    <row r="139" spans="1:13" ht="15.75" customHeight="1">
      <c r="A139" s="10" t="s">
        <v>168</v>
      </c>
      <c r="B139">
        <f>B134+B138</f>
        <v>6682.0267638992991</v>
      </c>
      <c r="C139" s="10" t="s">
        <v>169</v>
      </c>
    </row>
    <row r="140" spans="1:13" ht="15.75" customHeight="1"/>
    <row r="141" spans="1:13" ht="15.75" customHeight="1">
      <c r="A141" s="26" t="s">
        <v>170</v>
      </c>
      <c r="B141" s="26" t="s">
        <v>52</v>
      </c>
      <c r="C141" s="26" t="s">
        <v>53</v>
      </c>
      <c r="D141" s="26" t="s">
        <v>54</v>
      </c>
    </row>
    <row r="142" spans="1:13" ht="15.75" customHeight="1">
      <c r="A142" t="s">
        <v>171</v>
      </c>
      <c r="B142">
        <f>B135*E135*F16</f>
        <v>47.044482080000002</v>
      </c>
      <c r="C142">
        <f t="shared" ref="C142:C144" si="17">B142*2</f>
        <v>94.088964160000003</v>
      </c>
      <c r="D142">
        <f t="shared" ref="D142:D144" si="18">B142*3</f>
        <v>141.13344624000001</v>
      </c>
      <c r="E142" t="s">
        <v>172</v>
      </c>
    </row>
    <row r="143" spans="1:13" ht="15.75" customHeight="1">
      <c r="A143" t="s">
        <v>173</v>
      </c>
      <c r="B143">
        <f>B136*E135*F16</f>
        <v>3849.0939883636365</v>
      </c>
      <c r="C143">
        <f t="shared" si="17"/>
        <v>7698.1879767272731</v>
      </c>
      <c r="D143">
        <f t="shared" si="18"/>
        <v>11547.28196509091</v>
      </c>
      <c r="E143" t="s">
        <v>172</v>
      </c>
    </row>
    <row r="144" spans="1:13" ht="15.75" customHeight="1">
      <c r="A144" t="s">
        <v>174</v>
      </c>
      <c r="B144">
        <f>B139</f>
        <v>6682.0267638992991</v>
      </c>
      <c r="C144">
        <f t="shared" si="17"/>
        <v>13364.053527798598</v>
      </c>
      <c r="D144">
        <f t="shared" si="18"/>
        <v>20046.080291697897</v>
      </c>
      <c r="E144" t="s">
        <v>172</v>
      </c>
    </row>
    <row r="145" spans="1:13" ht="15.75" customHeight="1">
      <c r="A145" t="s">
        <v>175</v>
      </c>
      <c r="B145">
        <f t="shared" ref="B145:D145" si="19">B142-B144</f>
        <v>-6634.9822818192988</v>
      </c>
      <c r="C145">
        <f t="shared" si="19"/>
        <v>-13269.964563638598</v>
      </c>
      <c r="D145">
        <f t="shared" si="19"/>
        <v>-19904.946845457896</v>
      </c>
      <c r="E145" t="s">
        <v>176</v>
      </c>
    </row>
    <row r="146" spans="1:13" ht="15.75" customHeight="1">
      <c r="A146" t="s">
        <v>177</v>
      </c>
      <c r="B146">
        <f>B137*B145</f>
        <v>-1695.9014712330127</v>
      </c>
      <c r="C146">
        <f t="shared" ref="C146:C147" si="20">B146*2</f>
        <v>-3391.8029424660253</v>
      </c>
      <c r="D146" s="35">
        <f t="shared" ref="D146:D147" si="21">B146*3</f>
        <v>-5087.704413699038</v>
      </c>
      <c r="E146" t="s">
        <v>178</v>
      </c>
    </row>
    <row r="147" spans="1:13" ht="15.75" customHeight="1">
      <c r="A147" t="s">
        <v>179</v>
      </c>
      <c r="B147">
        <f>B146/1000</f>
        <v>-1.6959014712330127</v>
      </c>
      <c r="C147">
        <f t="shared" si="20"/>
        <v>-3.3918029424660254</v>
      </c>
      <c r="D147">
        <f t="shared" si="21"/>
        <v>-5.0877044136990381</v>
      </c>
      <c r="E147" t="s">
        <v>180</v>
      </c>
    </row>
    <row r="148" spans="1:13" ht="27.75" customHeight="1">
      <c r="A148" s="4" t="s">
        <v>181</v>
      </c>
      <c r="B148" s="10">
        <f t="shared" ref="B148:D148" si="22">B147*-1</f>
        <v>1.6959014712330127</v>
      </c>
      <c r="C148">
        <f t="shared" si="22"/>
        <v>3.3918029424660254</v>
      </c>
      <c r="D148">
        <f t="shared" si="22"/>
        <v>5.0877044136990381</v>
      </c>
      <c r="E148" t="s">
        <v>182</v>
      </c>
    </row>
    <row r="149" spans="1:13" ht="15.75" customHeight="1"/>
    <row r="150" spans="1:13" ht="15" customHeight="1">
      <c r="A150" s="31" t="s">
        <v>183</v>
      </c>
    </row>
    <row r="151" spans="1:13" ht="15" customHeight="1">
      <c r="A151" s="32" t="s">
        <v>184</v>
      </c>
    </row>
    <row r="152" spans="1:13" ht="15" customHeight="1">
      <c r="A152" s="32" t="s">
        <v>185</v>
      </c>
    </row>
    <row r="153" spans="1:13" ht="15" customHeight="1">
      <c r="A153" s="32" t="s">
        <v>186</v>
      </c>
    </row>
    <row r="154" spans="1:13" ht="15" customHeight="1">
      <c r="A154" s="32"/>
    </row>
    <row r="155" spans="1:13" ht="15" customHeight="1">
      <c r="A155" s="30" t="s">
        <v>187</v>
      </c>
      <c r="B155" s="11">
        <v>24</v>
      </c>
      <c r="C155" t="s">
        <v>188</v>
      </c>
      <c r="M155" t="s">
        <v>189</v>
      </c>
    </row>
    <row r="156" spans="1:13" ht="15" customHeight="1">
      <c r="A156" s="30" t="s">
        <v>190</v>
      </c>
      <c r="B156" s="11">
        <v>12</v>
      </c>
      <c r="C156" t="s">
        <v>191</v>
      </c>
      <c r="M156" t="s">
        <v>192</v>
      </c>
    </row>
    <row r="157" spans="1:13" ht="15" customHeight="1">
      <c r="A157" s="11" t="s">
        <v>163</v>
      </c>
      <c r="B157" s="11">
        <v>0.25559999999999999</v>
      </c>
      <c r="C157" s="4" t="s">
        <v>164</v>
      </c>
      <c r="M157" t="s">
        <v>193</v>
      </c>
    </row>
    <row r="158" spans="1:13" ht="15" customHeight="1">
      <c r="A158" t="s">
        <v>194</v>
      </c>
      <c r="B158" t="s">
        <v>195</v>
      </c>
      <c r="C158" s="4"/>
    </row>
    <row r="159" spans="1:13" ht="15" customHeight="1">
      <c r="C159" s="4"/>
    </row>
    <row r="160" spans="1:13" ht="15" customHeight="1">
      <c r="A160" s="36"/>
      <c r="B160" t="s">
        <v>196</v>
      </c>
      <c r="C160" t="s">
        <v>197</v>
      </c>
      <c r="D160" t="s">
        <v>198</v>
      </c>
      <c r="E160" t="s">
        <v>199</v>
      </c>
      <c r="F160" t="s">
        <v>200</v>
      </c>
      <c r="G160" t="s">
        <v>201</v>
      </c>
    </row>
    <row r="161" spans="1:13" ht="15" customHeight="1">
      <c r="A161" t="s">
        <v>202</v>
      </c>
      <c r="B161" s="10">
        <v>1400</v>
      </c>
      <c r="C161" s="10">
        <v>48</v>
      </c>
      <c r="D161" s="10">
        <f>(B161*C161)/1000</f>
        <v>67.2</v>
      </c>
      <c r="E161" s="10">
        <v>12</v>
      </c>
      <c r="F161" s="10">
        <f t="shared" ref="F161:F163" si="23">E161*D161</f>
        <v>806.40000000000009</v>
      </c>
      <c r="G161" s="10">
        <f t="shared" ref="G161:G163" si="24">F161*365</f>
        <v>294336.00000000006</v>
      </c>
      <c r="M161" t="s">
        <v>203</v>
      </c>
    </row>
    <row r="162" spans="1:13" ht="15" customHeight="1">
      <c r="A162" t="s">
        <v>204</v>
      </c>
      <c r="B162" s="10">
        <f>B155*C16</f>
        <v>24</v>
      </c>
      <c r="C162" s="10">
        <v>75</v>
      </c>
      <c r="D162" s="10">
        <f t="shared" ref="D162:D163" si="25">(C162*B162)/1000</f>
        <v>1.8</v>
      </c>
      <c r="E162" s="10">
        <v>12</v>
      </c>
      <c r="F162" s="10">
        <f t="shared" si="23"/>
        <v>21.6</v>
      </c>
      <c r="G162" s="10">
        <f t="shared" si="24"/>
        <v>7884.0000000000009</v>
      </c>
      <c r="M162" t="s">
        <v>205</v>
      </c>
    </row>
    <row r="163" spans="1:13" ht="15" customHeight="1">
      <c r="A163" t="s">
        <v>206</v>
      </c>
      <c r="B163" s="10">
        <f>B155*C16</f>
        <v>24</v>
      </c>
      <c r="C163" s="10">
        <v>500</v>
      </c>
      <c r="D163" s="10">
        <f t="shared" si="25"/>
        <v>12</v>
      </c>
      <c r="E163" s="10">
        <v>12</v>
      </c>
      <c r="F163" s="10">
        <f t="shared" si="23"/>
        <v>144</v>
      </c>
      <c r="G163" s="10">
        <f t="shared" si="24"/>
        <v>52560</v>
      </c>
      <c r="M163" t="s">
        <v>205</v>
      </c>
    </row>
    <row r="165" spans="1:13" ht="15" customHeight="1">
      <c r="A165" s="26" t="s">
        <v>207</v>
      </c>
      <c r="B165" s="26" t="s">
        <v>52</v>
      </c>
      <c r="C165" s="26" t="s">
        <v>53</v>
      </c>
      <c r="D165" s="26" t="s">
        <v>54</v>
      </c>
    </row>
    <row r="166" spans="1:13" ht="15" customHeight="1">
      <c r="A166" t="s">
        <v>208</v>
      </c>
      <c r="B166">
        <f>G163</f>
        <v>52560</v>
      </c>
      <c r="C166">
        <f t="shared" ref="C166:C167" si="26">B166*2</f>
        <v>105120</v>
      </c>
      <c r="D166">
        <f t="shared" ref="D166:D167" si="27">B166*3</f>
        <v>157680</v>
      </c>
      <c r="E166" t="s">
        <v>172</v>
      </c>
    </row>
    <row r="167" spans="1:13" ht="15" customHeight="1">
      <c r="A167" t="s">
        <v>209</v>
      </c>
      <c r="B167">
        <f>G162</f>
        <v>7884.0000000000009</v>
      </c>
      <c r="C167">
        <f t="shared" si="26"/>
        <v>15768.000000000002</v>
      </c>
      <c r="D167">
        <f t="shared" si="27"/>
        <v>23652.000000000004</v>
      </c>
      <c r="E167" t="s">
        <v>172</v>
      </c>
    </row>
    <row r="168" spans="1:13" ht="15" customHeight="1">
      <c r="A168" t="s">
        <v>210</v>
      </c>
      <c r="B168">
        <f t="shared" ref="B168:D168" si="28">B166-B167</f>
        <v>44676</v>
      </c>
      <c r="C168">
        <f t="shared" si="28"/>
        <v>89352</v>
      </c>
      <c r="D168">
        <f t="shared" si="28"/>
        <v>134028</v>
      </c>
      <c r="E168" t="s">
        <v>211</v>
      </c>
    </row>
    <row r="169" spans="1:13" ht="15" customHeight="1">
      <c r="A169" t="s">
        <v>177</v>
      </c>
      <c r="B169">
        <f>B168*B137</f>
        <v>11419.185599999999</v>
      </c>
      <c r="C169">
        <f t="shared" ref="C169:C170" si="29">B169*2</f>
        <v>22838.371199999998</v>
      </c>
      <c r="D169" s="27">
        <f t="shared" ref="D169:D170" si="30">B169*3</f>
        <v>34257.556799999998</v>
      </c>
      <c r="E169" t="s">
        <v>178</v>
      </c>
    </row>
    <row r="170" spans="1:13" ht="15" customHeight="1">
      <c r="A170" t="s">
        <v>212</v>
      </c>
      <c r="B170">
        <f>B169/1000</f>
        <v>11.419185599999999</v>
      </c>
      <c r="C170">
        <f t="shared" si="29"/>
        <v>22.838371199999997</v>
      </c>
      <c r="D170">
        <f t="shared" si="30"/>
        <v>34.257556799999996</v>
      </c>
      <c r="E170" t="s">
        <v>180</v>
      </c>
    </row>
    <row r="172" spans="1:13" ht="15" customHeight="1">
      <c r="A172" s="8" t="s">
        <v>213</v>
      </c>
    </row>
    <row r="173" spans="1:13" ht="15" customHeight="1">
      <c r="A173" t="s">
        <v>214</v>
      </c>
    </row>
    <row r="174" spans="1:13" ht="15" customHeight="1">
      <c r="A174" s="11" t="s">
        <v>215</v>
      </c>
      <c r="B174" s="11">
        <v>0.9</v>
      </c>
      <c r="C174" t="s">
        <v>216</v>
      </c>
      <c r="M174" s="37" t="s">
        <v>217</v>
      </c>
    </row>
    <row r="175" spans="1:13" ht="15" customHeight="1">
      <c r="A175" s="11" t="s">
        <v>218</v>
      </c>
      <c r="B175" s="11">
        <v>70</v>
      </c>
      <c r="C175" t="s">
        <v>219</v>
      </c>
    </row>
    <row r="176" spans="1:13" ht="15" customHeight="1">
      <c r="A176" s="11" t="s">
        <v>220</v>
      </c>
      <c r="B176" s="11">
        <v>1200</v>
      </c>
      <c r="C176" t="s">
        <v>221</v>
      </c>
      <c r="M176" s="38" t="s">
        <v>222</v>
      </c>
    </row>
    <row r="177" spans="1:5" ht="15" customHeight="1">
      <c r="A177" s="9" t="s">
        <v>223</v>
      </c>
      <c r="B177">
        <f>B176/1000</f>
        <v>1.2</v>
      </c>
      <c r="C177" t="s">
        <v>224</v>
      </c>
    </row>
    <row r="178" spans="1:5" ht="15" customHeight="1">
      <c r="A178" s="9" t="s">
        <v>225</v>
      </c>
      <c r="B178">
        <f>29.5*20.2*11</f>
        <v>6554.9</v>
      </c>
      <c r="C178" t="s">
        <v>226</v>
      </c>
    </row>
    <row r="179" spans="1:5" ht="15" customHeight="1">
      <c r="A179" s="9" t="s">
        <v>227</v>
      </c>
      <c r="B179">
        <f>B177*B178</f>
        <v>7865.8799999999992</v>
      </c>
      <c r="C179" t="s">
        <v>228</v>
      </c>
    </row>
    <row r="180" spans="1:5" ht="15" customHeight="1">
      <c r="A180" s="9"/>
    </row>
    <row r="181" spans="1:5" ht="15" customHeight="1">
      <c r="A181" s="9" t="s">
        <v>229</v>
      </c>
    </row>
    <row r="182" spans="1:5" ht="15" customHeight="1">
      <c r="A182" t="s">
        <v>230</v>
      </c>
      <c r="B182" s="10">
        <f>24*365</f>
        <v>8760</v>
      </c>
      <c r="C182" t="s">
        <v>231</v>
      </c>
    </row>
    <row r="183" spans="1:5" ht="15" customHeight="1">
      <c r="A183" t="s">
        <v>232</v>
      </c>
      <c r="B183" s="10">
        <f>B175*(54/30)</f>
        <v>126</v>
      </c>
      <c r="C183" t="s">
        <v>233</v>
      </c>
    </row>
    <row r="184" spans="1:5" ht="15" customHeight="1">
      <c r="A184" t="s">
        <v>234</v>
      </c>
      <c r="B184" s="10">
        <f>B183*52</f>
        <v>6552</v>
      </c>
      <c r="C184" t="s">
        <v>235</v>
      </c>
    </row>
    <row r="185" spans="1:5" ht="15" customHeight="1">
      <c r="A185" s="4" t="s">
        <v>236</v>
      </c>
      <c r="B185" s="10">
        <f>B174*(B184/(24))</f>
        <v>245.70000000000002</v>
      </c>
      <c r="C185" t="s">
        <v>237</v>
      </c>
    </row>
    <row r="186" spans="1:5" ht="15.75" customHeight="1"/>
    <row r="187" spans="1:5" ht="15" customHeight="1">
      <c r="A187" s="26" t="s">
        <v>238</v>
      </c>
      <c r="B187" s="26" t="s">
        <v>52</v>
      </c>
      <c r="C187" s="26" t="s">
        <v>53</v>
      </c>
      <c r="D187" s="26" t="s">
        <v>54</v>
      </c>
    </row>
    <row r="188" spans="1:5" ht="15" customHeight="1">
      <c r="A188" t="s">
        <v>239</v>
      </c>
      <c r="B188">
        <f>B185</f>
        <v>245.70000000000002</v>
      </c>
      <c r="C188">
        <f>B188*2</f>
        <v>491.40000000000003</v>
      </c>
      <c r="D188" s="27">
        <f>B188*3</f>
        <v>737.1</v>
      </c>
      <c r="E188" t="s">
        <v>58</v>
      </c>
    </row>
    <row r="190" spans="1:5" ht="15" customHeight="1">
      <c r="A190" s="131" t="s">
        <v>418</v>
      </c>
    </row>
    <row r="191" spans="1:5" ht="15" customHeight="1">
      <c r="B191" s="103" t="s">
        <v>420</v>
      </c>
      <c r="C191" s="103" t="s">
        <v>421</v>
      </c>
    </row>
    <row r="192" spans="1:5" ht="15" customHeight="1">
      <c r="A192" t="s">
        <v>419</v>
      </c>
      <c r="B192">
        <f>F17/0.163</f>
        <v>239263.8036809816</v>
      </c>
      <c r="C192">
        <f>E16</f>
        <v>1425.5892255892256</v>
      </c>
      <c r="E192" s="103" t="s">
        <v>422</v>
      </c>
    </row>
    <row r="193" spans="1:5" ht="15.75" customHeight="1"/>
    <row r="194" spans="1:5" ht="15.75" customHeight="1">
      <c r="A194" s="103" t="s">
        <v>424</v>
      </c>
      <c r="B194">
        <f>B192</f>
        <v>239263.8036809816</v>
      </c>
      <c r="C194">
        <f>C192</f>
        <v>1425.5892255892256</v>
      </c>
    </row>
    <row r="195" spans="1:5" ht="15.75" customHeight="1"/>
    <row r="196" spans="1:5" ht="15.75" customHeight="1">
      <c r="A196" s="103" t="s">
        <v>444</v>
      </c>
      <c r="B196">
        <f>B192</f>
        <v>239263.8036809816</v>
      </c>
      <c r="C196">
        <f>C192</f>
        <v>1425.5892255892256</v>
      </c>
      <c r="E196" t="s">
        <v>449</v>
      </c>
    </row>
    <row r="197" spans="1:5" ht="15.75" customHeight="1">
      <c r="A197" s="103" t="s">
        <v>445</v>
      </c>
      <c r="C197">
        <f>C192*0.00128</f>
        <v>1.824754208754209</v>
      </c>
      <c r="E197" t="s">
        <v>446</v>
      </c>
    </row>
    <row r="198" spans="1:5" ht="15.75" customHeight="1">
      <c r="A198" s="103"/>
    </row>
    <row r="199" spans="1:5" ht="15.75" customHeight="1">
      <c r="A199" s="103" t="s">
        <v>423</v>
      </c>
      <c r="B199">
        <f>B204*I17</f>
        <v>84</v>
      </c>
      <c r="C199">
        <f>(0.088)*(10.5/8)*(365/33)</f>
        <v>1.2774999999999999</v>
      </c>
      <c r="E199" t="s">
        <v>454</v>
      </c>
    </row>
    <row r="200" spans="1:5" ht="15.75" customHeight="1">
      <c r="A200" s="103"/>
    </row>
    <row r="201" spans="1:5" ht="15.75" customHeight="1"/>
    <row r="202" spans="1:5" ht="15.75" customHeight="1">
      <c r="B202" s="103" t="s">
        <v>420</v>
      </c>
      <c r="C202" s="103" t="s">
        <v>421</v>
      </c>
    </row>
    <row r="203" spans="1:5" ht="15.75" customHeight="1">
      <c r="A203" s="132" t="s">
        <v>426</v>
      </c>
      <c r="B203" s="11">
        <v>0</v>
      </c>
      <c r="C203" s="11">
        <v>0</v>
      </c>
      <c r="D203" s="103" t="s">
        <v>431</v>
      </c>
    </row>
    <row r="204" spans="1:5" ht="15.75" customHeight="1">
      <c r="A204" s="132" t="s">
        <v>451</v>
      </c>
      <c r="B204" s="11">
        <f>84</f>
        <v>84</v>
      </c>
      <c r="C204" s="11" t="s">
        <v>298</v>
      </c>
      <c r="D204" s="103" t="s">
        <v>452</v>
      </c>
    </row>
    <row r="205" spans="1:5" ht="15.75" customHeight="1">
      <c r="A205" s="132" t="s">
        <v>425</v>
      </c>
      <c r="B205" s="11">
        <v>1.44</v>
      </c>
      <c r="C205" s="11">
        <v>1.44</v>
      </c>
      <c r="D205" s="103" t="s">
        <v>431</v>
      </c>
    </row>
    <row r="206" spans="1:5" ht="15.75" customHeight="1">
      <c r="A206" s="132" t="s">
        <v>447</v>
      </c>
      <c r="B206" s="11">
        <v>0</v>
      </c>
      <c r="C206" s="11">
        <v>1.32</v>
      </c>
      <c r="D206" s="103" t="s">
        <v>450</v>
      </c>
      <c r="E206" t="s">
        <v>448</v>
      </c>
    </row>
    <row r="207" spans="1:5" ht="15.75" customHeight="1">
      <c r="A207" s="132" t="s">
        <v>453</v>
      </c>
      <c r="B207" s="11" t="s">
        <v>298</v>
      </c>
      <c r="C207" s="11">
        <v>0.95</v>
      </c>
      <c r="D207" s="103"/>
    </row>
    <row r="208" spans="1:5" ht="15.75" customHeight="1"/>
    <row r="209" spans="1:3" ht="15.75" customHeight="1">
      <c r="A209" s="128" t="s">
        <v>427</v>
      </c>
      <c r="B209" s="103" t="s">
        <v>420</v>
      </c>
      <c r="C209" s="103" t="s">
        <v>421</v>
      </c>
    </row>
    <row r="210" spans="1:3" ht="15.75" customHeight="1">
      <c r="A210" s="128" t="s">
        <v>428</v>
      </c>
      <c r="B210">
        <f>B203*B194</f>
        <v>0</v>
      </c>
      <c r="C210">
        <f>C203*C194</f>
        <v>0</v>
      </c>
    </row>
    <row r="211" spans="1:3" ht="15.75" customHeight="1">
      <c r="A211" s="128" t="s">
        <v>429</v>
      </c>
      <c r="B211">
        <f>B199*B205</f>
        <v>120.96</v>
      </c>
      <c r="C211">
        <f>C205*C199</f>
        <v>1.8395999999999997</v>
      </c>
    </row>
    <row r="212" spans="1:3" ht="15.75" customHeight="1">
      <c r="A212" s="128" t="s">
        <v>430</v>
      </c>
      <c r="B212">
        <f>B206</f>
        <v>0</v>
      </c>
      <c r="C212">
        <f>C206*C197</f>
        <v>2.4086755555555559</v>
      </c>
    </row>
    <row r="213" spans="1:3" ht="15.75" customHeight="1"/>
    <row r="214" spans="1:3" ht="15.75" customHeight="1">
      <c r="A214" s="131" t="s">
        <v>263</v>
      </c>
    </row>
    <row r="215" spans="1:3" ht="15.75" customHeight="1"/>
    <row r="216" spans="1:3" ht="15.75" customHeight="1">
      <c r="A216" s="103" t="s">
        <v>455</v>
      </c>
    </row>
    <row r="217" spans="1:3" ht="15.75" customHeight="1"/>
    <row r="218" spans="1:3" ht="15.75" customHeight="1"/>
    <row r="219" spans="1:3" ht="15.75" customHeight="1"/>
    <row r="220" spans="1:3" ht="15.75" customHeight="1"/>
    <row r="221" spans="1:3" ht="15.75" customHeight="1"/>
    <row r="222" spans="1:3" ht="15.75" customHeight="1"/>
    <row r="223" spans="1:3" ht="15.75" customHeight="1"/>
    <row r="224" spans="1: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sheetData>
  <hyperlinks>
    <hyperlink ref="M4" r:id="rId1" xr:uid="{00000000-0004-0000-0000-000000000000}"/>
    <hyperlink ref="M50" r:id="rId2" xr:uid="{00000000-0004-0000-0000-000002000000}"/>
    <hyperlink ref="M75" r:id="rId3" xr:uid="{00000000-0004-0000-0000-000003000000}"/>
    <hyperlink ref="M84" r:id="rId4" xr:uid="{00000000-0004-0000-0000-000004000000}"/>
    <hyperlink ref="M113" r:id="rId5" xr:uid="{00000000-0004-0000-0000-000005000000}"/>
    <hyperlink ref="M137" r:id="rId6" xr:uid="{00000000-0004-0000-0000-000006000000}"/>
    <hyperlink ref="M176" r:id="rId7" xr:uid="{00000000-0004-0000-0000-000007000000}"/>
    <hyperlink ref="M114" r:id="rId8" xr:uid="{CBD5C97D-B061-C34B-91EF-E7D5CF4C5EDB}"/>
    <hyperlink ref="F92" r:id="rId9" xr:uid="{9160B818-CEA2-A54C-8E92-CD1FF52040C9}"/>
  </hyperlinks>
  <pageMargins left="0.7" right="0.7" top="0.75" bottom="0.75" header="0" footer="0"/>
  <pageSetup paperSize="9" orientation="portrait"/>
  <drawing r:id="rId10"/>
  <extLst>
    <ext xmlns:x14="http://schemas.microsoft.com/office/spreadsheetml/2009/9/main" uri="{CCE6A557-97BC-4b89-ADB6-D9C93CAAB3DF}">
      <x14:dataValidations xmlns:xm="http://schemas.microsoft.com/office/excel/2006/main" count="2">
        <x14:dataValidation type="list" allowBlank="1" showInputMessage="1" showErrorMessage="1" xr:uid="{9BA984F5-84C2-094A-B228-1D2428F1C1B2}">
          <x14:formula1>
            <xm:f>'Energy Consumption'!$C$56:$S$56</xm:f>
          </x14:formula1>
          <xm:sqref>K16:K17</xm:sqref>
        </x14:dataValidation>
        <x14:dataValidation type="list" allowBlank="1" showInputMessage="1" showErrorMessage="1" xr:uid="{F92CA2FB-3CB8-2D4A-B8E2-C98E39D25622}">
          <x14:formula1>
            <xm:f>Rewilding!A7:A11</xm:f>
          </x14:formula1>
          <xm:sqref>L16:L17</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BE909-1067-E143-849A-B0510A3EA790}">
  <dimension ref="A1:C24"/>
  <sheetViews>
    <sheetView workbookViewId="0">
      <selection activeCell="B22" sqref="B22"/>
    </sheetView>
  </sheetViews>
  <sheetFormatPr baseColWidth="10" defaultRowHeight="15"/>
  <cols>
    <col min="1" max="1" width="51.33203125" bestFit="1" customWidth="1"/>
  </cols>
  <sheetData>
    <row r="1" spans="1:3">
      <c r="A1" s="153" t="s">
        <v>519</v>
      </c>
    </row>
    <row r="2" spans="1:3">
      <c r="A2" s="154" t="s">
        <v>520</v>
      </c>
      <c r="B2" s="155" t="s">
        <v>448</v>
      </c>
    </row>
    <row r="4" spans="1:3">
      <c r="A4" s="154" t="s">
        <v>521</v>
      </c>
      <c r="B4" s="154" t="s">
        <v>148</v>
      </c>
      <c r="C4" s="154" t="s">
        <v>522</v>
      </c>
    </row>
    <row r="5" spans="1:3">
      <c r="A5" s="154" t="s">
        <v>523</v>
      </c>
      <c r="B5" s="156">
        <v>159</v>
      </c>
      <c r="C5" s="154" t="s">
        <v>125</v>
      </c>
    </row>
    <row r="6" spans="1:3">
      <c r="A6" s="154" t="s">
        <v>524</v>
      </c>
      <c r="B6" s="156">
        <v>1330</v>
      </c>
      <c r="C6" s="154" t="s">
        <v>125</v>
      </c>
    </row>
    <row r="7" spans="1:3">
      <c r="A7" s="154" t="s">
        <v>525</v>
      </c>
      <c r="B7" s="154">
        <f>SUM(B5:B6)</f>
        <v>1489</v>
      </c>
      <c r="C7" s="154" t="s">
        <v>125</v>
      </c>
    </row>
    <row r="8" spans="1:3">
      <c r="A8" s="154" t="s">
        <v>526</v>
      </c>
      <c r="B8" s="154">
        <v>0.30399999999999999</v>
      </c>
      <c r="C8" s="154" t="s">
        <v>527</v>
      </c>
    </row>
    <row r="9" spans="1:3">
      <c r="A9" s="154" t="s">
        <v>528</v>
      </c>
      <c r="B9" s="154">
        <f>89.4 + 3.23</f>
        <v>92.63000000000001</v>
      </c>
      <c r="C9" s="156" t="s">
        <v>529</v>
      </c>
    </row>
    <row r="11" spans="1:3">
      <c r="A11" s="154" t="s">
        <v>530</v>
      </c>
    </row>
    <row r="12" spans="1:3">
      <c r="A12" s="154" t="s">
        <v>531</v>
      </c>
      <c r="B12" s="154">
        <f>(60+80)/2</f>
        <v>70</v>
      </c>
      <c r="C12" s="154" t="s">
        <v>532</v>
      </c>
    </row>
    <row r="15" spans="1:3">
      <c r="A15" s="157" t="s">
        <v>533</v>
      </c>
      <c r="B15" s="158">
        <f>ROUNDDOWN(B7/B12,2)</f>
        <v>21.27</v>
      </c>
      <c r="C15" s="159" t="s">
        <v>529</v>
      </c>
    </row>
    <row r="16" spans="1:3">
      <c r="A16" s="157" t="s">
        <v>534</v>
      </c>
      <c r="B16" s="158">
        <f>ROUNDDOWN(B9/B12,2)</f>
        <v>1.32</v>
      </c>
      <c r="C16" s="159" t="s">
        <v>529</v>
      </c>
    </row>
    <row r="18" spans="1:3">
      <c r="A18" s="154" t="s">
        <v>535</v>
      </c>
    </row>
    <row r="19" spans="1:3">
      <c r="A19" s="154" t="s">
        <v>536</v>
      </c>
      <c r="B19" s="154">
        <v>50</v>
      </c>
    </row>
    <row r="20" spans="1:3">
      <c r="A20" s="154" t="s">
        <v>537</v>
      </c>
      <c r="B20" s="154">
        <v>64</v>
      </c>
      <c r="C20" s="154" t="s">
        <v>538</v>
      </c>
    </row>
    <row r="21" spans="1:3">
      <c r="A21" s="160" t="s">
        <v>539</v>
      </c>
      <c r="B21" s="161">
        <f>B20/B19</f>
        <v>1.28</v>
      </c>
      <c r="C21" s="161" t="s">
        <v>538</v>
      </c>
    </row>
    <row r="23" spans="1:3">
      <c r="A23" s="154" t="s">
        <v>540</v>
      </c>
      <c r="B23" s="154">
        <v>128</v>
      </c>
    </row>
    <row r="24" spans="1:3">
      <c r="A24" s="157" t="s">
        <v>541</v>
      </c>
      <c r="B24" s="158">
        <f>(B21/1000)*B23*B16</f>
        <v>0.21626880000000004</v>
      </c>
      <c r="C24" s="159" t="s">
        <v>529</v>
      </c>
    </row>
  </sheetData>
  <hyperlinks>
    <hyperlink ref="B2" r:id="rId1" xr:uid="{3D91D1E8-271C-5B4C-A4B7-696A4F70DEA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000"/>
  <sheetViews>
    <sheetView workbookViewId="0">
      <selection activeCell="L5" sqref="L5"/>
    </sheetView>
  </sheetViews>
  <sheetFormatPr baseColWidth="10" defaultColWidth="14.5" defaultRowHeight="15" customHeight="1"/>
  <cols>
    <col min="1" max="1" width="52.6640625" customWidth="1"/>
    <col min="2" max="2" width="12" customWidth="1"/>
    <col min="3" max="3" width="35.83203125" customWidth="1"/>
    <col min="4" max="4" width="24.6640625" customWidth="1"/>
    <col min="5" max="5" width="24.1640625" customWidth="1"/>
    <col min="6" max="13" width="10.6640625" customWidth="1"/>
  </cols>
  <sheetData>
    <row r="1" spans="1:12">
      <c r="A1" s="31" t="s">
        <v>112</v>
      </c>
    </row>
    <row r="2" spans="1:12">
      <c r="A2" t="s">
        <v>113</v>
      </c>
    </row>
    <row r="3" spans="1:12">
      <c r="A3" s="32" t="s">
        <v>245</v>
      </c>
    </row>
    <row r="4" spans="1:12">
      <c r="A4" s="11" t="s">
        <v>114</v>
      </c>
      <c r="B4" s="11">
        <v>5.2379867911637437</v>
      </c>
      <c r="C4" t="s">
        <v>115</v>
      </c>
      <c r="D4" t="s">
        <v>116</v>
      </c>
      <c r="L4" s="56" t="s">
        <v>117</v>
      </c>
    </row>
    <row r="5" spans="1:12">
      <c r="A5" s="11" t="s">
        <v>118</v>
      </c>
      <c r="B5" s="11">
        <v>6.9000000000000006E-2</v>
      </c>
      <c r="C5" t="s">
        <v>119</v>
      </c>
      <c r="L5" s="56" t="s">
        <v>120</v>
      </c>
    </row>
    <row r="6" spans="1:12">
      <c r="A6" s="11" t="s">
        <v>121</v>
      </c>
      <c r="B6" s="11">
        <v>150</v>
      </c>
      <c r="C6" t="s">
        <v>122</v>
      </c>
      <c r="L6" t="s">
        <v>123</v>
      </c>
    </row>
    <row r="7" spans="1:12"/>
    <row r="8" spans="1:12">
      <c r="A8" s="26" t="s">
        <v>105</v>
      </c>
      <c r="B8" s="26" t="s">
        <v>52</v>
      </c>
      <c r="C8" s="26" t="s">
        <v>53</v>
      </c>
      <c r="D8" s="26" t="s">
        <v>54</v>
      </c>
    </row>
    <row r="9" spans="1:12">
      <c r="A9" t="s">
        <v>124</v>
      </c>
      <c r="B9">
        <v>10424.700000000001</v>
      </c>
      <c r="C9">
        <v>20849.400000000001</v>
      </c>
      <c r="D9">
        <v>31274.100000000002</v>
      </c>
      <c r="E9" t="s">
        <v>125</v>
      </c>
    </row>
    <row r="10" spans="1:12">
      <c r="A10" t="s">
        <v>126</v>
      </c>
      <c r="B10">
        <v>0</v>
      </c>
      <c r="C10">
        <v>0</v>
      </c>
      <c r="D10">
        <v>0</v>
      </c>
      <c r="E10" t="s">
        <v>125</v>
      </c>
    </row>
    <row r="11" spans="1:12">
      <c r="A11" t="s">
        <v>78</v>
      </c>
      <c r="B11">
        <v>10424.700000000001</v>
      </c>
      <c r="C11">
        <v>20849.400000000001</v>
      </c>
      <c r="D11">
        <v>31274.100000000002</v>
      </c>
      <c r="E11" t="s">
        <v>127</v>
      </c>
    </row>
    <row r="12" spans="1:12">
      <c r="A12" t="s">
        <v>79</v>
      </c>
      <c r="B12">
        <v>719.30430000000013</v>
      </c>
      <c r="C12">
        <v>1438.6086000000003</v>
      </c>
      <c r="D12" s="33">
        <v>2157.9129000000003</v>
      </c>
      <c r="E12" t="s">
        <v>58</v>
      </c>
    </row>
    <row r="13" spans="1:12">
      <c r="A13" t="s">
        <v>128</v>
      </c>
      <c r="B13">
        <v>11.332129626053289</v>
      </c>
      <c r="C13">
        <v>22.664259252106579</v>
      </c>
      <c r="D13" s="34">
        <v>33.99638887815987</v>
      </c>
      <c r="E13" t="s">
        <v>129</v>
      </c>
    </row>
    <row r="14" spans="1:12"/>
    <row r="15" spans="1:12">
      <c r="A15" s="3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L4" r:id="rId1" xr:uid="{00000000-0004-0000-0600-000000000000}"/>
    <hyperlink ref="L5" r:id="rId2" xr:uid="{6A3DBCFD-688F-F44D-AFB6-F7D6EA820566}"/>
  </hyperlink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1001"/>
  <sheetViews>
    <sheetView topLeftCell="A38" workbookViewId="0">
      <selection activeCell="H64" sqref="H64"/>
    </sheetView>
  </sheetViews>
  <sheetFormatPr baseColWidth="10" defaultColWidth="14.5" defaultRowHeight="15" customHeight="1"/>
  <cols>
    <col min="1" max="1" width="69.83203125" customWidth="1"/>
    <col min="2" max="2" width="24" bestFit="1" customWidth="1"/>
    <col min="3" max="3" width="21" customWidth="1"/>
    <col min="4" max="4" width="18.6640625" customWidth="1"/>
    <col min="5" max="14" width="8.83203125" customWidth="1"/>
    <col min="15" max="15" width="13" bestFit="1" customWidth="1"/>
  </cols>
  <sheetData>
    <row r="1" spans="1:12">
      <c r="A1" s="31" t="s">
        <v>130</v>
      </c>
    </row>
    <row r="2" spans="1:12">
      <c r="A2" t="s">
        <v>131</v>
      </c>
    </row>
    <row r="3" spans="1:12">
      <c r="A3" t="s">
        <v>132</v>
      </c>
    </row>
    <row r="4" spans="1:12">
      <c r="A4" t="s">
        <v>133</v>
      </c>
    </row>
    <row r="5" spans="1:12"/>
    <row r="6" spans="1:12">
      <c r="A6" t="s">
        <v>134</v>
      </c>
      <c r="B6" t="s">
        <v>135</v>
      </c>
      <c r="C6" t="s">
        <v>136</v>
      </c>
      <c r="D6" t="s">
        <v>137</v>
      </c>
      <c r="E6" t="s">
        <v>138</v>
      </c>
      <c r="F6" t="s">
        <v>139</v>
      </c>
      <c r="G6" t="s">
        <v>140</v>
      </c>
    </row>
    <row r="7" spans="1:12" ht="96">
      <c r="A7" t="s">
        <v>141</v>
      </c>
      <c r="B7" s="4" t="s">
        <v>142</v>
      </c>
      <c r="C7" s="4" t="s">
        <v>143</v>
      </c>
      <c r="D7" s="4" t="s">
        <v>144</v>
      </c>
      <c r="E7" s="4" t="s">
        <v>145</v>
      </c>
      <c r="F7" s="4" t="s">
        <v>146</v>
      </c>
      <c r="G7" s="4" t="s">
        <v>147</v>
      </c>
    </row>
    <row r="8" spans="1:12">
      <c r="A8" t="s">
        <v>148</v>
      </c>
      <c r="B8">
        <f>C8*D8*(E8-F8)/G8</f>
        <v>1056.3279999999995</v>
      </c>
      <c r="C8">
        <v>0.5</v>
      </c>
      <c r="D8" s="87">
        <v>406.28</v>
      </c>
      <c r="E8" s="87">
        <v>23.9</v>
      </c>
      <c r="F8" s="87">
        <v>20</v>
      </c>
      <c r="G8" s="32">
        <v>0.75</v>
      </c>
    </row>
    <row r="9" spans="1:12" ht="176">
      <c r="A9" t="s">
        <v>149</v>
      </c>
      <c r="B9" s="58" t="s">
        <v>353</v>
      </c>
      <c r="C9" s="4" t="s">
        <v>151</v>
      </c>
      <c r="D9" s="4" t="s">
        <v>152</v>
      </c>
      <c r="E9" s="4" t="s">
        <v>153</v>
      </c>
      <c r="F9" s="4" t="s">
        <v>154</v>
      </c>
      <c r="G9" s="4" t="s">
        <v>155</v>
      </c>
    </row>
    <row r="10" spans="1:12">
      <c r="C10" s="4"/>
      <c r="D10" s="4"/>
      <c r="E10" s="4"/>
      <c r="F10" s="4"/>
      <c r="G10" s="4"/>
    </row>
    <row r="11" spans="1:12" ht="64">
      <c r="A11" s="11" t="s">
        <v>156</v>
      </c>
      <c r="B11" s="11">
        <f>B8*I11*24*365</f>
        <v>61689.58604477757</v>
      </c>
      <c r="C11" s="4" t="s">
        <v>157</v>
      </c>
      <c r="D11" s="4"/>
      <c r="I11" s="4">
        <v>6.6666700000000004E-3</v>
      </c>
      <c r="J11" s="4" t="s">
        <v>158</v>
      </c>
    </row>
    <row r="12" spans="1:12">
      <c r="A12" s="11" t="s">
        <v>159</v>
      </c>
      <c r="B12" s="11">
        <v>1100</v>
      </c>
      <c r="C12" s="58" t="s">
        <v>351</v>
      </c>
      <c r="I12">
        <v>2.7777800000000001E-4</v>
      </c>
      <c r="J12" t="s">
        <v>161</v>
      </c>
    </row>
    <row r="13" spans="1:12">
      <c r="A13" s="11" t="s">
        <v>162</v>
      </c>
      <c r="B13" s="11">
        <v>90000</v>
      </c>
      <c r="C13" s="58" t="s">
        <v>352</v>
      </c>
    </row>
    <row r="14" spans="1:12" ht="16">
      <c r="A14" s="11" t="s">
        <v>163</v>
      </c>
      <c r="B14" s="11">
        <f>B68</f>
        <v>8.6499999999999994E-2</v>
      </c>
      <c r="C14" s="4" t="s">
        <v>164</v>
      </c>
      <c r="L14" s="2" t="s">
        <v>165</v>
      </c>
    </row>
    <row r="15" spans="1:12" ht="40.5" customHeight="1">
      <c r="A15" t="s">
        <v>166</v>
      </c>
      <c r="B15">
        <f>(B33+B39)*365</f>
        <v>4754.2272000000003</v>
      </c>
      <c r="C15" s="4" t="s">
        <v>246</v>
      </c>
    </row>
    <row r="16" spans="1:12">
      <c r="A16" t="s">
        <v>168</v>
      </c>
      <c r="B16">
        <f>B15+B11</f>
        <v>66443.813244777572</v>
      </c>
      <c r="C16" t="s">
        <v>169</v>
      </c>
    </row>
    <row r="17" spans="1:18"/>
    <row r="18" spans="1:18">
      <c r="A18" s="26" t="s">
        <v>170</v>
      </c>
      <c r="B18" s="26" t="s">
        <v>52</v>
      </c>
      <c r="C18" s="26" t="s">
        <v>53</v>
      </c>
      <c r="D18" s="26" t="s">
        <v>54</v>
      </c>
    </row>
    <row r="19" spans="1:18">
      <c r="A19" s="58" t="s">
        <v>350</v>
      </c>
      <c r="B19" s="88">
        <f>B12*I12*Overview!F17</f>
        <v>11916.6762</v>
      </c>
      <c r="C19" s="88">
        <f>B19*2</f>
        <v>23833.3524</v>
      </c>
      <c r="D19" s="88">
        <f>B19*3</f>
        <v>35750.028599999998</v>
      </c>
      <c r="E19" t="s">
        <v>172</v>
      </c>
    </row>
    <row r="20" spans="1:18">
      <c r="A20" s="58" t="s">
        <v>349</v>
      </c>
      <c r="B20" s="88">
        <f>B13*I12*Overview!F16</f>
        <v>3849.0939883636365</v>
      </c>
      <c r="C20" s="88">
        <f>B20*2</f>
        <v>7698.1879767272731</v>
      </c>
      <c r="D20" s="88">
        <f>B20*3</f>
        <v>11547.28196509091</v>
      </c>
      <c r="E20" t="s">
        <v>172</v>
      </c>
    </row>
    <row r="21" spans="1:18" ht="15.75" customHeight="1">
      <c r="A21" s="58" t="s">
        <v>355</v>
      </c>
      <c r="B21" s="88">
        <f>B16</f>
        <v>66443.813244777572</v>
      </c>
      <c r="C21" s="88">
        <f>B21*2</f>
        <v>132887.62648955514</v>
      </c>
      <c r="D21" s="88">
        <f>B21*3</f>
        <v>199331.43973433273</v>
      </c>
      <c r="E21" t="s">
        <v>172</v>
      </c>
    </row>
    <row r="22" spans="1:18" ht="15.75" customHeight="1">
      <c r="A22" s="58" t="s">
        <v>354</v>
      </c>
      <c r="B22" s="88">
        <f>B21-B19</f>
        <v>54527.13704477757</v>
      </c>
      <c r="C22" s="88">
        <f t="shared" ref="C22:D22" si="0">C21-C19</f>
        <v>109054.27408955514</v>
      </c>
      <c r="D22" s="88">
        <f t="shared" si="0"/>
        <v>163581.41113433274</v>
      </c>
      <c r="E22" t="s">
        <v>176</v>
      </c>
    </row>
    <row r="23" spans="1:18" ht="15.75" customHeight="1">
      <c r="A23" s="58" t="s">
        <v>356</v>
      </c>
      <c r="B23" s="88">
        <f>B21*$B$14</f>
        <v>5747.3898456732595</v>
      </c>
      <c r="C23" s="88">
        <f t="shared" ref="C23:D23" si="1">C21*$B$14</f>
        <v>11494.779691346519</v>
      </c>
      <c r="D23" s="88">
        <f t="shared" si="1"/>
        <v>17242.169537019781</v>
      </c>
      <c r="E23" t="s">
        <v>247</v>
      </c>
    </row>
    <row r="24" spans="1:18" ht="15.75" customHeight="1">
      <c r="A24" s="58" t="s">
        <v>357</v>
      </c>
      <c r="B24" s="88">
        <f>B23/1000</f>
        <v>5.7473898456732595</v>
      </c>
      <c r="C24" s="88">
        <f t="shared" ref="C24:D24" si="2">C23/1000</f>
        <v>11.494779691346519</v>
      </c>
      <c r="D24" s="88">
        <f t="shared" si="2"/>
        <v>17.24216953701978</v>
      </c>
      <c r="E24" t="s">
        <v>180</v>
      </c>
    </row>
    <row r="25" spans="1:18" ht="15.75" customHeight="1">
      <c r="A25" s="58" t="s">
        <v>358</v>
      </c>
      <c r="B25" s="88">
        <f>B24-(B19*$B$14/1000)</f>
        <v>4.7165973543732598</v>
      </c>
      <c r="C25" s="88">
        <f t="shared" ref="C25:D25" si="3">C24-(C19*$B$14/1000)</f>
        <v>9.4331947087465196</v>
      </c>
      <c r="D25" s="88">
        <f t="shared" si="3"/>
        <v>14.149792063119781</v>
      </c>
      <c r="E25" t="s">
        <v>178</v>
      </c>
    </row>
    <row r="26" spans="1:18" ht="15.75" customHeight="1"/>
    <row r="27" spans="1:18" ht="15.75" customHeight="1">
      <c r="P27" s="103" t="s">
        <v>365</v>
      </c>
      <c r="Q27" s="103"/>
    </row>
    <row r="28" spans="1:18" ht="15.75" customHeight="1">
      <c r="A28" s="46" t="s">
        <v>248</v>
      </c>
      <c r="B28" s="47"/>
      <c r="P28">
        <v>36.4</v>
      </c>
      <c r="R28" s="103" t="s">
        <v>367</v>
      </c>
    </row>
    <row r="29" spans="1:18" ht="15.75" customHeight="1">
      <c r="A29" s="39" t="s">
        <v>249</v>
      </c>
      <c r="B29" s="48">
        <v>16</v>
      </c>
      <c r="P29" s="103" t="s">
        <v>366</v>
      </c>
      <c r="Q29" s="103"/>
      <c r="R29">
        <v>0.27777800000000002</v>
      </c>
    </row>
    <row r="30" spans="1:18" ht="15.75" customHeight="1">
      <c r="A30" s="39" t="s">
        <v>250</v>
      </c>
      <c r="B30" s="49">
        <f>31.8*8/5</f>
        <v>50.88</v>
      </c>
      <c r="C30" s="103" t="s">
        <v>492</v>
      </c>
      <c r="R30">
        <f>P28/R29</f>
        <v>131.03989516808386</v>
      </c>
    </row>
    <row r="31" spans="1:18" ht="15.75" customHeight="1">
      <c r="A31" s="39" t="s">
        <v>251</v>
      </c>
      <c r="B31" s="50">
        <f>B30*B29/1000</f>
        <v>0.81408000000000003</v>
      </c>
    </row>
    <row r="32" spans="1:18" ht="15.75" customHeight="1">
      <c r="A32" s="39" t="s">
        <v>252</v>
      </c>
      <c r="B32" s="51">
        <v>16</v>
      </c>
      <c r="C32" s="91" t="s">
        <v>359</v>
      </c>
    </row>
    <row r="33" spans="1:4" ht="15.75" customHeight="1">
      <c r="A33" s="39" t="s">
        <v>253</v>
      </c>
      <c r="B33" s="135">
        <f>B31*B32</f>
        <v>13.02528</v>
      </c>
      <c r="C33" s="53">
        <v>4.07</v>
      </c>
    </row>
    <row r="34" spans="1:4" ht="15.75" customHeight="1"/>
    <row r="35" spans="1:4" ht="15.75" customHeight="1">
      <c r="A35" s="46" t="s">
        <v>254</v>
      </c>
      <c r="B35" s="47"/>
      <c r="D35" s="103"/>
    </row>
    <row r="36" spans="1:4" ht="15.75" customHeight="1">
      <c r="A36" s="39" t="s">
        <v>255</v>
      </c>
      <c r="B36" s="52">
        <v>0</v>
      </c>
    </row>
    <row r="37" spans="1:4" ht="15.75" customHeight="1">
      <c r="A37" s="39" t="s">
        <v>250</v>
      </c>
      <c r="B37" s="49">
        <v>1800</v>
      </c>
    </row>
    <row r="38" spans="1:4" ht="15.75" customHeight="1">
      <c r="A38" s="39" t="s">
        <v>256</v>
      </c>
      <c r="B38" s="54">
        <f>(B37*B36)/1000</f>
        <v>0</v>
      </c>
    </row>
    <row r="39" spans="1:4" ht="15.75" customHeight="1">
      <c r="A39" s="39" t="s">
        <v>253</v>
      </c>
      <c r="B39" s="54">
        <f>B38*24</f>
        <v>0</v>
      </c>
    </row>
    <row r="40" spans="1:4" ht="15.75" customHeight="1">
      <c r="A40" s="71"/>
      <c r="B40" s="71"/>
    </row>
    <row r="41" spans="1:4" ht="15.75" customHeight="1">
      <c r="A41" s="46" t="s">
        <v>486</v>
      </c>
      <c r="B41" s="47"/>
    </row>
    <row r="42" spans="1:4" ht="15.75" customHeight="1">
      <c r="A42" s="128" t="s">
        <v>487</v>
      </c>
      <c r="B42" s="71">
        <f>(4.269-4.07)+(5.03909-4.07)</f>
        <v>1.1680899999999994</v>
      </c>
    </row>
    <row r="43" spans="1:4" ht="15.75" customHeight="1">
      <c r="A43" s="128" t="s">
        <v>483</v>
      </c>
      <c r="B43" s="128">
        <v>0.70606000000000002</v>
      </c>
    </row>
    <row r="44" spans="1:4" ht="15.75" customHeight="1">
      <c r="A44" s="128" t="s">
        <v>441</v>
      </c>
      <c r="B44" s="71">
        <f>B43+B42</f>
        <v>1.8741499999999993</v>
      </c>
    </row>
    <row r="45" spans="1:4" ht="15.75" customHeight="1">
      <c r="A45" s="71"/>
      <c r="B45" s="71"/>
    </row>
    <row r="46" spans="1:4" ht="15.75" customHeight="1">
      <c r="A46" s="46" t="s">
        <v>432</v>
      </c>
      <c r="B46" s="47"/>
    </row>
    <row r="47" spans="1:4" ht="15.75" customHeight="1">
      <c r="A47" s="128" t="s">
        <v>484</v>
      </c>
      <c r="B47" s="71">
        <f>16.05/17</f>
        <v>0.94411764705882362</v>
      </c>
    </row>
    <row r="48" spans="1:4" ht="15.75" customHeight="1">
      <c r="A48" s="128" t="s">
        <v>485</v>
      </c>
      <c r="B48" s="128">
        <f>0.81/17</f>
        <v>4.7647058823529417E-2</v>
      </c>
    </row>
    <row r="49" spans="1:21" ht="15.75" customHeight="1">
      <c r="A49" s="128" t="s">
        <v>441</v>
      </c>
      <c r="B49" s="71">
        <f>B48+B47</f>
        <v>0.99176470588235299</v>
      </c>
    </row>
    <row r="50" spans="1:21" ht="15.75" customHeight="1"/>
    <row r="51" spans="1:21" ht="15.75" customHeight="1">
      <c r="A51" s="59" t="s">
        <v>259</v>
      </c>
      <c r="B51" s="72"/>
      <c r="C51" s="72"/>
      <c r="D51" s="72"/>
      <c r="E51" s="72"/>
      <c r="F51" s="72"/>
      <c r="G51" s="72"/>
      <c r="H51" s="72"/>
      <c r="I51" s="72"/>
      <c r="J51" s="72"/>
      <c r="K51" s="72"/>
      <c r="L51" s="72"/>
      <c r="M51" s="72"/>
      <c r="N51" s="72"/>
      <c r="O51" s="72"/>
      <c r="P51" s="72"/>
      <c r="Q51" s="72"/>
      <c r="R51" s="72"/>
      <c r="S51" s="72"/>
      <c r="T51" s="72"/>
      <c r="U51" s="72"/>
    </row>
    <row r="52" spans="1:21" ht="15.75" customHeight="1">
      <c r="A52" s="58" t="s">
        <v>308</v>
      </c>
      <c r="B52" s="58"/>
      <c r="C52" s="58"/>
      <c r="D52" s="58"/>
      <c r="E52" s="58"/>
      <c r="F52" s="58"/>
      <c r="G52" s="58"/>
      <c r="H52" s="58"/>
      <c r="I52" s="72"/>
      <c r="J52" s="72"/>
      <c r="K52" s="72"/>
      <c r="L52" s="77" t="s">
        <v>279</v>
      </c>
      <c r="M52" s="76"/>
      <c r="N52" s="76"/>
      <c r="O52" s="76"/>
      <c r="P52" s="76"/>
      <c r="Q52" s="76"/>
      <c r="R52" s="76"/>
      <c r="S52" s="72"/>
      <c r="T52" s="72"/>
      <c r="U52" s="72"/>
    </row>
    <row r="53" spans="1:21" ht="15.75" customHeight="1">
      <c r="A53" s="58" t="s">
        <v>295</v>
      </c>
      <c r="B53" s="58"/>
      <c r="C53" s="58"/>
      <c r="D53" s="58"/>
      <c r="E53" s="58"/>
      <c r="F53" s="58"/>
      <c r="G53" s="58"/>
      <c r="H53" s="58"/>
      <c r="I53" s="58"/>
      <c r="J53" s="58"/>
      <c r="K53" s="58"/>
      <c r="L53" s="58"/>
      <c r="M53" s="58"/>
      <c r="N53" s="58"/>
      <c r="O53" s="58"/>
      <c r="P53" s="58"/>
      <c r="Q53" s="58"/>
      <c r="R53" s="58"/>
      <c r="S53" s="58"/>
      <c r="T53" s="58"/>
      <c r="U53" s="58"/>
    </row>
    <row r="54" spans="1:21" ht="15.75" customHeight="1">
      <c r="A54" s="58" t="s">
        <v>296</v>
      </c>
      <c r="B54" s="58"/>
      <c r="C54" s="58"/>
      <c r="D54" s="58"/>
      <c r="E54" s="58"/>
      <c r="F54" s="58"/>
      <c r="G54" s="58"/>
      <c r="H54" s="58"/>
      <c r="I54" s="58"/>
      <c r="J54" s="58"/>
      <c r="K54" s="58"/>
      <c r="L54" s="58"/>
      <c r="M54" s="58"/>
      <c r="N54" s="58"/>
      <c r="O54" s="58"/>
      <c r="P54" s="72"/>
      <c r="Q54" s="72"/>
      <c r="R54" s="72"/>
      <c r="S54" s="72"/>
      <c r="T54" s="72"/>
      <c r="U54" s="72"/>
    </row>
    <row r="55" spans="1:21" ht="15.75" customHeight="1">
      <c r="A55" s="72"/>
      <c r="B55" s="72"/>
      <c r="C55" s="72"/>
      <c r="D55" s="72"/>
      <c r="E55" s="72"/>
      <c r="F55" s="72"/>
      <c r="G55" s="72"/>
      <c r="H55" s="72"/>
      <c r="I55" s="72"/>
      <c r="J55" s="72"/>
      <c r="K55" s="72"/>
      <c r="L55" s="72"/>
      <c r="M55" s="72"/>
      <c r="N55" s="72"/>
      <c r="O55" s="72"/>
      <c r="P55" s="72"/>
      <c r="Q55" s="72"/>
      <c r="R55" s="72"/>
      <c r="S55" s="72"/>
      <c r="T55" s="72"/>
      <c r="U55" s="72"/>
    </row>
    <row r="56" spans="1:21" ht="15.75" customHeight="1">
      <c r="A56" s="72"/>
      <c r="B56" s="72"/>
      <c r="C56" s="60" t="s">
        <v>262</v>
      </c>
      <c r="D56" s="60" t="s">
        <v>282</v>
      </c>
      <c r="E56" s="60" t="s">
        <v>274</v>
      </c>
      <c r="F56" s="60" t="s">
        <v>263</v>
      </c>
      <c r="G56" s="60" t="s">
        <v>283</v>
      </c>
      <c r="H56" s="60" t="s">
        <v>264</v>
      </c>
      <c r="I56" s="60" t="s">
        <v>265</v>
      </c>
      <c r="J56" s="60" t="s">
        <v>266</v>
      </c>
      <c r="K56" s="60" t="s">
        <v>267</v>
      </c>
      <c r="L56" s="60" t="s">
        <v>268</v>
      </c>
      <c r="M56" s="60" t="s">
        <v>269</v>
      </c>
      <c r="N56" s="60" t="s">
        <v>270</v>
      </c>
      <c r="O56" s="60" t="s">
        <v>309</v>
      </c>
      <c r="P56" s="107" t="s">
        <v>363</v>
      </c>
      <c r="Q56" s="107" t="s">
        <v>435</v>
      </c>
      <c r="R56" s="107" t="s">
        <v>364</v>
      </c>
      <c r="S56" s="60" t="s">
        <v>293</v>
      </c>
      <c r="T56" s="107" t="s">
        <v>493</v>
      </c>
      <c r="U56" s="60"/>
    </row>
    <row r="57" spans="1:21" ht="15.75" customHeight="1">
      <c r="A57" s="180" t="s">
        <v>261</v>
      </c>
      <c r="B57" s="80" t="s">
        <v>271</v>
      </c>
      <c r="C57" s="80" t="s">
        <v>273</v>
      </c>
      <c r="D57" s="80" t="s">
        <v>285</v>
      </c>
      <c r="E57" s="165" t="s">
        <v>275</v>
      </c>
      <c r="F57" s="80" t="s">
        <v>276</v>
      </c>
      <c r="G57" s="80" t="s">
        <v>287</v>
      </c>
      <c r="H57" s="80" t="s">
        <v>297</v>
      </c>
      <c r="I57" s="81" t="s">
        <v>292</v>
      </c>
      <c r="J57" s="80" t="s">
        <v>304</v>
      </c>
      <c r="K57" s="80" t="s">
        <v>291</v>
      </c>
      <c r="L57" s="81" t="s">
        <v>290</v>
      </c>
      <c r="M57" s="80" t="s">
        <v>289</v>
      </c>
      <c r="N57" s="81" t="s">
        <v>288</v>
      </c>
      <c r="O57" s="80" t="s">
        <v>298</v>
      </c>
      <c r="P57" s="109" t="s">
        <v>298</v>
      </c>
      <c r="Q57" s="109"/>
      <c r="R57" s="109" t="s">
        <v>298</v>
      </c>
      <c r="S57" s="81" t="s">
        <v>294</v>
      </c>
      <c r="T57" s="81"/>
      <c r="U57" s="181" t="s">
        <v>277</v>
      </c>
    </row>
    <row r="58" spans="1:21" ht="15.75" customHeight="1">
      <c r="A58" s="180"/>
      <c r="B58" s="80" t="s">
        <v>272</v>
      </c>
      <c r="C58" s="80">
        <v>1000</v>
      </c>
      <c r="D58" s="80">
        <v>250</v>
      </c>
      <c r="E58" s="80"/>
      <c r="F58" s="80">
        <v>480</v>
      </c>
      <c r="G58" s="80">
        <v>150</v>
      </c>
      <c r="H58" s="80">
        <v>20</v>
      </c>
      <c r="I58" s="81" t="s">
        <v>300</v>
      </c>
      <c r="J58" s="80">
        <v>5</v>
      </c>
      <c r="K58" s="80">
        <v>20</v>
      </c>
      <c r="L58" s="80">
        <v>25</v>
      </c>
      <c r="M58" s="80">
        <v>40</v>
      </c>
      <c r="N58" s="80">
        <v>15</v>
      </c>
      <c r="O58" s="80" t="s">
        <v>298</v>
      </c>
      <c r="P58" s="109" t="s">
        <v>298</v>
      </c>
      <c r="Q58" s="109"/>
      <c r="R58" s="109" t="s">
        <v>298</v>
      </c>
      <c r="S58" s="80">
        <v>5</v>
      </c>
      <c r="T58" s="80"/>
      <c r="U58" s="181"/>
    </row>
    <row r="59" spans="1:21" ht="15.75" customHeight="1">
      <c r="A59" s="180"/>
      <c r="B59" s="60" t="s">
        <v>271</v>
      </c>
      <c r="C59" s="165" t="s">
        <v>280</v>
      </c>
      <c r="D59" s="165" t="s">
        <v>284</v>
      </c>
      <c r="E59" s="60"/>
      <c r="F59" s="165" t="s">
        <v>281</v>
      </c>
      <c r="G59" s="165" t="s">
        <v>286</v>
      </c>
      <c r="H59" s="165" t="s">
        <v>298</v>
      </c>
      <c r="I59" s="166" t="s">
        <v>299</v>
      </c>
      <c r="J59" s="165" t="s">
        <v>303</v>
      </c>
      <c r="K59" s="165" t="s">
        <v>302</v>
      </c>
      <c r="L59" s="166" t="s">
        <v>299</v>
      </c>
      <c r="M59" s="165" t="s">
        <v>305</v>
      </c>
      <c r="N59" s="165" t="s">
        <v>306</v>
      </c>
      <c r="O59" s="165" t="s">
        <v>298</v>
      </c>
      <c r="P59" s="107" t="s">
        <v>298</v>
      </c>
      <c r="Q59" s="107"/>
      <c r="R59" s="107" t="s">
        <v>298</v>
      </c>
      <c r="S59" s="165" t="s">
        <v>307</v>
      </c>
      <c r="T59" s="60"/>
      <c r="U59" s="182" t="s">
        <v>278</v>
      </c>
    </row>
    <row r="60" spans="1:21" ht="15.75" customHeight="1">
      <c r="A60" s="180"/>
      <c r="B60" s="106" t="s">
        <v>272</v>
      </c>
      <c r="C60" s="60">
        <v>800</v>
      </c>
      <c r="D60" s="60">
        <v>140</v>
      </c>
      <c r="E60" s="60"/>
      <c r="F60" s="60">
        <v>600</v>
      </c>
      <c r="G60" s="60">
        <v>130</v>
      </c>
      <c r="H60" s="60" t="s">
        <v>298</v>
      </c>
      <c r="I60" s="79" t="s">
        <v>301</v>
      </c>
      <c r="J60" s="60">
        <v>30</v>
      </c>
      <c r="K60" s="60">
        <v>10</v>
      </c>
      <c r="L60" s="60">
        <v>30</v>
      </c>
      <c r="M60" s="60">
        <v>40</v>
      </c>
      <c r="N60" s="60">
        <v>20</v>
      </c>
      <c r="O60" s="60" t="s">
        <v>298</v>
      </c>
      <c r="P60" s="107" t="s">
        <v>298</v>
      </c>
      <c r="Q60" s="107"/>
      <c r="R60" s="107" t="s">
        <v>298</v>
      </c>
      <c r="S60" s="60">
        <v>20</v>
      </c>
      <c r="T60" s="60"/>
      <c r="U60" s="182"/>
    </row>
    <row r="61" spans="1:21" ht="15.75" customHeight="1">
      <c r="A61" s="180"/>
      <c r="B61" s="109" t="s">
        <v>271</v>
      </c>
      <c r="C61" s="108"/>
      <c r="D61" s="108"/>
      <c r="E61" s="108"/>
      <c r="F61" s="108"/>
      <c r="G61" s="108"/>
      <c r="H61" s="108"/>
      <c r="I61" s="108"/>
      <c r="J61" s="108"/>
      <c r="K61" s="108"/>
      <c r="L61" s="108"/>
      <c r="M61" s="108"/>
      <c r="N61" s="108"/>
      <c r="O61" s="108"/>
      <c r="P61" s="149" t="s">
        <v>369</v>
      </c>
      <c r="Q61" s="109"/>
      <c r="R61" s="149" t="s">
        <v>370</v>
      </c>
      <c r="S61" s="108"/>
      <c r="T61" s="108"/>
      <c r="U61" s="183" t="s">
        <v>368</v>
      </c>
    </row>
    <row r="62" spans="1:21" ht="15.75" customHeight="1">
      <c r="A62" s="180"/>
      <c r="B62" s="109" t="s">
        <v>371</v>
      </c>
      <c r="C62" s="108"/>
      <c r="D62" s="108"/>
      <c r="E62" s="108"/>
      <c r="F62" s="108"/>
      <c r="G62" s="108"/>
      <c r="H62" s="108"/>
      <c r="I62" s="108"/>
      <c r="J62" s="108"/>
      <c r="K62" s="108"/>
      <c r="L62" s="108"/>
      <c r="M62" s="108"/>
      <c r="N62" s="108"/>
      <c r="O62" s="108"/>
      <c r="P62" s="108"/>
      <c r="Q62" s="108"/>
      <c r="R62" s="108">
        <v>100</v>
      </c>
      <c r="S62" s="108"/>
      <c r="T62" s="108"/>
      <c r="U62" s="183"/>
    </row>
    <row r="63" spans="1:21" ht="15.75" customHeight="1">
      <c r="A63" s="72"/>
      <c r="B63" s="110" t="s">
        <v>148</v>
      </c>
      <c r="C63" s="60" t="s">
        <v>298</v>
      </c>
      <c r="D63" s="60" t="s">
        <v>298</v>
      </c>
      <c r="E63" s="60" t="s">
        <v>298</v>
      </c>
      <c r="F63" s="60" t="s">
        <v>298</v>
      </c>
      <c r="G63" s="60" t="s">
        <v>298</v>
      </c>
      <c r="H63" s="60" t="s">
        <v>298</v>
      </c>
      <c r="I63" s="60" t="s">
        <v>298</v>
      </c>
      <c r="J63" s="60" t="s">
        <v>298</v>
      </c>
      <c r="K63" s="60" t="s">
        <v>298</v>
      </c>
      <c r="L63" s="60" t="s">
        <v>298</v>
      </c>
      <c r="M63" s="60" t="s">
        <v>298</v>
      </c>
      <c r="N63" s="60" t="s">
        <v>298</v>
      </c>
      <c r="O63" s="60">
        <v>280</v>
      </c>
      <c r="P63" s="111">
        <v>131</v>
      </c>
      <c r="Q63" s="111"/>
      <c r="R63" s="111">
        <v>100</v>
      </c>
      <c r="S63" s="112" t="s">
        <v>298</v>
      </c>
      <c r="T63" s="112"/>
      <c r="U63" s="112" t="s">
        <v>335</v>
      </c>
    </row>
    <row r="64" spans="1:21" ht="15.75" customHeight="1">
      <c r="A64" s="128"/>
      <c r="B64" s="109" t="s">
        <v>551</v>
      </c>
      <c r="C64" s="80">
        <v>830</v>
      </c>
      <c r="D64" s="80">
        <v>180</v>
      </c>
      <c r="E64" s="80">
        <v>840</v>
      </c>
      <c r="F64" s="80">
        <v>530</v>
      </c>
      <c r="G64" s="80">
        <v>145</v>
      </c>
      <c r="H64" s="80">
        <v>-112.5</v>
      </c>
      <c r="I64" s="184" t="s">
        <v>552</v>
      </c>
      <c r="J64" s="80">
        <v>1100</v>
      </c>
      <c r="K64" s="80">
        <v>50</v>
      </c>
      <c r="L64" s="80">
        <v>35</v>
      </c>
      <c r="M64" s="80">
        <v>85</v>
      </c>
      <c r="N64" s="80">
        <v>45</v>
      </c>
      <c r="O64" s="80">
        <f>O63</f>
        <v>280</v>
      </c>
      <c r="P64" s="108">
        <v>101.5</v>
      </c>
      <c r="Q64" s="108">
        <v>233.14</v>
      </c>
      <c r="R64" s="108">
        <v>86.5</v>
      </c>
      <c r="S64" s="102">
        <f>S60</f>
        <v>20</v>
      </c>
      <c r="T64" s="102">
        <v>167</v>
      </c>
      <c r="U64" s="102" t="s">
        <v>336</v>
      </c>
    </row>
    <row r="65" spans="1:21" ht="15.75" customHeight="1">
      <c r="A65" s="72"/>
      <c r="B65" s="136"/>
      <c r="C65" s="139"/>
      <c r="D65" s="139"/>
      <c r="E65" s="139"/>
      <c r="F65" s="139"/>
      <c r="G65" s="139"/>
      <c r="H65" s="139"/>
      <c r="I65" s="139"/>
      <c r="J65" s="139"/>
      <c r="K65" s="139"/>
      <c r="L65" s="139"/>
      <c r="M65" s="139"/>
      <c r="N65" s="139"/>
      <c r="O65" s="139"/>
      <c r="P65" s="140"/>
      <c r="Q65" s="140"/>
      <c r="R65" s="140"/>
      <c r="S65" s="141"/>
      <c r="T65" s="141"/>
      <c r="U65" s="141"/>
    </row>
    <row r="66" spans="1:21" ht="15.75" customHeight="1">
      <c r="A66" s="72"/>
      <c r="B66" s="72"/>
      <c r="C66" s="72"/>
      <c r="D66" s="72"/>
      <c r="E66" s="72"/>
      <c r="F66" s="72"/>
      <c r="G66" s="72"/>
      <c r="H66" s="72"/>
      <c r="I66" s="72"/>
      <c r="J66" s="72"/>
      <c r="K66" s="72"/>
      <c r="L66" s="72"/>
      <c r="M66" s="72"/>
      <c r="N66" s="72"/>
      <c r="O66" s="72"/>
      <c r="S66" s="105"/>
      <c r="T66" s="105"/>
      <c r="U66" s="105"/>
    </row>
    <row r="67" spans="1:21" ht="15.75" customHeight="1">
      <c r="A67" s="78" t="s">
        <v>337</v>
      </c>
      <c r="B67" s="78" t="str">
        <f>Overview!K16</f>
        <v>Blue Hydrogen</v>
      </c>
      <c r="C67" s="72"/>
      <c r="D67" s="72"/>
      <c r="E67" s="72"/>
      <c r="F67" s="72"/>
      <c r="G67" s="72"/>
      <c r="H67" s="72"/>
      <c r="I67" s="72"/>
      <c r="J67" s="72"/>
      <c r="K67" s="72"/>
      <c r="L67" s="72"/>
      <c r="M67" s="72"/>
      <c r="N67" s="72"/>
      <c r="O67" s="72"/>
      <c r="P67" s="72"/>
      <c r="Q67" s="72"/>
      <c r="R67" s="72"/>
      <c r="S67" s="72"/>
      <c r="T67" s="72"/>
      <c r="U67" s="72"/>
    </row>
    <row r="68" spans="1:21" ht="15.75" customHeight="1">
      <c r="A68" s="72" t="s">
        <v>338</v>
      </c>
      <c r="B68" s="72">
        <f>HLOOKUP(B67,C56:S64, 9, FALSE)/1000</f>
        <v>8.6499999999999994E-2</v>
      </c>
      <c r="C68" s="72"/>
      <c r="D68" s="72"/>
      <c r="E68" s="72"/>
      <c r="F68" s="72"/>
      <c r="G68" s="72"/>
      <c r="H68" s="72"/>
      <c r="I68" s="72"/>
      <c r="J68" s="72"/>
      <c r="K68" s="72"/>
      <c r="L68" s="72"/>
      <c r="M68" s="72"/>
      <c r="N68" s="72"/>
      <c r="O68" s="72"/>
      <c r="P68" s="72"/>
      <c r="Q68" s="72"/>
      <c r="R68" s="72"/>
      <c r="S68" s="72"/>
      <c r="T68" s="72"/>
      <c r="U68" s="72"/>
    </row>
    <row r="69" spans="1:21" ht="15.75" customHeight="1">
      <c r="E69" s="72"/>
      <c r="F69" s="72"/>
      <c r="G69" s="72"/>
      <c r="H69" s="72"/>
      <c r="I69" s="72"/>
      <c r="J69" s="72"/>
      <c r="K69" s="72"/>
      <c r="L69" s="72"/>
      <c r="M69" s="72"/>
      <c r="N69" s="72"/>
      <c r="O69" s="72"/>
      <c r="P69" s="72"/>
      <c r="Q69" s="72"/>
      <c r="R69" s="72"/>
      <c r="S69" s="72"/>
      <c r="T69" s="72"/>
      <c r="U69" s="72"/>
    </row>
    <row r="70" spans="1:21" ht="15.75" customHeight="1">
      <c r="A70" s="70" t="s">
        <v>339</v>
      </c>
      <c r="B70" s="70" t="s">
        <v>52</v>
      </c>
      <c r="C70" s="70" t="s">
        <v>53</v>
      </c>
      <c r="D70" s="70" t="s">
        <v>54</v>
      </c>
      <c r="E70" s="72"/>
      <c r="F70" s="72"/>
      <c r="G70" s="72"/>
      <c r="H70" s="72"/>
      <c r="I70" s="72"/>
      <c r="J70" s="72"/>
      <c r="K70" s="72"/>
      <c r="L70" s="72"/>
      <c r="M70" s="72"/>
      <c r="N70" s="72"/>
      <c r="O70" s="72"/>
      <c r="P70" s="72"/>
      <c r="Q70" s="72"/>
      <c r="R70" s="72"/>
      <c r="S70" s="72"/>
      <c r="T70" s="72"/>
      <c r="U70" s="72"/>
    </row>
    <row r="71" spans="1:21" ht="15.75" customHeight="1">
      <c r="A71" s="72" t="s">
        <v>340</v>
      </c>
      <c r="B71" s="89">
        <f>B21</f>
        <v>66443.813244777572</v>
      </c>
      <c r="C71" s="72">
        <f t="shared" ref="C71" si="4">C21</f>
        <v>132887.62648955514</v>
      </c>
      <c r="D71" s="89">
        <f>D21</f>
        <v>199331.43973433273</v>
      </c>
      <c r="E71" s="72"/>
      <c r="F71" s="72"/>
      <c r="G71" s="128" t="s">
        <v>409</v>
      </c>
      <c r="H71" s="72"/>
      <c r="I71" s="72"/>
      <c r="J71" s="72"/>
      <c r="K71" s="72"/>
      <c r="L71" s="72"/>
      <c r="M71" s="72"/>
      <c r="N71" s="72"/>
      <c r="O71" s="72"/>
      <c r="P71" s="72"/>
      <c r="Q71" s="72"/>
      <c r="R71" s="72"/>
      <c r="S71" s="72"/>
      <c r="T71" s="72"/>
      <c r="U71" s="72"/>
    </row>
    <row r="72" spans="1:21" ht="15.75" customHeight="1">
      <c r="A72" s="72" t="s">
        <v>341</v>
      </c>
      <c r="B72" s="72">
        <f>$B$68*B71</f>
        <v>5747.3898456732595</v>
      </c>
      <c r="C72" s="72">
        <f t="shared" ref="C72" si="5">$B$68*C71</f>
        <v>11494.779691346519</v>
      </c>
      <c r="D72" s="72">
        <f>$B$68*D71</f>
        <v>17242.169537019781</v>
      </c>
      <c r="E72" s="72"/>
      <c r="F72" s="72"/>
      <c r="G72" s="72"/>
      <c r="H72" s="72"/>
      <c r="I72" s="72"/>
      <c r="J72" s="72"/>
      <c r="K72" s="72"/>
      <c r="L72" s="72"/>
      <c r="M72" s="72"/>
      <c r="N72" s="72"/>
      <c r="O72" s="72"/>
      <c r="P72" s="72"/>
      <c r="Q72" s="72"/>
      <c r="R72" s="72"/>
      <c r="S72" s="72"/>
      <c r="T72" s="72"/>
      <c r="U72" s="72"/>
    </row>
    <row r="73" spans="1:21" ht="15.75" customHeight="1">
      <c r="A73" s="72"/>
      <c r="B73" s="72"/>
      <c r="C73" s="72"/>
      <c r="D73" s="72"/>
      <c r="E73" s="72"/>
      <c r="F73" s="72"/>
      <c r="G73" s="72"/>
      <c r="H73" s="72"/>
      <c r="I73" s="72"/>
      <c r="J73" s="72"/>
      <c r="K73" s="72"/>
      <c r="L73" s="72"/>
      <c r="M73" s="72"/>
      <c r="N73" s="72"/>
      <c r="O73" s="72"/>
      <c r="P73" s="72"/>
      <c r="Q73" s="72"/>
      <c r="R73" s="72"/>
      <c r="S73" s="72"/>
      <c r="T73" s="72"/>
      <c r="U73" s="72"/>
    </row>
    <row r="74" spans="1:21" ht="15.75" customHeight="1">
      <c r="A74" s="136" t="s">
        <v>438</v>
      </c>
      <c r="B74" s="137" t="s">
        <v>441</v>
      </c>
      <c r="C74" s="137" t="s">
        <v>442</v>
      </c>
      <c r="D74" s="137" t="s">
        <v>443</v>
      </c>
    </row>
    <row r="75" spans="1:21" ht="15.75" customHeight="1">
      <c r="A75" s="128" t="s">
        <v>439</v>
      </c>
      <c r="B75">
        <f>(16.05+0.81)/17</f>
        <v>0.99176470588235288</v>
      </c>
      <c r="C75">
        <f>B75*17</f>
        <v>16.86</v>
      </c>
      <c r="D75">
        <f>B75*365</f>
        <v>361.99411764705883</v>
      </c>
    </row>
    <row r="76" spans="1:21" ht="15.75" customHeight="1">
      <c r="A76" s="128" t="s">
        <v>440</v>
      </c>
      <c r="B76">
        <f>((140.89+166.29+23.3)/33)+4.89</f>
        <v>14.904545454545453</v>
      </c>
      <c r="C76">
        <f>B76*33</f>
        <v>491.84999999999991</v>
      </c>
      <c r="D76">
        <f>B76*365</f>
        <v>5440.1590909090901</v>
      </c>
    </row>
    <row r="77" spans="1:21" ht="15.75" customHeight="1">
      <c r="A77" s="128" t="s">
        <v>317</v>
      </c>
      <c r="B77">
        <f>SUM(B75:B76)</f>
        <v>15.896310160427806</v>
      </c>
      <c r="C77">
        <f>SUM(C75:C76)</f>
        <v>508.70999999999992</v>
      </c>
      <c r="D77">
        <f>SUM(D75:D76)</f>
        <v>5802.1532085561485</v>
      </c>
    </row>
    <row r="78" spans="1:21" ht="15.75" customHeight="1"/>
    <row r="79" spans="1:21" ht="15.75" customHeight="1"/>
    <row r="80" spans="1:21"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A57:A62"/>
    <mergeCell ref="U57:U58"/>
    <mergeCell ref="U59:U60"/>
    <mergeCell ref="U61:U62"/>
  </mergeCells>
  <hyperlinks>
    <hyperlink ref="L14" r:id="rId1" xr:uid="{00000000-0004-0000-0700-000000000000}"/>
    <hyperlink ref="L52" r:id="rId2" xr:uid="{4394F643-9C60-7543-BACB-DB1B5FC426D5}"/>
  </hyperlinks>
  <pageMargins left="0.7" right="0.7" top="0.75" bottom="0.75" header="0" footer="0"/>
  <pageSetup orientation="landscape"/>
  <drawing r:id="rId3"/>
  <legacy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000"/>
  <sheetViews>
    <sheetView workbookViewId="0"/>
  </sheetViews>
  <sheetFormatPr baseColWidth="10" defaultColWidth="14.5" defaultRowHeight="15" customHeight="1"/>
  <cols>
    <col min="1" max="1" width="139.33203125" customWidth="1"/>
    <col min="2" max="2" width="27.6640625" customWidth="1"/>
    <col min="3" max="3" width="23.1640625" customWidth="1"/>
    <col min="4" max="4" width="13.33203125" customWidth="1"/>
    <col min="5" max="5" width="8.6640625" customWidth="1"/>
    <col min="6" max="6" width="10.1640625" customWidth="1"/>
    <col min="7" max="7" width="10.83203125" customWidth="1"/>
    <col min="8" max="26" width="8.6640625" customWidth="1"/>
  </cols>
  <sheetData>
    <row r="1" spans="1:12">
      <c r="A1" s="31" t="s">
        <v>183</v>
      </c>
    </row>
    <row r="2" spans="1:12">
      <c r="A2" s="32" t="s">
        <v>184</v>
      </c>
    </row>
    <row r="3" spans="1:12">
      <c r="A3" s="32" t="s">
        <v>185</v>
      </c>
    </row>
    <row r="4" spans="1:12">
      <c r="A4" s="32" t="s">
        <v>186</v>
      </c>
    </row>
    <row r="5" spans="1:12">
      <c r="A5" s="32"/>
    </row>
    <row r="6" spans="1:12">
      <c r="A6" s="30" t="s">
        <v>257</v>
      </c>
      <c r="B6" s="11">
        <v>24</v>
      </c>
      <c r="C6" t="s">
        <v>188</v>
      </c>
      <c r="L6" t="s">
        <v>189</v>
      </c>
    </row>
    <row r="7" spans="1:12">
      <c r="A7" s="30" t="s">
        <v>190</v>
      </c>
      <c r="B7" s="11">
        <v>12</v>
      </c>
      <c r="C7" t="s">
        <v>191</v>
      </c>
      <c r="L7" t="s">
        <v>192</v>
      </c>
    </row>
    <row r="8" spans="1:12" ht="16">
      <c r="A8" s="11" t="s">
        <v>163</v>
      </c>
      <c r="B8" s="11">
        <v>0.25559999999999999</v>
      </c>
      <c r="C8" s="4" t="s">
        <v>164</v>
      </c>
      <c r="L8" t="s">
        <v>193</v>
      </c>
    </row>
    <row r="9" spans="1:12">
      <c r="A9" t="s">
        <v>194</v>
      </c>
      <c r="B9" t="s">
        <v>195</v>
      </c>
      <c r="C9" s="4"/>
    </row>
    <row r="10" spans="1:12">
      <c r="C10" s="4"/>
    </row>
    <row r="11" spans="1:12">
      <c r="A11" s="36"/>
      <c r="B11" t="s">
        <v>196</v>
      </c>
      <c r="C11" t="s">
        <v>197</v>
      </c>
      <c r="D11" t="s">
        <v>198</v>
      </c>
      <c r="E11" t="s">
        <v>199</v>
      </c>
      <c r="F11" t="s">
        <v>200</v>
      </c>
      <c r="G11" t="s">
        <v>201</v>
      </c>
    </row>
    <row r="12" spans="1:12">
      <c r="A12" t="s">
        <v>202</v>
      </c>
      <c r="B12">
        <v>1400</v>
      </c>
      <c r="C12">
        <v>48</v>
      </c>
      <c r="D12">
        <f>(B12*C12)/1000</f>
        <v>67.2</v>
      </c>
      <c r="E12">
        <v>12</v>
      </c>
      <c r="F12">
        <f t="shared" ref="F12:F14" si="0">E12*D12</f>
        <v>806.40000000000009</v>
      </c>
      <c r="G12">
        <f t="shared" ref="G12:G14" si="1">F12*365</f>
        <v>294336.00000000006</v>
      </c>
      <c r="L12" t="s">
        <v>203</v>
      </c>
    </row>
    <row r="13" spans="1:12">
      <c r="A13" t="s">
        <v>204</v>
      </c>
      <c r="B13">
        <f>B6*Overview!C16</f>
        <v>24</v>
      </c>
      <c r="C13">
        <v>75</v>
      </c>
      <c r="D13">
        <f t="shared" ref="D13:D14" si="2">(C13*B13)/1000</f>
        <v>1.8</v>
      </c>
      <c r="E13">
        <v>12</v>
      </c>
      <c r="F13">
        <f t="shared" si="0"/>
        <v>21.6</v>
      </c>
      <c r="G13">
        <f t="shared" si="1"/>
        <v>7884.0000000000009</v>
      </c>
      <c r="L13" t="s">
        <v>205</v>
      </c>
    </row>
    <row r="14" spans="1:12">
      <c r="A14" t="s">
        <v>206</v>
      </c>
      <c r="B14">
        <f>B6*Overview!C16</f>
        <v>24</v>
      </c>
      <c r="C14">
        <v>500</v>
      </c>
      <c r="D14">
        <f t="shared" si="2"/>
        <v>12</v>
      </c>
      <c r="E14">
        <v>12</v>
      </c>
      <c r="F14">
        <f t="shared" si="0"/>
        <v>144</v>
      </c>
      <c r="G14">
        <f t="shared" si="1"/>
        <v>52560</v>
      </c>
      <c r="L14" t="s">
        <v>205</v>
      </c>
    </row>
    <row r="15" spans="1:12"/>
    <row r="16" spans="1:12">
      <c r="A16" s="26" t="s">
        <v>207</v>
      </c>
      <c r="B16" s="26" t="s">
        <v>52</v>
      </c>
      <c r="C16" s="26" t="s">
        <v>53</v>
      </c>
      <c r="D16" s="26" t="s">
        <v>54</v>
      </c>
    </row>
    <row r="17" spans="1:5">
      <c r="A17" t="s">
        <v>208</v>
      </c>
      <c r="B17">
        <f>G14</f>
        <v>52560</v>
      </c>
      <c r="C17">
        <f t="shared" ref="C17:C18" si="3">B17*2</f>
        <v>105120</v>
      </c>
      <c r="D17">
        <f t="shared" ref="D17:D18" si="4">B17*3</f>
        <v>157680</v>
      </c>
      <c r="E17" t="s">
        <v>172</v>
      </c>
    </row>
    <row r="18" spans="1:5">
      <c r="A18" t="s">
        <v>209</v>
      </c>
      <c r="B18">
        <f>G13</f>
        <v>7884.0000000000009</v>
      </c>
      <c r="C18">
        <f t="shared" si="3"/>
        <v>15768.000000000002</v>
      </c>
      <c r="D18">
        <f t="shared" si="4"/>
        <v>23652.000000000004</v>
      </c>
      <c r="E18" t="s">
        <v>172</v>
      </c>
    </row>
    <row r="19" spans="1:5">
      <c r="A19" t="s">
        <v>210</v>
      </c>
      <c r="B19">
        <f t="shared" ref="B19:D19" si="5">B17-B18</f>
        <v>44676</v>
      </c>
      <c r="C19">
        <f t="shared" si="5"/>
        <v>89352</v>
      </c>
      <c r="D19">
        <f t="shared" si="5"/>
        <v>134028</v>
      </c>
      <c r="E19" t="s">
        <v>211</v>
      </c>
    </row>
    <row r="20" spans="1:5">
      <c r="A20" t="s">
        <v>177</v>
      </c>
      <c r="B20">
        <f>B19*B8</f>
        <v>11419.185599999999</v>
      </c>
      <c r="C20">
        <f t="shared" ref="C20:C21" si="6">B20*2</f>
        <v>22838.371199999998</v>
      </c>
      <c r="D20" s="27">
        <f t="shared" ref="D20:D21" si="7">B20*3</f>
        <v>34257.556799999998</v>
      </c>
      <c r="E20" t="s">
        <v>178</v>
      </c>
    </row>
    <row r="21" spans="1:5" ht="15.75" customHeight="1">
      <c r="A21" t="s">
        <v>212</v>
      </c>
      <c r="B21">
        <f>B20/1000</f>
        <v>11.419185599999999</v>
      </c>
      <c r="C21">
        <f t="shared" si="6"/>
        <v>22.838371199999997</v>
      </c>
      <c r="D21">
        <f t="shared" si="7"/>
        <v>34.257556799999996</v>
      </c>
      <c r="E21" t="s">
        <v>180</v>
      </c>
    </row>
    <row r="22" spans="1:5" ht="15.75" customHeight="1"/>
    <row r="23" spans="1:5" ht="15.75" customHeight="1"/>
    <row r="24" spans="1:5" ht="15.75" customHeight="1"/>
    <row r="25" spans="1:5" ht="15.75" customHeight="1"/>
    <row r="26" spans="1:5" ht="15.75" customHeight="1"/>
    <row r="27" spans="1:5" ht="15.75" customHeight="1"/>
    <row r="28" spans="1:5" ht="15.75" customHeight="1"/>
    <row r="29" spans="1:5" ht="15.75" customHeight="1"/>
    <row r="30" spans="1:5" ht="15.75" customHeight="1"/>
    <row r="31" spans="1:5" ht="15.75" customHeight="1"/>
    <row r="32" spans="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000"/>
  <sheetViews>
    <sheetView workbookViewId="0"/>
  </sheetViews>
  <sheetFormatPr baseColWidth="10" defaultColWidth="14.5" defaultRowHeight="15" customHeight="1"/>
  <cols>
    <col min="1" max="1" width="115.5" customWidth="1"/>
    <col min="2" max="2" width="8" customWidth="1"/>
    <col min="3" max="3" width="30.6640625" customWidth="1"/>
    <col min="4" max="5" width="8.6640625" customWidth="1"/>
    <col min="6" max="6" width="126.83203125" customWidth="1"/>
    <col min="7" max="26" width="8.6640625" customWidth="1"/>
  </cols>
  <sheetData>
    <row r="1" spans="1:6">
      <c r="A1" s="8" t="s">
        <v>213</v>
      </c>
      <c r="F1" t="s">
        <v>258</v>
      </c>
    </row>
    <row r="2" spans="1:6" ht="21">
      <c r="A2" t="s">
        <v>214</v>
      </c>
      <c r="F2" s="37" t="s">
        <v>217</v>
      </c>
    </row>
    <row r="3" spans="1:6">
      <c r="A3" s="11" t="s">
        <v>215</v>
      </c>
      <c r="B3" s="11">
        <v>0.9</v>
      </c>
      <c r="C3" t="s">
        <v>216</v>
      </c>
    </row>
    <row r="4" spans="1:6">
      <c r="A4" s="11" t="s">
        <v>218</v>
      </c>
      <c r="B4" s="11">
        <v>70</v>
      </c>
      <c r="C4" t="s">
        <v>219</v>
      </c>
      <c r="F4" s="38" t="s">
        <v>222</v>
      </c>
    </row>
    <row r="5" spans="1:6">
      <c r="A5" s="11" t="s">
        <v>220</v>
      </c>
      <c r="B5" s="11">
        <v>1200</v>
      </c>
      <c r="C5" t="s">
        <v>221</v>
      </c>
    </row>
    <row r="6" spans="1:6">
      <c r="A6" s="9" t="s">
        <v>223</v>
      </c>
      <c r="B6">
        <f>B5/1000</f>
        <v>1.2</v>
      </c>
      <c r="C6" t="s">
        <v>224</v>
      </c>
    </row>
    <row r="7" spans="1:6">
      <c r="A7" s="9" t="s">
        <v>225</v>
      </c>
      <c r="B7">
        <f>29.5*20.2*11</f>
        <v>6554.9</v>
      </c>
      <c r="C7" t="s">
        <v>226</v>
      </c>
    </row>
    <row r="8" spans="1:6">
      <c r="A8" s="9" t="s">
        <v>227</v>
      </c>
      <c r="B8">
        <f>B6*B7</f>
        <v>7865.8799999999992</v>
      </c>
      <c r="C8" t="s">
        <v>228</v>
      </c>
    </row>
    <row r="9" spans="1:6">
      <c r="A9" s="9"/>
    </row>
    <row r="10" spans="1:6">
      <c r="A10" s="9" t="s">
        <v>229</v>
      </c>
    </row>
    <row r="11" spans="1:6">
      <c r="A11" t="s">
        <v>230</v>
      </c>
      <c r="B11">
        <f>24*365</f>
        <v>8760</v>
      </c>
      <c r="C11" t="s">
        <v>231</v>
      </c>
    </row>
    <row r="12" spans="1:6">
      <c r="A12" t="s">
        <v>232</v>
      </c>
      <c r="B12">
        <f>B4*(54/30)</f>
        <v>126</v>
      </c>
      <c r="C12" t="s">
        <v>233</v>
      </c>
    </row>
    <row r="13" spans="1:6">
      <c r="A13" t="s">
        <v>234</v>
      </c>
      <c r="B13">
        <f>B12*52</f>
        <v>6552</v>
      </c>
      <c r="C13" t="s">
        <v>235</v>
      </c>
    </row>
    <row r="14" spans="1:6" ht="16">
      <c r="A14" s="4" t="s">
        <v>236</v>
      </c>
      <c r="B14">
        <f>B3*(B13/(24))</f>
        <v>245.70000000000002</v>
      </c>
      <c r="C14" t="s">
        <v>237</v>
      </c>
    </row>
    <row r="15" spans="1:6"/>
    <row r="16" spans="1:6">
      <c r="A16" s="26" t="s">
        <v>238</v>
      </c>
      <c r="B16" s="26" t="s">
        <v>52</v>
      </c>
      <c r="C16" s="26" t="s">
        <v>53</v>
      </c>
      <c r="D16" s="26" t="s">
        <v>54</v>
      </c>
    </row>
    <row r="17" spans="1:5">
      <c r="A17" t="s">
        <v>239</v>
      </c>
      <c r="B17">
        <f>B14</f>
        <v>245.70000000000002</v>
      </c>
      <c r="C17">
        <f>B17*2</f>
        <v>491.40000000000003</v>
      </c>
      <c r="D17" s="27">
        <f>B17*3</f>
        <v>737.1</v>
      </c>
      <c r="E17" t="s">
        <v>58</v>
      </c>
    </row>
    <row r="21" spans="1:5" ht="15.75" customHeight="1"/>
    <row r="22" spans="1:5" ht="15.75" customHeight="1"/>
    <row r="23" spans="1:5" ht="15.75" customHeight="1"/>
    <row r="24" spans="1:5" ht="15.75" customHeight="1"/>
    <row r="25" spans="1:5" ht="15.75" customHeight="1"/>
    <row r="26" spans="1:5" ht="15.75" customHeight="1"/>
    <row r="27" spans="1:5" ht="15.75" customHeight="1"/>
    <row r="28" spans="1:5" ht="15.75" customHeight="1"/>
    <row r="29" spans="1:5" ht="15.75" customHeight="1"/>
    <row r="30" spans="1:5" ht="15.75" customHeight="1"/>
    <row r="31" spans="1:5" ht="15.75" customHeight="1"/>
    <row r="32" spans="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F4" r:id="rId1" xr:uid="{00000000-0004-0000-0900-000000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CCDBF-7B47-2448-A70D-0D37EF0474CE}">
  <dimension ref="A1:R25"/>
  <sheetViews>
    <sheetView workbookViewId="0">
      <selection activeCell="I11" sqref="I11"/>
    </sheetView>
  </sheetViews>
  <sheetFormatPr baseColWidth="10" defaultRowHeight="15"/>
  <cols>
    <col min="1" max="1" width="11.33203125" bestFit="1" customWidth="1"/>
    <col min="2" max="2" width="40.5" bestFit="1" customWidth="1"/>
    <col min="3" max="3" width="14.83203125" bestFit="1" customWidth="1"/>
    <col min="4" max="4" width="23.5" bestFit="1" customWidth="1"/>
    <col min="5" max="5" width="9.1640625" bestFit="1" customWidth="1"/>
    <col min="6" max="6" width="19" customWidth="1"/>
    <col min="7" max="7" width="18.6640625" customWidth="1"/>
    <col min="8" max="8" width="16.5" bestFit="1" customWidth="1"/>
    <col min="9" max="9" width="22.1640625" customWidth="1"/>
    <col min="10" max="10" width="22" customWidth="1"/>
    <col min="11" max="11" width="13.6640625" bestFit="1" customWidth="1"/>
    <col min="12" max="12" width="12" bestFit="1" customWidth="1"/>
    <col min="13" max="13" width="13" bestFit="1" customWidth="1"/>
    <col min="16" max="16" width="13.6640625" bestFit="1" customWidth="1"/>
    <col min="17" max="17" width="16.83203125" customWidth="1"/>
  </cols>
  <sheetData>
    <row r="1" spans="1:18">
      <c r="B1" s="103"/>
    </row>
    <row r="3" spans="1:18">
      <c r="B3" t="s">
        <v>436</v>
      </c>
      <c r="C3" s="111"/>
      <c r="D3" s="171"/>
      <c r="E3" s="171"/>
      <c r="F3" s="171"/>
      <c r="G3" s="171" t="s">
        <v>382</v>
      </c>
      <c r="H3" s="171"/>
      <c r="I3" s="171"/>
      <c r="J3" s="171"/>
      <c r="K3" s="174" t="s">
        <v>384</v>
      </c>
      <c r="L3" s="175"/>
      <c r="M3" s="121" t="s">
        <v>386</v>
      </c>
      <c r="N3" s="121" t="s">
        <v>388</v>
      </c>
      <c r="O3" s="171" t="s">
        <v>389</v>
      </c>
      <c r="P3" s="171"/>
      <c r="Q3" s="121" t="s">
        <v>390</v>
      </c>
      <c r="R3" s="111" t="s">
        <v>317</v>
      </c>
    </row>
    <row r="4" spans="1:18">
      <c r="B4" s="71"/>
      <c r="C4" s="119" t="s">
        <v>376</v>
      </c>
      <c r="D4" s="122" t="s">
        <v>547</v>
      </c>
      <c r="E4" s="122" t="s">
        <v>377</v>
      </c>
      <c r="F4" s="122" t="s">
        <v>545</v>
      </c>
      <c r="G4" s="122" t="s">
        <v>402</v>
      </c>
      <c r="H4" s="122" t="s">
        <v>401</v>
      </c>
      <c r="I4" s="119" t="s">
        <v>550</v>
      </c>
      <c r="J4" s="122" t="s">
        <v>404</v>
      </c>
      <c r="K4" s="119" t="s">
        <v>381</v>
      </c>
      <c r="L4" s="119" t="s">
        <v>387</v>
      </c>
      <c r="M4" s="122" t="s">
        <v>570</v>
      </c>
      <c r="N4" s="122" t="s">
        <v>387</v>
      </c>
      <c r="O4" s="122" t="s">
        <v>433</v>
      </c>
      <c r="P4" s="122" t="s">
        <v>400</v>
      </c>
      <c r="Q4" s="122" t="s">
        <v>399</v>
      </c>
      <c r="R4" s="119" t="s">
        <v>298</v>
      </c>
    </row>
    <row r="5" spans="1:18">
      <c r="A5" s="103" t="s">
        <v>396</v>
      </c>
      <c r="B5" s="120" t="s">
        <v>397</v>
      </c>
      <c r="C5" s="111">
        <f>Overview!F17</f>
        <v>39000</v>
      </c>
      <c r="D5" s="150">
        <f>Overview!B199</f>
        <v>84</v>
      </c>
      <c r="E5" s="123">
        <v>0</v>
      </c>
      <c r="F5" s="123">
        <f>Overview!B196</f>
        <v>239263.8036809816</v>
      </c>
      <c r="G5" s="124">
        <f>250*'Carbon Footprint Life Cycle'!C5</f>
        <v>9750000</v>
      </c>
      <c r="H5" s="124">
        <f>Overview!B113*Overview!I17</f>
        <v>5.2379867911637437</v>
      </c>
      <c r="I5" s="124">
        <f>Overview!B40</f>
        <v>86.4</v>
      </c>
      <c r="J5" s="124">
        <f>Overview!$B$135*Overview!E135*C5</f>
        <v>11916.6762</v>
      </c>
      <c r="K5" s="125"/>
      <c r="L5" s="125"/>
      <c r="M5" s="170">
        <f>Overview!B87</f>
        <v>2400</v>
      </c>
      <c r="N5" s="125"/>
      <c r="O5" s="125">
        <v>0</v>
      </c>
      <c r="P5" s="124">
        <f>Overview!B76</f>
        <v>15600</v>
      </c>
      <c r="Q5" s="124">
        <f>Overview!H17</f>
        <v>2.4710516301527603</v>
      </c>
      <c r="R5" s="125"/>
    </row>
    <row r="6" spans="1:18">
      <c r="A6" s="103"/>
      <c r="B6" s="120" t="s">
        <v>398</v>
      </c>
      <c r="C6" s="111">
        <f>SUM(D6:Q6)</f>
        <v>196771.51740801617</v>
      </c>
      <c r="D6" s="150">
        <f>Overview!B211</f>
        <v>120.96</v>
      </c>
      <c r="E6" s="123">
        <f>Overview!B210</f>
        <v>0</v>
      </c>
      <c r="F6" s="123">
        <f>Overview!B212</f>
        <v>0</v>
      </c>
      <c r="G6" s="124">
        <f>(G5/1000000)*Overview!B57</f>
        <v>3354</v>
      </c>
      <c r="H6" s="124">
        <f>Overview!B121</f>
        <v>403.65000000000003</v>
      </c>
      <c r="I6" s="163">
        <f>Overview!B41</f>
        <v>216</v>
      </c>
      <c r="J6" s="124">
        <f>J5*'Energy Consumption'!T64/1000</f>
        <v>1990.0849254</v>
      </c>
      <c r="K6" s="125"/>
      <c r="L6" s="125"/>
      <c r="M6" s="124">
        <f>Overview!B104</f>
        <v>20311.2</v>
      </c>
      <c r="N6" s="125"/>
      <c r="O6" s="125">
        <v>0</v>
      </c>
      <c r="P6" s="164">
        <f>'Carbon Footprint Life Cycle'!P5*Overview!B73</f>
        <v>17940</v>
      </c>
      <c r="Q6" s="124">
        <f>Q5*Rewilding!B15</f>
        <v>152435.62248261616</v>
      </c>
      <c r="R6" s="111">
        <f>SUM(D6:Q6)</f>
        <v>196771.51740801617</v>
      </c>
    </row>
    <row r="7" spans="1:18">
      <c r="A7" s="103" t="s">
        <v>410</v>
      </c>
      <c r="B7" s="64" t="s">
        <v>55</v>
      </c>
      <c r="C7">
        <f>R6/C5</f>
        <v>5.0454235232824658</v>
      </c>
      <c r="D7">
        <f t="shared" ref="D7:F7" si="0">D6/$C$5</f>
        <v>3.1015384615384616E-3</v>
      </c>
      <c r="E7">
        <f t="shared" si="0"/>
        <v>0</v>
      </c>
      <c r="F7">
        <f t="shared" si="0"/>
        <v>0</v>
      </c>
      <c r="G7" s="168">
        <f>G6/$C$5</f>
        <v>8.5999999999999993E-2</v>
      </c>
      <c r="H7">
        <f t="shared" ref="H7:Q7" si="1">H6/$C$5</f>
        <v>1.0350000000000002E-2</v>
      </c>
      <c r="I7">
        <f t="shared" si="1"/>
        <v>5.5384615384615381E-3</v>
      </c>
      <c r="J7">
        <f>J6/$C$5</f>
        <v>5.1027818599999997E-2</v>
      </c>
      <c r="K7">
        <f t="shared" si="1"/>
        <v>0</v>
      </c>
      <c r="L7">
        <f t="shared" si="1"/>
        <v>0</v>
      </c>
      <c r="M7">
        <f t="shared" si="1"/>
        <v>0.52080000000000004</v>
      </c>
      <c r="N7">
        <f t="shared" si="1"/>
        <v>0</v>
      </c>
      <c r="O7">
        <f t="shared" si="1"/>
        <v>0</v>
      </c>
      <c r="P7">
        <f t="shared" si="1"/>
        <v>0.46</v>
      </c>
      <c r="Q7">
        <f t="shared" si="1"/>
        <v>3.9086057046824658</v>
      </c>
      <c r="R7">
        <f>R6/C5</f>
        <v>5.0454235232824658</v>
      </c>
    </row>
    <row r="8" spans="1:18">
      <c r="B8" s="64" t="s">
        <v>407</v>
      </c>
      <c r="C8">
        <f>(R6-Q6)/C5</f>
        <v>1.1368178186000002</v>
      </c>
    </row>
    <row r="10" spans="1:18">
      <c r="B10" t="s">
        <v>437</v>
      </c>
      <c r="C10" s="111"/>
      <c r="D10" s="171"/>
      <c r="E10" s="171"/>
      <c r="F10" s="171"/>
      <c r="G10" s="171" t="s">
        <v>382</v>
      </c>
      <c r="H10" s="171"/>
      <c r="I10" s="171"/>
      <c r="J10" s="171"/>
      <c r="K10" s="172" t="s">
        <v>384</v>
      </c>
      <c r="L10" s="173"/>
      <c r="M10" s="121" t="s">
        <v>394</v>
      </c>
      <c r="N10" s="121" t="s">
        <v>388</v>
      </c>
      <c r="O10" s="121" t="s">
        <v>389</v>
      </c>
      <c r="P10" s="121"/>
      <c r="Q10" s="121" t="s">
        <v>390</v>
      </c>
      <c r="R10" s="121" t="s">
        <v>317</v>
      </c>
    </row>
    <row r="11" spans="1:18">
      <c r="C11" s="111" t="s">
        <v>391</v>
      </c>
      <c r="D11" s="107" t="s">
        <v>548</v>
      </c>
      <c r="E11" s="107" t="s">
        <v>546</v>
      </c>
      <c r="F11" s="111" t="s">
        <v>545</v>
      </c>
      <c r="G11" s="111" t="s">
        <v>549</v>
      </c>
      <c r="H11" s="122" t="s">
        <v>401</v>
      </c>
      <c r="I11" s="119" t="s">
        <v>550</v>
      </c>
      <c r="J11" s="107" t="s">
        <v>340</v>
      </c>
      <c r="K11" s="111" t="s">
        <v>381</v>
      </c>
      <c r="L11" s="107" t="s">
        <v>387</v>
      </c>
      <c r="M11" s="111" t="s">
        <v>571</v>
      </c>
      <c r="N11" s="107" t="s">
        <v>387</v>
      </c>
      <c r="O11" s="107" t="s">
        <v>433</v>
      </c>
      <c r="P11" s="111" t="s">
        <v>400</v>
      </c>
      <c r="Q11" s="111" t="s">
        <v>399</v>
      </c>
      <c r="R11" s="111" t="s">
        <v>298</v>
      </c>
    </row>
    <row r="12" spans="1:18">
      <c r="B12" s="126" t="s">
        <v>397</v>
      </c>
      <c r="C12" s="111">
        <f>Overview!F16</f>
        <v>153.96363636363637</v>
      </c>
      <c r="D12" s="124">
        <f>Overview!$C$199</f>
        <v>1.2774999999999999</v>
      </c>
      <c r="E12" s="123">
        <f>Overview!$C$194</f>
        <v>1425.5892255892256</v>
      </c>
      <c r="F12" s="124">
        <f>Overview!$C$196</f>
        <v>1425.5892255892256</v>
      </c>
      <c r="G12" s="124">
        <f>Overview!$B$61</f>
        <v>3079.2727272727275</v>
      </c>
      <c r="H12" s="124">
        <v>0</v>
      </c>
      <c r="I12" s="124">
        <v>0</v>
      </c>
      <c r="J12" s="124">
        <f>'Energy Consumption'!$D$77</f>
        <v>5802.1532085561485</v>
      </c>
      <c r="K12" s="133"/>
      <c r="L12" s="124">
        <v>0</v>
      </c>
      <c r="M12" s="152">
        <f>Overview!B88</f>
        <v>25</v>
      </c>
      <c r="N12" s="125"/>
      <c r="O12" s="125">
        <v>0</v>
      </c>
      <c r="P12" s="124">
        <f>Overview!$B$77</f>
        <v>23.094545454545454</v>
      </c>
      <c r="Q12" s="124">
        <v>1.6309E-3</v>
      </c>
      <c r="R12" s="111"/>
    </row>
    <row r="13" spans="1:18">
      <c r="A13" s="103" t="s">
        <v>396</v>
      </c>
      <c r="B13" s="118" t="s">
        <v>374</v>
      </c>
      <c r="C13" s="111">
        <f>SUM(R13)</f>
        <v>684.84128452497237</v>
      </c>
      <c r="D13" s="124">
        <f>Overview!$C$211</f>
        <v>1.8395999999999997</v>
      </c>
      <c r="E13" s="123">
        <f>Overview!C210</f>
        <v>0</v>
      </c>
      <c r="F13" s="124">
        <f>Overview!$C$212</f>
        <v>2.4086755555555559</v>
      </c>
      <c r="G13" s="124">
        <f>(G12/1000000)*Overview!$B$57</f>
        <v>1.0592698181818183</v>
      </c>
      <c r="H13" s="124">
        <v>0</v>
      </c>
      <c r="I13" s="124">
        <v>0</v>
      </c>
      <c r="J13" s="124">
        <f>J12*'Energy Consumption'!$B$68</f>
        <v>501.8862525401068</v>
      </c>
      <c r="K13" s="133"/>
      <c r="L13" s="124">
        <v>0</v>
      </c>
      <c r="M13" s="124">
        <f>Overview!$B$105</f>
        <v>0.83525272727272715</v>
      </c>
      <c r="N13" s="125"/>
      <c r="O13" s="125">
        <v>0</v>
      </c>
      <c r="P13" s="124">
        <f>P12*SUM(D14:O14)</f>
        <v>76.204357596167526</v>
      </c>
      <c r="Q13" s="124">
        <f>Q12*Rewilding!$B$15</f>
        <v>100.60787628768801</v>
      </c>
      <c r="R13" s="111">
        <f>SUM(D13:Q13)</f>
        <v>684.84128452497237</v>
      </c>
    </row>
    <row r="14" spans="1:18">
      <c r="A14" s="103" t="s">
        <v>410</v>
      </c>
      <c r="B14" s="64" t="s">
        <v>411</v>
      </c>
      <c r="C14">
        <f>R13/C12</f>
        <v>4.4480716401598341</v>
      </c>
      <c r="D14">
        <f>D13/C12</f>
        <v>1.1948275862068963E-2</v>
      </c>
      <c r="E14">
        <f>E13/C12</f>
        <v>0</v>
      </c>
      <c r="F14">
        <f>F13/C12</f>
        <v>1.5644444444444447E-2</v>
      </c>
      <c r="G14" s="169">
        <f>G13/C12</f>
        <v>6.8800000000000007E-3</v>
      </c>
      <c r="H14">
        <f>H13/C12</f>
        <v>0</v>
      </c>
      <c r="I14">
        <f>I13/C12</f>
        <v>0</v>
      </c>
      <c r="J14">
        <f>J13/C12</f>
        <v>3.2597713615618651</v>
      </c>
      <c r="K14">
        <f>K13/C12</f>
        <v>0</v>
      </c>
      <c r="L14">
        <f>L13/C12</f>
        <v>0</v>
      </c>
      <c r="M14">
        <f>M13/C12</f>
        <v>5.4249999999999993E-3</v>
      </c>
      <c r="N14">
        <f>N13/C12</f>
        <v>0</v>
      </c>
      <c r="O14">
        <f>O13/C12</f>
        <v>0</v>
      </c>
      <c r="P14">
        <f>P13/$C$12</f>
        <v>0.49495036228025668</v>
      </c>
      <c r="Q14">
        <f>Q13/C12</f>
        <v>0.65345219601119986</v>
      </c>
      <c r="R14">
        <f>R13/C12</f>
        <v>4.4480716401598341</v>
      </c>
    </row>
    <row r="16" spans="1:18">
      <c r="B16" s="103" t="s">
        <v>405</v>
      </c>
      <c r="C16">
        <f>C14</f>
        <v>4.4480716401598341</v>
      </c>
    </row>
    <row r="17" spans="2:10">
      <c r="B17" s="103" t="s">
        <v>406</v>
      </c>
      <c r="C17">
        <f>(C14-Q14)</f>
        <v>3.7946194441486343</v>
      </c>
    </row>
    <row r="25" spans="2:10">
      <c r="D25" s="71"/>
      <c r="E25" s="71"/>
      <c r="F25" s="71"/>
      <c r="G25" s="117"/>
      <c r="H25" s="117"/>
      <c r="I25" s="117"/>
      <c r="J25" s="117"/>
    </row>
  </sheetData>
  <mergeCells count="7">
    <mergeCell ref="D3:F3"/>
    <mergeCell ref="G3:J3"/>
    <mergeCell ref="O3:P3"/>
    <mergeCell ref="D10:F10"/>
    <mergeCell ref="G10:J10"/>
    <mergeCell ref="K10:L10"/>
    <mergeCell ref="K3:L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D95C7-F652-E842-8F87-8DA79347D561}">
  <dimension ref="A1:T128"/>
  <sheetViews>
    <sheetView topLeftCell="A95" zoomScale="140" zoomScaleNormal="140" zoomScaleSheetLayoutView="50" workbookViewId="0">
      <selection activeCell="L39" sqref="L39"/>
    </sheetView>
  </sheetViews>
  <sheetFormatPr baseColWidth="10" defaultRowHeight="15"/>
  <cols>
    <col min="2" max="2" width="17.33203125" customWidth="1"/>
    <col min="6" max="6" width="11.83203125" bestFit="1" customWidth="1"/>
  </cols>
  <sheetData>
    <row r="1" spans="1:20">
      <c r="A1" s="142" t="s">
        <v>490</v>
      </c>
    </row>
    <row r="2" spans="1:20">
      <c r="A2" s="103" t="s">
        <v>562</v>
      </c>
    </row>
    <row r="3" spans="1:20">
      <c r="B3" t="s">
        <v>436</v>
      </c>
      <c r="C3" s="111"/>
      <c r="D3" s="171" t="s">
        <v>379</v>
      </c>
      <c r="E3" s="171"/>
      <c r="F3" s="171"/>
      <c r="G3" s="171"/>
      <c r="H3" s="171"/>
      <c r="I3" s="171" t="s">
        <v>382</v>
      </c>
      <c r="J3" s="171"/>
      <c r="K3" s="171"/>
      <c r="L3" s="171"/>
      <c r="M3" s="174" t="s">
        <v>384</v>
      </c>
      <c r="N3" s="175"/>
      <c r="O3" s="121" t="s">
        <v>386</v>
      </c>
      <c r="P3" s="121" t="s">
        <v>388</v>
      </c>
      <c r="Q3" s="171" t="s">
        <v>389</v>
      </c>
      <c r="R3" s="171"/>
      <c r="S3" s="121" t="s">
        <v>390</v>
      </c>
      <c r="T3" s="111" t="s">
        <v>317</v>
      </c>
    </row>
    <row r="4" spans="1:20">
      <c r="B4" s="71"/>
      <c r="C4" s="119" t="s">
        <v>376</v>
      </c>
      <c r="D4" s="119"/>
      <c r="E4" s="122" t="s">
        <v>403</v>
      </c>
      <c r="F4" s="122" t="s">
        <v>378</v>
      </c>
      <c r="G4" s="122" t="s">
        <v>377</v>
      </c>
      <c r="H4" s="122" t="s">
        <v>392</v>
      </c>
      <c r="I4" s="122" t="s">
        <v>402</v>
      </c>
      <c r="J4" s="122" t="s">
        <v>401</v>
      </c>
      <c r="K4" s="119" t="s">
        <v>383</v>
      </c>
      <c r="L4" s="122" t="s">
        <v>404</v>
      </c>
      <c r="M4" s="119" t="s">
        <v>381</v>
      </c>
      <c r="N4" s="119" t="s">
        <v>387</v>
      </c>
      <c r="O4" s="122" t="s">
        <v>98</v>
      </c>
      <c r="P4" s="122" t="s">
        <v>387</v>
      </c>
      <c r="Q4" s="122" t="s">
        <v>433</v>
      </c>
      <c r="R4" s="122" t="s">
        <v>400</v>
      </c>
      <c r="S4" s="122" t="s">
        <v>399</v>
      </c>
      <c r="T4" s="119" t="s">
        <v>298</v>
      </c>
    </row>
    <row r="5" spans="1:20">
      <c r="A5" s="103" t="s">
        <v>396</v>
      </c>
      <c r="B5" s="120" t="s">
        <v>397</v>
      </c>
      <c r="C5" s="111">
        <f>Overview!$F$17</f>
        <v>39000</v>
      </c>
      <c r="D5" s="123"/>
      <c r="E5" s="123"/>
      <c r="F5" s="150">
        <f>Overview!$B$199</f>
        <v>84</v>
      </c>
      <c r="G5" s="123">
        <v>0</v>
      </c>
      <c r="H5" s="123">
        <f>Overview!$B$196</f>
        <v>239263.8036809816</v>
      </c>
      <c r="I5" s="124">
        <f>250*C5</f>
        <v>9750000</v>
      </c>
      <c r="J5" s="124">
        <f>Overview!$B$122</f>
        <v>2.0678434912075314E-2</v>
      </c>
      <c r="K5" s="124">
        <f>Overview!$B$40</f>
        <v>86.4</v>
      </c>
      <c r="L5" s="124">
        <f>1100*Overview!$E$135*C5</f>
        <v>11916.6762</v>
      </c>
      <c r="M5" s="125"/>
      <c r="N5" s="125"/>
      <c r="O5" s="138" t="s">
        <v>482</v>
      </c>
      <c r="P5" s="125"/>
      <c r="Q5" s="125">
        <v>0</v>
      </c>
      <c r="R5" s="124">
        <f>Overview!$B$76</f>
        <v>15600</v>
      </c>
      <c r="S5" s="124">
        <f>Overview!$H$17</f>
        <v>2.4710516301527603</v>
      </c>
      <c r="T5" s="125"/>
    </row>
    <row r="6" spans="1:20">
      <c r="A6" s="103"/>
      <c r="B6" s="120" t="s">
        <v>398</v>
      </c>
      <c r="C6" s="111"/>
      <c r="D6" s="123"/>
      <c r="E6" s="123"/>
      <c r="F6" s="150">
        <f>Overview!$B$211</f>
        <v>120.96</v>
      </c>
      <c r="G6" s="123">
        <f>Overview!B210</f>
        <v>0</v>
      </c>
      <c r="H6" s="123">
        <f>Overview!B212</f>
        <v>0</v>
      </c>
      <c r="I6" s="124">
        <f>(I5/1000000)*Overview!$B$57</f>
        <v>3354</v>
      </c>
      <c r="J6" s="124">
        <f>Overview!$B$121</f>
        <v>403.65000000000003</v>
      </c>
      <c r="K6" s="124">
        <f>Overview!$B$41</f>
        <v>216</v>
      </c>
      <c r="L6" s="124">
        <f>L5*'Energy Consumption'!T64/1000</f>
        <v>1990.0849254</v>
      </c>
      <c r="M6" s="125"/>
      <c r="N6" s="125"/>
      <c r="O6" s="124">
        <f>Overview!$B$104</f>
        <v>20311.2</v>
      </c>
      <c r="P6" s="125"/>
      <c r="Q6" s="125">
        <v>0</v>
      </c>
      <c r="R6" s="124">
        <f>R5*Overview!$B$73</f>
        <v>17940</v>
      </c>
      <c r="S6" s="124">
        <f>S5*Rewilding!$B$15</f>
        <v>152435.62248261616</v>
      </c>
      <c r="T6" s="111">
        <f>SUM(D6:S6)</f>
        <v>196771.51740801617</v>
      </c>
    </row>
    <row r="7" spans="1:20">
      <c r="A7" s="103" t="s">
        <v>410</v>
      </c>
      <c r="B7" s="64" t="s">
        <v>55</v>
      </c>
      <c r="C7">
        <f>T6/C5</f>
        <v>5.0454235232824658</v>
      </c>
      <c r="E7">
        <f t="shared" ref="E7:H7" si="0">E6/$C$5</f>
        <v>0</v>
      </c>
      <c r="F7">
        <f t="shared" si="0"/>
        <v>3.1015384615384616E-3</v>
      </c>
      <c r="G7">
        <f t="shared" si="0"/>
        <v>0</v>
      </c>
      <c r="H7">
        <f t="shared" si="0"/>
        <v>0</v>
      </c>
      <c r="I7">
        <f>I6/$C$5</f>
        <v>8.5999999999999993E-2</v>
      </c>
      <c r="J7">
        <f t="shared" ref="J7:S7" si="1">J6/$C$5</f>
        <v>1.0350000000000002E-2</v>
      </c>
      <c r="K7">
        <f t="shared" si="1"/>
        <v>5.5384615384615381E-3</v>
      </c>
      <c r="L7">
        <f>L6/$C$5</f>
        <v>5.1027818599999997E-2</v>
      </c>
      <c r="M7">
        <f t="shared" si="1"/>
        <v>0</v>
      </c>
      <c r="N7">
        <f t="shared" si="1"/>
        <v>0</v>
      </c>
      <c r="O7">
        <f t="shared" si="1"/>
        <v>0.52080000000000004</v>
      </c>
      <c r="P7">
        <f t="shared" si="1"/>
        <v>0</v>
      </c>
      <c r="Q7">
        <f t="shared" si="1"/>
        <v>0</v>
      </c>
      <c r="R7">
        <f>R6/$C$5</f>
        <v>0.46</v>
      </c>
      <c r="S7">
        <f t="shared" si="1"/>
        <v>3.9086057046824658</v>
      </c>
      <c r="T7">
        <f>T6/C5</f>
        <v>5.0454235232824658</v>
      </c>
    </row>
    <row r="8" spans="1:20">
      <c r="B8" s="64" t="s">
        <v>407</v>
      </c>
      <c r="C8">
        <f>(T6-S6)/C5</f>
        <v>1.1368178186000002</v>
      </c>
    </row>
    <row r="10" spans="1:20">
      <c r="A10" s="103" t="s">
        <v>488</v>
      </c>
    </row>
    <row r="11" spans="1:20">
      <c r="B11" t="s">
        <v>436</v>
      </c>
      <c r="C11" s="111"/>
      <c r="D11" s="171" t="s">
        <v>379</v>
      </c>
      <c r="E11" s="171"/>
      <c r="F11" s="171"/>
      <c r="G11" s="171"/>
      <c r="H11" s="171"/>
      <c r="I11" s="171" t="s">
        <v>382</v>
      </c>
      <c r="J11" s="171"/>
      <c r="K11" s="171"/>
      <c r="L11" s="171"/>
      <c r="M11" s="174" t="s">
        <v>384</v>
      </c>
      <c r="N11" s="175"/>
      <c r="O11" s="121" t="s">
        <v>386</v>
      </c>
      <c r="P11" s="121" t="s">
        <v>388</v>
      </c>
      <c r="Q11" s="171" t="s">
        <v>389</v>
      </c>
      <c r="R11" s="171"/>
      <c r="S11" s="121" t="s">
        <v>390</v>
      </c>
      <c r="T11" s="111" t="s">
        <v>317</v>
      </c>
    </row>
    <row r="12" spans="1:20">
      <c r="B12" s="71"/>
      <c r="C12" s="119" t="s">
        <v>376</v>
      </c>
      <c r="D12" s="119"/>
      <c r="E12" s="122" t="s">
        <v>403</v>
      </c>
      <c r="F12" s="122" t="s">
        <v>378</v>
      </c>
      <c r="G12" s="122" t="s">
        <v>377</v>
      </c>
      <c r="H12" s="122" t="s">
        <v>392</v>
      </c>
      <c r="I12" s="122" t="s">
        <v>402</v>
      </c>
      <c r="J12" s="122" t="s">
        <v>401</v>
      </c>
      <c r="K12" s="119" t="s">
        <v>383</v>
      </c>
      <c r="L12" s="122" t="s">
        <v>404</v>
      </c>
      <c r="M12" s="119" t="s">
        <v>381</v>
      </c>
      <c r="N12" s="119" t="s">
        <v>387</v>
      </c>
      <c r="O12" s="122" t="s">
        <v>98</v>
      </c>
      <c r="P12" s="122" t="s">
        <v>387</v>
      </c>
      <c r="Q12" s="122" t="s">
        <v>433</v>
      </c>
      <c r="R12" s="122" t="s">
        <v>400</v>
      </c>
      <c r="S12" s="122" t="s">
        <v>399</v>
      </c>
      <c r="T12" s="119" t="s">
        <v>298</v>
      </c>
    </row>
    <row r="13" spans="1:20">
      <c r="A13" s="103" t="s">
        <v>396</v>
      </c>
      <c r="B13" s="120" t="s">
        <v>397</v>
      </c>
      <c r="C13" s="111">
        <f>Overview!$F$17</f>
        <v>39000</v>
      </c>
      <c r="D13" s="123"/>
      <c r="E13" s="123"/>
      <c r="F13" s="150">
        <f>Overview!$B$199</f>
        <v>84</v>
      </c>
      <c r="G13" s="123">
        <v>0</v>
      </c>
      <c r="H13" s="123">
        <f>Overview!$B$196</f>
        <v>239263.8036809816</v>
      </c>
      <c r="I13" s="124">
        <f>250*C13</f>
        <v>9750000</v>
      </c>
      <c r="J13" s="124">
        <f>Overview!$B$122</f>
        <v>2.0678434912075314E-2</v>
      </c>
      <c r="K13" s="124">
        <f>Overview!$B$40</f>
        <v>86.4</v>
      </c>
      <c r="L13" s="124">
        <f>1100*Overview!$E$135*C13</f>
        <v>11916.6762</v>
      </c>
      <c r="M13" s="125"/>
      <c r="N13" s="125"/>
      <c r="O13" s="138" t="s">
        <v>482</v>
      </c>
      <c r="P13" s="125"/>
      <c r="Q13" s="125">
        <v>0</v>
      </c>
      <c r="R13" s="124">
        <f>Overview!$B$76</f>
        <v>15600</v>
      </c>
      <c r="S13" s="124">
        <f>Overview!$H$17</f>
        <v>2.4710516301527603</v>
      </c>
      <c r="T13" s="125"/>
    </row>
    <row r="14" spans="1:20">
      <c r="A14" s="103"/>
      <c r="B14" s="120" t="s">
        <v>398</v>
      </c>
      <c r="C14" s="111"/>
      <c r="D14" s="123"/>
      <c r="E14" s="123"/>
      <c r="F14" s="150">
        <f>Overview!$B$211</f>
        <v>120.96</v>
      </c>
      <c r="G14" s="123">
        <f>Overview!B218</f>
        <v>0</v>
      </c>
      <c r="H14" s="123">
        <f>Overview!B220</f>
        <v>0</v>
      </c>
      <c r="I14" s="124">
        <f>(I13/1000000)*Overview!$B$57</f>
        <v>3354</v>
      </c>
      <c r="J14" s="124">
        <f>Overview!$B$121</f>
        <v>403.65000000000003</v>
      </c>
      <c r="K14" s="124">
        <f>Overview!$B$41</f>
        <v>216</v>
      </c>
      <c r="L14" s="124">
        <f>L13*'Energy Consumption'!N64/1000</f>
        <v>536.25042900000005</v>
      </c>
      <c r="M14" s="125"/>
      <c r="N14" s="125"/>
      <c r="O14" s="124">
        <f>Overview!$B$104</f>
        <v>20311.2</v>
      </c>
      <c r="P14" s="125"/>
      <c r="Q14" s="125">
        <v>0</v>
      </c>
      <c r="R14" s="124">
        <f>R13*Overview!$B$73</f>
        <v>17940</v>
      </c>
      <c r="S14" s="124">
        <f>S13*Rewilding!$B$15</f>
        <v>152435.62248261616</v>
      </c>
      <c r="T14" s="111">
        <f>SUM(D14:S14)</f>
        <v>195317.68291161617</v>
      </c>
    </row>
    <row r="15" spans="1:20">
      <c r="A15" s="103" t="s">
        <v>410</v>
      </c>
      <c r="B15" s="64" t="s">
        <v>55</v>
      </c>
      <c r="C15">
        <f>T14/C13</f>
        <v>5.008145715682466</v>
      </c>
      <c r="E15">
        <f t="shared" ref="E15:H15" si="2">E14/$C$5</f>
        <v>0</v>
      </c>
      <c r="F15">
        <f t="shared" si="2"/>
        <v>3.1015384615384616E-3</v>
      </c>
      <c r="G15">
        <f t="shared" si="2"/>
        <v>0</v>
      </c>
      <c r="H15">
        <f t="shared" si="2"/>
        <v>0</v>
      </c>
      <c r="I15">
        <f>I14/$C$5</f>
        <v>8.5999999999999993E-2</v>
      </c>
      <c r="J15">
        <f t="shared" ref="J15:K15" si="3">J14/$C$5</f>
        <v>1.0350000000000002E-2</v>
      </c>
      <c r="K15">
        <f t="shared" si="3"/>
        <v>5.5384615384615381E-3</v>
      </c>
      <c r="L15">
        <f>L14/$C$5</f>
        <v>1.3750011000000001E-2</v>
      </c>
      <c r="M15">
        <f t="shared" ref="M15:S15" si="4">M14/$C$5</f>
        <v>0</v>
      </c>
      <c r="N15">
        <f t="shared" si="4"/>
        <v>0</v>
      </c>
      <c r="O15">
        <f t="shared" si="4"/>
        <v>0.52080000000000004</v>
      </c>
      <c r="P15">
        <f t="shared" si="4"/>
        <v>0</v>
      </c>
      <c r="Q15">
        <f t="shared" si="4"/>
        <v>0</v>
      </c>
      <c r="R15">
        <f t="shared" si="4"/>
        <v>0.46</v>
      </c>
      <c r="S15">
        <f t="shared" si="4"/>
        <v>3.9086057046824658</v>
      </c>
      <c r="T15">
        <f>T14/C13</f>
        <v>5.008145715682466</v>
      </c>
    </row>
    <row r="16" spans="1:20">
      <c r="B16" s="64" t="s">
        <v>407</v>
      </c>
      <c r="C16">
        <f>(T14-S14)/C13</f>
        <v>1.0995400110000002</v>
      </c>
    </row>
    <row r="18" spans="1:20">
      <c r="A18" s="103" t="s">
        <v>363</v>
      </c>
    </row>
    <row r="19" spans="1:20">
      <c r="B19" t="s">
        <v>436</v>
      </c>
      <c r="C19" s="111"/>
      <c r="D19" s="171" t="s">
        <v>379</v>
      </c>
      <c r="E19" s="171"/>
      <c r="F19" s="171"/>
      <c r="G19" s="171"/>
      <c r="H19" s="171"/>
      <c r="I19" s="171" t="s">
        <v>382</v>
      </c>
      <c r="J19" s="171"/>
      <c r="K19" s="171"/>
      <c r="L19" s="171"/>
      <c r="M19" s="174" t="s">
        <v>384</v>
      </c>
      <c r="N19" s="175"/>
      <c r="O19" s="121" t="s">
        <v>386</v>
      </c>
      <c r="P19" s="121" t="s">
        <v>388</v>
      </c>
      <c r="Q19" s="171" t="s">
        <v>389</v>
      </c>
      <c r="R19" s="171"/>
      <c r="S19" s="121" t="s">
        <v>390</v>
      </c>
      <c r="T19" s="111" t="s">
        <v>317</v>
      </c>
    </row>
    <row r="20" spans="1:20">
      <c r="B20" s="71"/>
      <c r="C20" s="119" t="s">
        <v>376</v>
      </c>
      <c r="D20" s="119"/>
      <c r="E20" s="122" t="s">
        <v>403</v>
      </c>
      <c r="F20" s="122" t="s">
        <v>378</v>
      </c>
      <c r="G20" s="122" t="s">
        <v>377</v>
      </c>
      <c r="H20" s="122" t="s">
        <v>392</v>
      </c>
      <c r="I20" s="122" t="s">
        <v>402</v>
      </c>
      <c r="J20" s="122" t="s">
        <v>401</v>
      </c>
      <c r="K20" s="119" t="s">
        <v>383</v>
      </c>
      <c r="L20" s="122" t="s">
        <v>404</v>
      </c>
      <c r="M20" s="119" t="s">
        <v>381</v>
      </c>
      <c r="N20" s="119" t="s">
        <v>387</v>
      </c>
      <c r="O20" s="122" t="s">
        <v>98</v>
      </c>
      <c r="P20" s="122" t="s">
        <v>387</v>
      </c>
      <c r="Q20" s="122" t="s">
        <v>433</v>
      </c>
      <c r="R20" s="122" t="s">
        <v>400</v>
      </c>
      <c r="S20" s="122" t="s">
        <v>399</v>
      </c>
      <c r="T20" s="119" t="s">
        <v>298</v>
      </c>
    </row>
    <row r="21" spans="1:20">
      <c r="A21" s="103" t="s">
        <v>396</v>
      </c>
      <c r="B21" s="120" t="s">
        <v>397</v>
      </c>
      <c r="C21" s="111">
        <f>Overview!$F$17</f>
        <v>39000</v>
      </c>
      <c r="D21" s="123"/>
      <c r="E21" s="123"/>
      <c r="F21" s="150">
        <f>Overview!$B$199</f>
        <v>84</v>
      </c>
      <c r="G21" s="123">
        <v>0</v>
      </c>
      <c r="H21" s="123">
        <f>Overview!$B$196</f>
        <v>239263.8036809816</v>
      </c>
      <c r="I21" s="124">
        <f>250*C21</f>
        <v>9750000</v>
      </c>
      <c r="J21" s="124">
        <f>Overview!$B$122</f>
        <v>2.0678434912075314E-2</v>
      </c>
      <c r="K21" s="124">
        <f>Overview!$B$40</f>
        <v>86.4</v>
      </c>
      <c r="L21" s="124">
        <f>1100*Overview!$E$135*C21</f>
        <v>11916.6762</v>
      </c>
      <c r="M21" s="125"/>
      <c r="N21" s="125"/>
      <c r="O21" s="138" t="s">
        <v>482</v>
      </c>
      <c r="P21" s="125"/>
      <c r="Q21" s="125">
        <v>0</v>
      </c>
      <c r="R21" s="124">
        <f>Overview!$B$76</f>
        <v>15600</v>
      </c>
      <c r="S21" s="124">
        <f>Overview!$H$17</f>
        <v>2.4710516301527603</v>
      </c>
      <c r="T21" s="125"/>
    </row>
    <row r="22" spans="1:20">
      <c r="A22" s="103"/>
      <c r="B22" s="120" t="s">
        <v>398</v>
      </c>
      <c r="C22" s="111"/>
      <c r="D22" s="123"/>
      <c r="E22" s="123"/>
      <c r="F22" s="150">
        <f>Overview!$B$211</f>
        <v>120.96</v>
      </c>
      <c r="G22" s="123">
        <f>Overview!B226</f>
        <v>0</v>
      </c>
      <c r="H22" s="123">
        <f>Overview!B228</f>
        <v>0</v>
      </c>
      <c r="I22" s="124">
        <f>(I21/1000000)*Overview!$B$57</f>
        <v>3354</v>
      </c>
      <c r="J22" s="124">
        <f>Overview!$B$121</f>
        <v>403.65000000000003</v>
      </c>
      <c r="K22" s="124">
        <f>Overview!$B$41</f>
        <v>216</v>
      </c>
      <c r="L22" s="124">
        <f>L21*'Energy Consumption'!P64/1000</f>
        <v>1209.5426343000001</v>
      </c>
      <c r="M22" s="125"/>
      <c r="N22" s="125"/>
      <c r="O22" s="124">
        <f>Overview!$B$104</f>
        <v>20311.2</v>
      </c>
      <c r="P22" s="125"/>
      <c r="Q22" s="125">
        <v>0</v>
      </c>
      <c r="R22" s="124">
        <f>R21*Overview!$B$73</f>
        <v>17940</v>
      </c>
      <c r="S22" s="124">
        <f>S21*Rewilding!$B$15</f>
        <v>152435.62248261616</v>
      </c>
      <c r="T22" s="111">
        <f>SUM(D22:S22)</f>
        <v>195990.97511691618</v>
      </c>
    </row>
    <row r="23" spans="1:20">
      <c r="A23" s="103" t="s">
        <v>410</v>
      </c>
      <c r="B23" s="64" t="s">
        <v>55</v>
      </c>
      <c r="C23">
        <f>T22/C21</f>
        <v>5.0254096183824659</v>
      </c>
      <c r="E23">
        <f t="shared" ref="E23:H23" si="5">E22/$C$5</f>
        <v>0</v>
      </c>
      <c r="F23">
        <f t="shared" si="5"/>
        <v>3.1015384615384616E-3</v>
      </c>
      <c r="G23">
        <f t="shared" si="5"/>
        <v>0</v>
      </c>
      <c r="H23">
        <f t="shared" si="5"/>
        <v>0</v>
      </c>
      <c r="I23">
        <f>I22/$C$5</f>
        <v>8.5999999999999993E-2</v>
      </c>
      <c r="J23">
        <f t="shared" ref="J23:K23" si="6">J22/$C$5</f>
        <v>1.0350000000000002E-2</v>
      </c>
      <c r="K23">
        <f t="shared" si="6"/>
        <v>5.5384615384615381E-3</v>
      </c>
      <c r="L23">
        <f>L22/$C$5</f>
        <v>3.1013913700000003E-2</v>
      </c>
      <c r="M23">
        <f t="shared" ref="M23:S23" si="7">M22/$C$5</f>
        <v>0</v>
      </c>
      <c r="N23">
        <f t="shared" si="7"/>
        <v>0</v>
      </c>
      <c r="O23">
        <f t="shared" si="7"/>
        <v>0.52080000000000004</v>
      </c>
      <c r="P23">
        <f t="shared" si="7"/>
        <v>0</v>
      </c>
      <c r="Q23">
        <f t="shared" si="7"/>
        <v>0</v>
      </c>
      <c r="R23">
        <f t="shared" si="7"/>
        <v>0.46</v>
      </c>
      <c r="S23">
        <f t="shared" si="7"/>
        <v>3.9086057046824658</v>
      </c>
      <c r="T23">
        <f>T22/C21</f>
        <v>5.0254096183824659</v>
      </c>
    </row>
    <row r="24" spans="1:20">
      <c r="B24" s="64" t="s">
        <v>407</v>
      </c>
      <c r="C24">
        <f>(T22-S22)/C21</f>
        <v>1.1168039137000003</v>
      </c>
    </row>
    <row r="26" spans="1:20">
      <c r="A26" s="103" t="s">
        <v>489</v>
      </c>
    </row>
    <row r="27" spans="1:20">
      <c r="B27" t="s">
        <v>436</v>
      </c>
      <c r="C27" s="111"/>
      <c r="D27" s="171" t="s">
        <v>379</v>
      </c>
      <c r="E27" s="171"/>
      <c r="F27" s="171"/>
      <c r="G27" s="171"/>
      <c r="H27" s="171"/>
      <c r="I27" s="171" t="s">
        <v>382</v>
      </c>
      <c r="J27" s="171"/>
      <c r="K27" s="171"/>
      <c r="L27" s="171"/>
      <c r="M27" s="174" t="s">
        <v>384</v>
      </c>
      <c r="N27" s="175"/>
      <c r="O27" s="121" t="s">
        <v>386</v>
      </c>
      <c r="P27" s="121" t="s">
        <v>388</v>
      </c>
      <c r="Q27" s="171" t="s">
        <v>389</v>
      </c>
      <c r="R27" s="171"/>
      <c r="S27" s="121" t="s">
        <v>390</v>
      </c>
      <c r="T27" s="111" t="s">
        <v>317</v>
      </c>
    </row>
    <row r="28" spans="1:20">
      <c r="B28" s="71"/>
      <c r="C28" s="119" t="s">
        <v>376</v>
      </c>
      <c r="D28" s="119"/>
      <c r="E28" s="122" t="s">
        <v>403</v>
      </c>
      <c r="F28" s="122" t="s">
        <v>378</v>
      </c>
      <c r="G28" s="122" t="s">
        <v>377</v>
      </c>
      <c r="H28" s="122" t="s">
        <v>392</v>
      </c>
      <c r="I28" s="122" t="s">
        <v>402</v>
      </c>
      <c r="J28" s="122" t="s">
        <v>401</v>
      </c>
      <c r="K28" s="119" t="s">
        <v>383</v>
      </c>
      <c r="L28" s="122" t="s">
        <v>404</v>
      </c>
      <c r="M28" s="119" t="s">
        <v>381</v>
      </c>
      <c r="N28" s="119" t="s">
        <v>387</v>
      </c>
      <c r="O28" s="122" t="s">
        <v>98</v>
      </c>
      <c r="P28" s="122" t="s">
        <v>387</v>
      </c>
      <c r="Q28" s="122" t="s">
        <v>433</v>
      </c>
      <c r="R28" s="122" t="s">
        <v>400</v>
      </c>
      <c r="S28" s="122" t="s">
        <v>399</v>
      </c>
      <c r="T28" s="119" t="s">
        <v>298</v>
      </c>
    </row>
    <row r="29" spans="1:20">
      <c r="A29" s="103" t="s">
        <v>396</v>
      </c>
      <c r="B29" s="120" t="s">
        <v>397</v>
      </c>
      <c r="C29" s="111">
        <f>Overview!$F$17</f>
        <v>39000</v>
      </c>
      <c r="D29" s="123"/>
      <c r="E29" s="123"/>
      <c r="F29" s="150">
        <f>Overview!$B$199</f>
        <v>84</v>
      </c>
      <c r="G29" s="123">
        <v>0</v>
      </c>
      <c r="H29" s="123">
        <f>Overview!$B$196</f>
        <v>239263.8036809816</v>
      </c>
      <c r="I29" s="124">
        <f>250*C29</f>
        <v>9750000</v>
      </c>
      <c r="J29" s="124">
        <f>Overview!$B$122</f>
        <v>2.0678434912075314E-2</v>
      </c>
      <c r="K29" s="124">
        <f>Overview!$B$40</f>
        <v>86.4</v>
      </c>
      <c r="L29" s="124">
        <f>1100*Overview!$E$135*C29</f>
        <v>11916.6762</v>
      </c>
      <c r="M29" s="125"/>
      <c r="N29" s="125"/>
      <c r="O29" s="138" t="s">
        <v>482</v>
      </c>
      <c r="P29" s="125"/>
      <c r="Q29" s="125">
        <v>0</v>
      </c>
      <c r="R29" s="124">
        <f>Overview!$B$76</f>
        <v>15600</v>
      </c>
      <c r="S29" s="124">
        <f>Overview!$H$17</f>
        <v>2.4710516301527603</v>
      </c>
      <c r="T29" s="125"/>
    </row>
    <row r="30" spans="1:20">
      <c r="A30" s="103"/>
      <c r="B30" s="120" t="s">
        <v>398</v>
      </c>
      <c r="C30" s="111"/>
      <c r="D30" s="123"/>
      <c r="E30" s="123"/>
      <c r="F30" s="150">
        <f>Overview!$B$211</f>
        <v>120.96</v>
      </c>
      <c r="G30" s="123">
        <f>Overview!B234</f>
        <v>0</v>
      </c>
      <c r="H30" s="123">
        <f>Overview!B236</f>
        <v>0</v>
      </c>
      <c r="I30" s="124">
        <f>(I29/1000000)*Overview!$B$57</f>
        <v>3354</v>
      </c>
      <c r="J30" s="124">
        <f>Overview!$B$121</f>
        <v>403.65000000000003</v>
      </c>
      <c r="K30" s="124">
        <f>Overview!$B$41</f>
        <v>216</v>
      </c>
      <c r="L30" s="124">
        <f>L29*'Energy Consumption'!L64/1000</f>
        <v>417.08366699999999</v>
      </c>
      <c r="M30" s="125"/>
      <c r="N30" s="125"/>
      <c r="O30" s="124">
        <f>Overview!$B$104</f>
        <v>20311.2</v>
      </c>
      <c r="P30" s="125"/>
      <c r="Q30" s="125">
        <v>0</v>
      </c>
      <c r="R30" s="124">
        <f>R29*Overview!$B$73</f>
        <v>17940</v>
      </c>
      <c r="S30" s="124">
        <f>S29*Rewilding!$B$15</f>
        <v>152435.62248261616</v>
      </c>
      <c r="T30" s="111">
        <f>SUM(D30:S30)</f>
        <v>195198.51614961616</v>
      </c>
    </row>
    <row r="31" spans="1:20">
      <c r="A31" s="103" t="s">
        <v>410</v>
      </c>
      <c r="B31" s="64" t="s">
        <v>55</v>
      </c>
      <c r="C31">
        <f>T30/C29</f>
        <v>5.0050901576824653</v>
      </c>
      <c r="E31">
        <f t="shared" ref="E31:H31" si="8">E30/$C$5</f>
        <v>0</v>
      </c>
      <c r="F31">
        <f t="shared" si="8"/>
        <v>3.1015384615384616E-3</v>
      </c>
      <c r="G31">
        <f t="shared" si="8"/>
        <v>0</v>
      </c>
      <c r="H31">
        <f t="shared" si="8"/>
        <v>0</v>
      </c>
      <c r="I31">
        <f>I30/$C$5</f>
        <v>8.5999999999999993E-2</v>
      </c>
      <c r="J31">
        <f t="shared" ref="J31:K31" si="9">J30/$C$5</f>
        <v>1.0350000000000002E-2</v>
      </c>
      <c r="K31">
        <f t="shared" si="9"/>
        <v>5.5384615384615381E-3</v>
      </c>
      <c r="L31">
        <f>L30/$C$5</f>
        <v>1.0694453E-2</v>
      </c>
      <c r="M31">
        <f t="shared" ref="M31:S31" si="10">M30/$C$5</f>
        <v>0</v>
      </c>
      <c r="N31">
        <f t="shared" si="10"/>
        <v>0</v>
      </c>
      <c r="O31">
        <f t="shared" si="10"/>
        <v>0.52080000000000004</v>
      </c>
      <c r="P31">
        <f t="shared" si="10"/>
        <v>0</v>
      </c>
      <c r="Q31">
        <f t="shared" si="10"/>
        <v>0</v>
      </c>
      <c r="R31">
        <f t="shared" si="10"/>
        <v>0.46</v>
      </c>
      <c r="S31">
        <f t="shared" si="10"/>
        <v>3.9086057046824658</v>
      </c>
      <c r="T31">
        <f>T30/C29</f>
        <v>5.0050901576824653</v>
      </c>
    </row>
    <row r="32" spans="1:20">
      <c r="B32" s="64" t="s">
        <v>407</v>
      </c>
      <c r="C32">
        <f>(T30-S30)/C29</f>
        <v>1.096484453</v>
      </c>
    </row>
    <row r="33" spans="1:20">
      <c r="A33" s="142" t="s">
        <v>491</v>
      </c>
    </row>
    <row r="34" spans="1:20">
      <c r="A34" s="103" t="s">
        <v>554</v>
      </c>
    </row>
    <row r="35" spans="1:20">
      <c r="B35" t="s">
        <v>437</v>
      </c>
      <c r="C35" s="111"/>
      <c r="D35" s="171" t="s">
        <v>379</v>
      </c>
      <c r="E35" s="171"/>
      <c r="F35" s="171"/>
      <c r="G35" s="171"/>
      <c r="H35" s="171"/>
      <c r="I35" s="171" t="s">
        <v>382</v>
      </c>
      <c r="J35" s="171"/>
      <c r="K35" s="171"/>
      <c r="L35" s="171"/>
      <c r="M35" s="172" t="s">
        <v>384</v>
      </c>
      <c r="N35" s="173"/>
      <c r="O35" s="121" t="s">
        <v>394</v>
      </c>
      <c r="P35" s="121" t="s">
        <v>388</v>
      </c>
      <c r="Q35" s="121" t="s">
        <v>389</v>
      </c>
      <c r="R35" s="121"/>
      <c r="S35" s="121" t="s">
        <v>390</v>
      </c>
      <c r="T35" s="121" t="s">
        <v>317</v>
      </c>
    </row>
    <row r="36" spans="1:20">
      <c r="C36" s="111" t="s">
        <v>391</v>
      </c>
      <c r="D36" s="107"/>
      <c r="E36" s="107" t="s">
        <v>403</v>
      </c>
      <c r="F36" s="107" t="s">
        <v>380</v>
      </c>
      <c r="G36" s="107" t="s">
        <v>377</v>
      </c>
      <c r="H36" s="111" t="s">
        <v>392</v>
      </c>
      <c r="I36" s="111" t="s">
        <v>393</v>
      </c>
      <c r="J36" s="122" t="s">
        <v>401</v>
      </c>
      <c r="K36" s="119" t="s">
        <v>383</v>
      </c>
      <c r="L36" s="107" t="s">
        <v>340</v>
      </c>
      <c r="M36" s="111" t="s">
        <v>381</v>
      </c>
      <c r="N36" s="107" t="s">
        <v>387</v>
      </c>
      <c r="O36" s="111" t="s">
        <v>385</v>
      </c>
      <c r="P36" s="107" t="s">
        <v>387</v>
      </c>
      <c r="Q36" s="107" t="s">
        <v>433</v>
      </c>
      <c r="R36" s="111" t="s">
        <v>375</v>
      </c>
      <c r="S36" s="111" t="s">
        <v>395</v>
      </c>
      <c r="T36" s="111" t="s">
        <v>298</v>
      </c>
    </row>
    <row r="37" spans="1:20">
      <c r="B37" s="126" t="s">
        <v>397</v>
      </c>
      <c r="C37" s="111"/>
      <c r="D37" s="123"/>
      <c r="E37" s="123"/>
      <c r="F37" s="124">
        <f>Overview!$C$199</f>
        <v>1.2774999999999999</v>
      </c>
      <c r="G37" s="123">
        <f>Overview!$C$194</f>
        <v>1425.5892255892256</v>
      </c>
      <c r="H37" s="124">
        <f>Overview!$C$196</f>
        <v>1425.5892255892256</v>
      </c>
      <c r="I37" s="124">
        <f>Overview!$B$61</f>
        <v>3079.2727272727275</v>
      </c>
      <c r="J37" s="124">
        <v>0</v>
      </c>
      <c r="K37" s="124">
        <v>0</v>
      </c>
      <c r="L37" s="124">
        <f>'Energy Consumption'!$D$77</f>
        <v>5802.1532085561485</v>
      </c>
      <c r="M37" s="133"/>
      <c r="N37" s="124">
        <v>0</v>
      </c>
      <c r="O37" s="149" t="s">
        <v>477</v>
      </c>
      <c r="P37" s="125"/>
      <c r="Q37" s="125">
        <v>0</v>
      </c>
      <c r="R37" s="124">
        <f>Overview!$B$77</f>
        <v>23.094545454545454</v>
      </c>
      <c r="S37" s="124">
        <v>1.6309E-3</v>
      </c>
      <c r="T37" s="111"/>
    </row>
    <row r="38" spans="1:20">
      <c r="A38" s="103" t="s">
        <v>396</v>
      </c>
      <c r="B38" s="118" t="s">
        <v>374</v>
      </c>
      <c r="C38" s="111">
        <f>Overview!$F$16</f>
        <v>153.96363636363637</v>
      </c>
      <c r="D38" s="123"/>
      <c r="E38" s="123"/>
      <c r="F38" s="124">
        <f>Overview!$C$211</f>
        <v>1.8395999999999997</v>
      </c>
      <c r="G38" s="123">
        <f>Overview!C235</f>
        <v>0</v>
      </c>
      <c r="H38" s="124">
        <f>Overview!$C$212</f>
        <v>2.4086755555555559</v>
      </c>
      <c r="I38" s="124">
        <f>(I37/1000000)*Overview!$B$57</f>
        <v>1.0592698181818183</v>
      </c>
      <c r="J38" s="124">
        <v>0</v>
      </c>
      <c r="K38" s="124">
        <v>0</v>
      </c>
      <c r="L38" s="124">
        <f>L37*'Energy Consumption'!Q64/1000</f>
        <v>1352.7139990427804</v>
      </c>
      <c r="M38" s="133"/>
      <c r="N38" s="124">
        <v>0</v>
      </c>
      <c r="O38" s="124">
        <f>Overview!$B$105</f>
        <v>0.83525272727272715</v>
      </c>
      <c r="P38" s="125"/>
      <c r="Q38" s="125">
        <v>0</v>
      </c>
      <c r="R38" s="124">
        <f>R37*SUM(E39:Q39)</f>
        <v>203.82851957156859</v>
      </c>
      <c r="S38" s="124">
        <f>S37*Rewilding!$B$15</f>
        <v>100.60787628768801</v>
      </c>
      <c r="T38" s="111">
        <f>SUM(D38:S38)</f>
        <v>1663.2931930030472</v>
      </c>
    </row>
    <row r="39" spans="1:20">
      <c r="A39" s="103" t="s">
        <v>410</v>
      </c>
      <c r="B39" s="64" t="s">
        <v>411</v>
      </c>
      <c r="C39">
        <f>T38/C38</f>
        <v>10.803156071701416</v>
      </c>
      <c r="E39">
        <f>E38/$C$13</f>
        <v>0</v>
      </c>
      <c r="F39">
        <f>F38/C38</f>
        <v>1.1948275862068963E-2</v>
      </c>
      <c r="G39">
        <f>G38/C38</f>
        <v>0</v>
      </c>
      <c r="H39">
        <f>H38/C38</f>
        <v>1.5644444444444447E-2</v>
      </c>
      <c r="I39">
        <f>I38/C38</f>
        <v>6.8800000000000007E-3</v>
      </c>
      <c r="J39">
        <f>J38/C38</f>
        <v>0</v>
      </c>
      <c r="K39">
        <f>K38/C38</f>
        <v>0</v>
      </c>
      <c r="L39">
        <f>L38/C38</f>
        <v>8.7859317368154137</v>
      </c>
      <c r="M39">
        <f>M38/C38</f>
        <v>0</v>
      </c>
      <c r="N39">
        <f>N38/C38</f>
        <v>0</v>
      </c>
      <c r="O39">
        <f>O38/C38</f>
        <v>5.4249999999999993E-3</v>
      </c>
      <c r="P39">
        <f>P38/C38</f>
        <v>0</v>
      </c>
      <c r="Q39">
        <f>Q38/C38</f>
        <v>0</v>
      </c>
      <c r="R39">
        <f>R38/$C$38</f>
        <v>1.3238744185682891</v>
      </c>
      <c r="S39">
        <f>S38/C38</f>
        <v>0.65345219601119986</v>
      </c>
      <c r="T39">
        <f>T38/C38</f>
        <v>10.803156071701416</v>
      </c>
    </row>
    <row r="41" spans="1:20">
      <c r="B41" s="103" t="s">
        <v>405</v>
      </c>
      <c r="C41">
        <f>C39</f>
        <v>10.803156071701416</v>
      </c>
    </row>
    <row r="42" spans="1:20">
      <c r="B42" s="103" t="s">
        <v>406</v>
      </c>
      <c r="C42">
        <f>C39-S39</f>
        <v>10.149703875690216</v>
      </c>
    </row>
    <row r="43" spans="1:20">
      <c r="A43" s="103" t="s">
        <v>555</v>
      </c>
    </row>
    <row r="44" spans="1:20">
      <c r="B44" t="s">
        <v>437</v>
      </c>
      <c r="C44" s="111"/>
      <c r="D44" s="171" t="s">
        <v>379</v>
      </c>
      <c r="E44" s="171"/>
      <c r="F44" s="171"/>
      <c r="G44" s="171"/>
      <c r="H44" s="171"/>
      <c r="I44" s="171" t="s">
        <v>382</v>
      </c>
      <c r="J44" s="171"/>
      <c r="K44" s="171"/>
      <c r="L44" s="171"/>
      <c r="M44" s="172" t="s">
        <v>384</v>
      </c>
      <c r="N44" s="173"/>
      <c r="O44" s="121" t="s">
        <v>394</v>
      </c>
      <c r="P44" s="121" t="s">
        <v>388</v>
      </c>
      <c r="Q44" s="121" t="s">
        <v>389</v>
      </c>
      <c r="R44" s="121"/>
      <c r="S44" s="121" t="s">
        <v>390</v>
      </c>
      <c r="T44" s="121" t="s">
        <v>317</v>
      </c>
    </row>
    <row r="45" spans="1:20">
      <c r="C45" s="111" t="s">
        <v>391</v>
      </c>
      <c r="D45" s="107"/>
      <c r="E45" s="107" t="s">
        <v>403</v>
      </c>
      <c r="F45" s="107" t="s">
        <v>380</v>
      </c>
      <c r="G45" s="107" t="s">
        <v>377</v>
      </c>
      <c r="H45" s="111" t="s">
        <v>392</v>
      </c>
      <c r="I45" s="111" t="s">
        <v>393</v>
      </c>
      <c r="J45" s="122" t="s">
        <v>401</v>
      </c>
      <c r="K45" s="119" t="s">
        <v>383</v>
      </c>
      <c r="L45" s="107" t="s">
        <v>340</v>
      </c>
      <c r="M45" s="111" t="s">
        <v>381</v>
      </c>
      <c r="N45" s="107" t="s">
        <v>387</v>
      </c>
      <c r="O45" s="111" t="s">
        <v>385</v>
      </c>
      <c r="P45" s="107" t="s">
        <v>387</v>
      </c>
      <c r="Q45" s="107" t="s">
        <v>433</v>
      </c>
      <c r="R45" s="111" t="s">
        <v>375</v>
      </c>
      <c r="S45" s="111" t="s">
        <v>395</v>
      </c>
      <c r="T45" s="111" t="s">
        <v>298</v>
      </c>
    </row>
    <row r="46" spans="1:20">
      <c r="B46" s="126" t="s">
        <v>397</v>
      </c>
      <c r="C46" s="111"/>
      <c r="D46" s="123"/>
      <c r="E46" s="123"/>
      <c r="F46" s="124">
        <f>Overview!$C$199</f>
        <v>1.2774999999999999</v>
      </c>
      <c r="G46" s="123">
        <f>Overview!$C$194</f>
        <v>1425.5892255892256</v>
      </c>
      <c r="H46" s="124">
        <f>Overview!$C$196</f>
        <v>1425.5892255892256</v>
      </c>
      <c r="I46" s="124">
        <f>Overview!$B$61</f>
        <v>3079.2727272727275</v>
      </c>
      <c r="J46" s="124">
        <v>0</v>
      </c>
      <c r="K46" s="124">
        <v>0</v>
      </c>
      <c r="L46" s="124">
        <f>'Energy Consumption'!$D$77</f>
        <v>5802.1532085561485</v>
      </c>
      <c r="M46" s="133"/>
      <c r="N46" s="124">
        <v>0</v>
      </c>
      <c r="O46" s="149" t="s">
        <v>477</v>
      </c>
      <c r="P46" s="125"/>
      <c r="Q46" s="125">
        <v>0</v>
      </c>
      <c r="R46" s="124">
        <f>Overview!$B$77</f>
        <v>23.094545454545454</v>
      </c>
      <c r="S46" s="124">
        <v>1.6309E-3</v>
      </c>
      <c r="T46" s="111"/>
    </row>
    <row r="47" spans="1:20">
      <c r="A47" s="103" t="s">
        <v>396</v>
      </c>
      <c r="B47" s="118" t="s">
        <v>374</v>
      </c>
      <c r="C47" s="111">
        <f>Overview!$F$16</f>
        <v>153.96363636363637</v>
      </c>
      <c r="D47" s="123"/>
      <c r="E47" s="123"/>
      <c r="F47" s="124">
        <f>Overview!$C$211</f>
        <v>1.8395999999999997</v>
      </c>
      <c r="G47" s="123">
        <f>Overview!C244</f>
        <v>0</v>
      </c>
      <c r="H47" s="124">
        <f>Overview!$C$212</f>
        <v>2.4086755555555559</v>
      </c>
      <c r="I47" s="124">
        <f>(I46/1000000)*Overview!$B$57</f>
        <v>1.0592698181818183</v>
      </c>
      <c r="J47" s="124">
        <v>0</v>
      </c>
      <c r="K47" s="124">
        <v>0</v>
      </c>
      <c r="L47" s="124">
        <f>L46*'Energy Consumption'!N64/1000</f>
        <v>261.0968943850267</v>
      </c>
      <c r="M47" s="133"/>
      <c r="N47" s="124">
        <v>0</v>
      </c>
      <c r="O47" s="124">
        <f>Overview!$B$105</f>
        <v>0.83525272727272715</v>
      </c>
      <c r="P47" s="125"/>
      <c r="Q47" s="125">
        <v>0</v>
      </c>
      <c r="R47" s="124">
        <f>R46*SUM(E48:Q48)</f>
        <v>40.085953872905513</v>
      </c>
      <c r="S47" s="124">
        <f>S46*Rewilding!$B$15</f>
        <v>100.60787628768801</v>
      </c>
      <c r="T47" s="111">
        <f>SUM(D47:S47)</f>
        <v>407.93352264663031</v>
      </c>
    </row>
    <row r="48" spans="1:20">
      <c r="A48" s="103" t="s">
        <v>410</v>
      </c>
      <c r="B48" s="64" t="s">
        <v>411</v>
      </c>
      <c r="C48">
        <f>T47/C47</f>
        <v>2.6495446085928989</v>
      </c>
      <c r="E48">
        <f>E47/$C$13</f>
        <v>0</v>
      </c>
      <c r="F48">
        <f>F47/C47</f>
        <v>1.1948275862068963E-2</v>
      </c>
      <c r="G48">
        <f>G47/C47</f>
        <v>0</v>
      </c>
      <c r="H48">
        <f>H47/C47</f>
        <v>1.5644444444444447E-2</v>
      </c>
      <c r="I48">
        <f>I47/C47</f>
        <v>6.8800000000000007E-3</v>
      </c>
      <c r="J48">
        <f>J47/C47</f>
        <v>0</v>
      </c>
      <c r="K48">
        <f>K47/C47</f>
        <v>0</v>
      </c>
      <c r="L48">
        <f>L47/C47</f>
        <v>1.6958348123732248</v>
      </c>
      <c r="M48">
        <f>M47/C47</f>
        <v>0</v>
      </c>
      <c r="N48">
        <f>N47/C47</f>
        <v>0</v>
      </c>
      <c r="O48">
        <f>O47/C47</f>
        <v>5.4249999999999993E-3</v>
      </c>
      <c r="P48">
        <f>P47/C47</f>
        <v>0</v>
      </c>
      <c r="Q48">
        <f>Q47/C47</f>
        <v>0</v>
      </c>
      <c r="R48">
        <f>R47/$C$38</f>
        <v>0.26035987990196069</v>
      </c>
      <c r="S48">
        <f>S47/C47</f>
        <v>0.65345219601119986</v>
      </c>
      <c r="T48">
        <f>T47/C47</f>
        <v>2.6495446085928989</v>
      </c>
    </row>
    <row r="50" spans="1:20">
      <c r="B50" s="103" t="s">
        <v>405</v>
      </c>
      <c r="C50">
        <f>C48</f>
        <v>2.6495446085928989</v>
      </c>
    </row>
    <row r="51" spans="1:20">
      <c r="B51" s="103" t="s">
        <v>406</v>
      </c>
      <c r="C51">
        <f>C48-S48</f>
        <v>1.996092412581699</v>
      </c>
    </row>
    <row r="53" spans="1:20">
      <c r="A53" s="103" t="s">
        <v>556</v>
      </c>
    </row>
    <row r="54" spans="1:20">
      <c r="B54" t="s">
        <v>437</v>
      </c>
      <c r="C54" s="111"/>
      <c r="D54" s="171" t="s">
        <v>379</v>
      </c>
      <c r="E54" s="171"/>
      <c r="F54" s="171"/>
      <c r="G54" s="171"/>
      <c r="H54" s="171"/>
      <c r="I54" s="171" t="s">
        <v>382</v>
      </c>
      <c r="J54" s="171"/>
      <c r="K54" s="171"/>
      <c r="L54" s="171"/>
      <c r="M54" s="172" t="s">
        <v>384</v>
      </c>
      <c r="N54" s="173"/>
      <c r="O54" s="121" t="s">
        <v>394</v>
      </c>
      <c r="P54" s="121" t="s">
        <v>388</v>
      </c>
      <c r="Q54" s="121" t="s">
        <v>389</v>
      </c>
      <c r="R54" s="121"/>
      <c r="S54" s="121" t="s">
        <v>390</v>
      </c>
      <c r="T54" s="121" t="s">
        <v>317</v>
      </c>
    </row>
    <row r="55" spans="1:20">
      <c r="C55" s="111" t="s">
        <v>391</v>
      </c>
      <c r="D55" s="107"/>
      <c r="E55" s="107" t="s">
        <v>403</v>
      </c>
      <c r="F55" s="107" t="s">
        <v>380</v>
      </c>
      <c r="G55" s="107" t="s">
        <v>377</v>
      </c>
      <c r="H55" s="111" t="s">
        <v>392</v>
      </c>
      <c r="I55" s="111" t="s">
        <v>393</v>
      </c>
      <c r="J55" s="122" t="s">
        <v>401</v>
      </c>
      <c r="K55" s="119" t="s">
        <v>383</v>
      </c>
      <c r="L55" s="107" t="s">
        <v>340</v>
      </c>
      <c r="M55" s="111" t="s">
        <v>381</v>
      </c>
      <c r="N55" s="107" t="s">
        <v>387</v>
      </c>
      <c r="O55" s="111" t="s">
        <v>385</v>
      </c>
      <c r="P55" s="107" t="s">
        <v>387</v>
      </c>
      <c r="Q55" s="107" t="s">
        <v>433</v>
      </c>
      <c r="R55" s="111" t="s">
        <v>375</v>
      </c>
      <c r="S55" s="111" t="s">
        <v>395</v>
      </c>
      <c r="T55" s="111" t="s">
        <v>298</v>
      </c>
    </row>
    <row r="56" spans="1:20">
      <c r="B56" s="126" t="s">
        <v>397</v>
      </c>
      <c r="C56" s="111"/>
      <c r="D56" s="123"/>
      <c r="E56" s="123"/>
      <c r="F56" s="124">
        <f>Overview!$C$199</f>
        <v>1.2774999999999999</v>
      </c>
      <c r="G56" s="123">
        <f>Overview!$C$194</f>
        <v>1425.5892255892256</v>
      </c>
      <c r="H56" s="124">
        <f>Overview!$C$196</f>
        <v>1425.5892255892256</v>
      </c>
      <c r="I56" s="124">
        <f>Overview!$B$61</f>
        <v>3079.2727272727275</v>
      </c>
      <c r="J56" s="124">
        <v>0</v>
      </c>
      <c r="K56" s="124">
        <v>0</v>
      </c>
      <c r="L56" s="124">
        <f>'Energy Consumption'!$D$77</f>
        <v>5802.1532085561485</v>
      </c>
      <c r="M56" s="133"/>
      <c r="N56" s="124">
        <v>0</v>
      </c>
      <c r="O56" s="149" t="s">
        <v>477</v>
      </c>
      <c r="P56" s="125"/>
      <c r="Q56" s="125">
        <v>0</v>
      </c>
      <c r="R56" s="124">
        <f>Overview!$B$77</f>
        <v>23.094545454545454</v>
      </c>
      <c r="S56" s="124">
        <v>1.6309E-3</v>
      </c>
      <c r="T56" s="111"/>
    </row>
    <row r="57" spans="1:20">
      <c r="A57" s="103" t="s">
        <v>396</v>
      </c>
      <c r="B57" s="118" t="s">
        <v>374</v>
      </c>
      <c r="C57" s="111">
        <f>Overview!$F$16</f>
        <v>153.96363636363637</v>
      </c>
      <c r="D57" s="123"/>
      <c r="E57" s="123"/>
      <c r="F57" s="124">
        <f>Overview!$C$211</f>
        <v>1.8395999999999997</v>
      </c>
      <c r="G57" s="123">
        <f>Overview!C254</f>
        <v>0</v>
      </c>
      <c r="H57" s="124">
        <f>Overview!$C$212</f>
        <v>2.4086755555555559</v>
      </c>
      <c r="I57" s="124">
        <f>(I56/1000000)*Overview!$B$57</f>
        <v>1.0592698181818183</v>
      </c>
      <c r="J57" s="124">
        <v>0</v>
      </c>
      <c r="K57" s="124">
        <v>0</v>
      </c>
      <c r="L57" s="124">
        <f>L56*'Energy Consumption'!R64/1000</f>
        <v>501.88625254010685</v>
      </c>
      <c r="M57" s="133"/>
      <c r="N57" s="124">
        <v>0</v>
      </c>
      <c r="O57" s="124">
        <f>Overview!$B$105</f>
        <v>0.83525272727272715</v>
      </c>
      <c r="P57" s="125"/>
      <c r="Q57" s="125">
        <v>0</v>
      </c>
      <c r="R57" s="124">
        <f>R56*SUM(E58:Q58)</f>
        <v>76.20435759616754</v>
      </c>
      <c r="S57" s="124">
        <f>S56*Rewilding!$B$15</f>
        <v>100.60787628768801</v>
      </c>
      <c r="T57" s="111">
        <f>SUM(D57:S57)</f>
        <v>684.84128452497248</v>
      </c>
    </row>
    <row r="58" spans="1:20">
      <c r="A58" s="103" t="s">
        <v>410</v>
      </c>
      <c r="B58" s="64" t="s">
        <v>411</v>
      </c>
      <c r="C58">
        <f>T57/C57</f>
        <v>4.448071640159835</v>
      </c>
      <c r="E58">
        <f>E57/$C$13</f>
        <v>0</v>
      </c>
      <c r="F58">
        <f>F57/C57</f>
        <v>1.1948275862068963E-2</v>
      </c>
      <c r="G58">
        <f>G57/C57</f>
        <v>0</v>
      </c>
      <c r="H58">
        <f>H57/C57</f>
        <v>1.5644444444444447E-2</v>
      </c>
      <c r="I58">
        <f>I57/C57</f>
        <v>6.8800000000000007E-3</v>
      </c>
      <c r="J58">
        <f>J57/C57</f>
        <v>0</v>
      </c>
      <c r="K58">
        <f>K57/C57</f>
        <v>0</v>
      </c>
      <c r="L58">
        <f>L57/C57</f>
        <v>3.2597713615618655</v>
      </c>
      <c r="M58">
        <f>M57/C57</f>
        <v>0</v>
      </c>
      <c r="N58">
        <f>N57/C57</f>
        <v>0</v>
      </c>
      <c r="O58">
        <f>O57/C57</f>
        <v>5.4249999999999993E-3</v>
      </c>
      <c r="P58">
        <f>P57/C57</f>
        <v>0</v>
      </c>
      <c r="Q58">
        <f>Q57/C57</f>
        <v>0</v>
      </c>
      <c r="R58">
        <f>R57/$C$38</f>
        <v>0.49495036228025679</v>
      </c>
      <c r="S58">
        <f>S57/C57</f>
        <v>0.65345219601119986</v>
      </c>
      <c r="T58">
        <f>T57/C57</f>
        <v>4.448071640159835</v>
      </c>
    </row>
    <row r="60" spans="1:20">
      <c r="B60" s="103" t="s">
        <v>405</v>
      </c>
      <c r="C60">
        <f>C58</f>
        <v>4.448071640159835</v>
      </c>
    </row>
    <row r="61" spans="1:20">
      <c r="B61" s="103" t="s">
        <v>406</v>
      </c>
      <c r="C61">
        <f>C58-S58</f>
        <v>3.7946194441486352</v>
      </c>
    </row>
    <row r="63" spans="1:20">
      <c r="A63" s="103" t="s">
        <v>553</v>
      </c>
    </row>
    <row r="64" spans="1:20">
      <c r="B64" t="s">
        <v>437</v>
      </c>
      <c r="C64" s="111"/>
      <c r="D64" s="171" t="s">
        <v>379</v>
      </c>
      <c r="E64" s="171"/>
      <c r="F64" s="171"/>
      <c r="G64" s="171"/>
      <c r="H64" s="171"/>
      <c r="I64" s="171" t="s">
        <v>382</v>
      </c>
      <c r="J64" s="171"/>
      <c r="K64" s="171"/>
      <c r="L64" s="171"/>
      <c r="M64" s="172" t="s">
        <v>384</v>
      </c>
      <c r="N64" s="173"/>
      <c r="O64" s="121" t="s">
        <v>394</v>
      </c>
      <c r="P64" s="121" t="s">
        <v>388</v>
      </c>
      <c r="Q64" s="121" t="s">
        <v>389</v>
      </c>
      <c r="R64" s="121"/>
      <c r="S64" s="121" t="s">
        <v>390</v>
      </c>
      <c r="T64" s="121" t="s">
        <v>317</v>
      </c>
    </row>
    <row r="65" spans="1:20">
      <c r="C65" s="111" t="s">
        <v>391</v>
      </c>
      <c r="D65" s="107"/>
      <c r="E65" s="107" t="s">
        <v>403</v>
      </c>
      <c r="F65" s="107" t="s">
        <v>380</v>
      </c>
      <c r="G65" s="107" t="s">
        <v>377</v>
      </c>
      <c r="H65" s="111" t="s">
        <v>392</v>
      </c>
      <c r="I65" s="111" t="s">
        <v>393</v>
      </c>
      <c r="J65" s="122" t="s">
        <v>401</v>
      </c>
      <c r="K65" s="119" t="s">
        <v>383</v>
      </c>
      <c r="L65" s="107" t="s">
        <v>340</v>
      </c>
      <c r="M65" s="111" t="s">
        <v>381</v>
      </c>
      <c r="N65" s="107" t="s">
        <v>387</v>
      </c>
      <c r="O65" s="111" t="s">
        <v>385</v>
      </c>
      <c r="P65" s="107" t="s">
        <v>387</v>
      </c>
      <c r="Q65" s="107" t="s">
        <v>433</v>
      </c>
      <c r="R65" s="111" t="s">
        <v>375</v>
      </c>
      <c r="S65" s="111" t="s">
        <v>395</v>
      </c>
      <c r="T65" s="111" t="s">
        <v>298</v>
      </c>
    </row>
    <row r="66" spans="1:20">
      <c r="B66" s="126" t="s">
        <v>397</v>
      </c>
      <c r="C66" s="111"/>
      <c r="D66" s="123"/>
      <c r="E66" s="123"/>
      <c r="F66" s="124">
        <f>Overview!$C$199</f>
        <v>1.2774999999999999</v>
      </c>
      <c r="G66" s="123">
        <f>Overview!$C$194</f>
        <v>1425.5892255892256</v>
      </c>
      <c r="H66" s="124">
        <f>Overview!$C$196</f>
        <v>1425.5892255892256</v>
      </c>
      <c r="I66" s="124">
        <f>Overview!$B$61</f>
        <v>3079.2727272727275</v>
      </c>
      <c r="J66" s="124">
        <v>0</v>
      </c>
      <c r="K66" s="124">
        <v>0</v>
      </c>
      <c r="L66" s="124">
        <f>'Energy Consumption'!$D$77</f>
        <v>5802.1532085561485</v>
      </c>
      <c r="M66" s="133"/>
      <c r="N66" s="124">
        <v>0</v>
      </c>
      <c r="O66" s="149" t="s">
        <v>477</v>
      </c>
      <c r="P66" s="125"/>
      <c r="Q66" s="125">
        <v>0</v>
      </c>
      <c r="R66" s="124">
        <f>Overview!$B$77</f>
        <v>23.094545454545454</v>
      </c>
      <c r="S66" s="124">
        <v>1.6309E-3</v>
      </c>
      <c r="T66" s="111"/>
    </row>
    <row r="67" spans="1:20">
      <c r="A67" s="103" t="s">
        <v>396</v>
      </c>
      <c r="B67" s="118" t="s">
        <v>374</v>
      </c>
      <c r="C67" s="111">
        <f>Overview!$F$16</f>
        <v>153.96363636363637</v>
      </c>
      <c r="D67" s="123"/>
      <c r="E67" s="123"/>
      <c r="F67" s="124">
        <f>Overview!$C$211</f>
        <v>1.8395999999999997</v>
      </c>
      <c r="G67" s="123">
        <f>Overview!C264</f>
        <v>0</v>
      </c>
      <c r="H67" s="124">
        <f>Overview!$C$212</f>
        <v>2.4086755555555559</v>
      </c>
      <c r="I67" s="124">
        <f>(I66/1000000)*Overview!$B$57</f>
        <v>1.0592698181818183</v>
      </c>
      <c r="J67" s="124">
        <v>0</v>
      </c>
      <c r="K67" s="124">
        <v>0</v>
      </c>
      <c r="L67" s="124">
        <f>L66*'Energy Consumption'!L64/1000</f>
        <v>203.07536229946518</v>
      </c>
      <c r="M67" s="133"/>
      <c r="N67" s="124">
        <v>0</v>
      </c>
      <c r="O67" s="124">
        <f>Overview!$B$105</f>
        <v>0.83525272727272715</v>
      </c>
      <c r="P67" s="125"/>
      <c r="Q67" s="125">
        <v>0</v>
      </c>
      <c r="R67" s="124">
        <f>R66*SUM(E68:Q68)</f>
        <v>31.38272406007129</v>
      </c>
      <c r="S67" s="124">
        <f>S66*Rewilding!$B$15</f>
        <v>100.60787628768801</v>
      </c>
      <c r="T67" s="111">
        <f>SUM(D67:S67)</f>
        <v>341.20876074823457</v>
      </c>
    </row>
    <row r="68" spans="1:20">
      <c r="A68" s="103" t="s">
        <v>410</v>
      </c>
      <c r="B68" s="64" t="s">
        <v>411</v>
      </c>
      <c r="C68">
        <f>T67/C67</f>
        <v>2.2161646009864078</v>
      </c>
      <c r="E68">
        <f>E67/$C$13</f>
        <v>0</v>
      </c>
      <c r="F68">
        <f>F67/C67</f>
        <v>1.1948275862068963E-2</v>
      </c>
      <c r="G68">
        <f>G67/C67</f>
        <v>0</v>
      </c>
      <c r="H68">
        <f>H67/C67</f>
        <v>1.5644444444444447E-2</v>
      </c>
      <c r="I68">
        <f>I67/C67</f>
        <v>6.8800000000000007E-3</v>
      </c>
      <c r="J68">
        <f>J67/C67</f>
        <v>0</v>
      </c>
      <c r="K68">
        <f>K67/C67</f>
        <v>0</v>
      </c>
      <c r="L68">
        <f>L67/C67</f>
        <v>1.3189826318458413</v>
      </c>
      <c r="M68">
        <f>M67/C67</f>
        <v>0</v>
      </c>
      <c r="N68">
        <f>N67/C67</f>
        <v>0</v>
      </c>
      <c r="O68">
        <f>O67/C67</f>
        <v>5.4249999999999993E-3</v>
      </c>
      <c r="P68">
        <f>P67/C67</f>
        <v>0</v>
      </c>
      <c r="Q68">
        <f>Q67/C67</f>
        <v>0</v>
      </c>
      <c r="R68">
        <f>R67/$C$38</f>
        <v>0.20383205282285319</v>
      </c>
      <c r="S68">
        <f>S67/C67</f>
        <v>0.65345219601119986</v>
      </c>
      <c r="T68">
        <f>T67/C67</f>
        <v>2.2161646009864078</v>
      </c>
    </row>
    <row r="70" spans="1:20">
      <c r="B70" s="103" t="s">
        <v>405</v>
      </c>
      <c r="C70">
        <f>C68</f>
        <v>2.2161646009864078</v>
      </c>
    </row>
    <row r="71" spans="1:20">
      <c r="B71" s="103" t="s">
        <v>406</v>
      </c>
      <c r="C71">
        <f>C68-S68</f>
        <v>1.5627124049752079</v>
      </c>
    </row>
    <row r="73" spans="1:20">
      <c r="A73" s="103" t="s">
        <v>557</v>
      </c>
    </row>
    <row r="74" spans="1:20">
      <c r="B74" t="s">
        <v>437</v>
      </c>
      <c r="C74" s="111"/>
      <c r="D74" s="171" t="s">
        <v>379</v>
      </c>
      <c r="E74" s="171"/>
      <c r="F74" s="171"/>
      <c r="G74" s="171"/>
      <c r="H74" s="171"/>
      <c r="I74" s="171" t="s">
        <v>382</v>
      </c>
      <c r="J74" s="171"/>
      <c r="K74" s="171"/>
      <c r="L74" s="171"/>
      <c r="M74" s="172" t="s">
        <v>384</v>
      </c>
      <c r="N74" s="173"/>
      <c r="O74" s="121" t="s">
        <v>394</v>
      </c>
      <c r="P74" s="121" t="s">
        <v>388</v>
      </c>
      <c r="Q74" s="121" t="s">
        <v>389</v>
      </c>
      <c r="R74" s="121"/>
      <c r="S74" s="121" t="s">
        <v>390</v>
      </c>
      <c r="T74" s="121" t="s">
        <v>317</v>
      </c>
    </row>
    <row r="75" spans="1:20">
      <c r="C75" s="111" t="s">
        <v>391</v>
      </c>
      <c r="D75" s="107"/>
      <c r="E75" s="107" t="s">
        <v>403</v>
      </c>
      <c r="F75" s="107" t="s">
        <v>380</v>
      </c>
      <c r="G75" s="107" t="s">
        <v>377</v>
      </c>
      <c r="H75" s="111" t="s">
        <v>392</v>
      </c>
      <c r="I75" s="111" t="s">
        <v>393</v>
      </c>
      <c r="J75" s="122" t="s">
        <v>401</v>
      </c>
      <c r="K75" s="119" t="s">
        <v>383</v>
      </c>
      <c r="L75" s="107" t="s">
        <v>340</v>
      </c>
      <c r="M75" s="111" t="s">
        <v>381</v>
      </c>
      <c r="N75" s="107" t="s">
        <v>387</v>
      </c>
      <c r="O75" s="111" t="s">
        <v>385</v>
      </c>
      <c r="P75" s="107" t="s">
        <v>387</v>
      </c>
      <c r="Q75" s="107" t="s">
        <v>433</v>
      </c>
      <c r="R75" s="111" t="s">
        <v>375</v>
      </c>
      <c r="S75" s="111" t="s">
        <v>395</v>
      </c>
      <c r="T75" s="111" t="s">
        <v>298</v>
      </c>
    </row>
    <row r="76" spans="1:20">
      <c r="B76" s="126" t="s">
        <v>397</v>
      </c>
      <c r="C76" s="111"/>
      <c r="D76" s="123"/>
      <c r="E76" s="123"/>
      <c r="F76" s="124">
        <f>Overview!$C$199</f>
        <v>1.2774999999999999</v>
      </c>
      <c r="G76" s="123">
        <f>Overview!$C$194</f>
        <v>1425.5892255892256</v>
      </c>
      <c r="H76" s="124">
        <f>Overview!$C$196</f>
        <v>1425.5892255892256</v>
      </c>
      <c r="I76" s="124">
        <f>Overview!$B$61</f>
        <v>3079.2727272727275</v>
      </c>
      <c r="J76" s="124">
        <v>0</v>
      </c>
      <c r="K76" s="124">
        <v>0</v>
      </c>
      <c r="L76" s="124">
        <f>'Energy Consumption'!$D$77</f>
        <v>5802.1532085561485</v>
      </c>
      <c r="M76" s="133"/>
      <c r="N76" s="124">
        <v>0</v>
      </c>
      <c r="O76" s="149" t="s">
        <v>477</v>
      </c>
      <c r="P76" s="125"/>
      <c r="Q76" s="125">
        <v>0</v>
      </c>
      <c r="R76" s="124">
        <f>Overview!$B$77</f>
        <v>23.094545454545454</v>
      </c>
      <c r="S76" s="124">
        <v>1.6309E-3</v>
      </c>
      <c r="T76" s="111"/>
    </row>
    <row r="77" spans="1:20">
      <c r="A77" s="103" t="s">
        <v>396</v>
      </c>
      <c r="B77" s="118" t="s">
        <v>374</v>
      </c>
      <c r="C77" s="111">
        <f>Overview!$F$16</f>
        <v>153.96363636363637</v>
      </c>
      <c r="D77" s="123"/>
      <c r="E77" s="123"/>
      <c r="F77" s="124">
        <f>Overview!$C$211</f>
        <v>1.8395999999999997</v>
      </c>
      <c r="G77" s="123">
        <f>Overview!C274</f>
        <v>0</v>
      </c>
      <c r="H77" s="124">
        <f>Overview!$C$212</f>
        <v>2.4086755555555559</v>
      </c>
      <c r="I77" s="124">
        <f>(I76/1000000)*Overview!$B$57</f>
        <v>1.0592698181818183</v>
      </c>
      <c r="J77" s="124">
        <v>0</v>
      </c>
      <c r="K77" s="124">
        <v>0</v>
      </c>
      <c r="L77" s="124">
        <f>L76*'Energy Consumption'!S64/1000</f>
        <v>116.04306417112296</v>
      </c>
      <c r="M77" s="133"/>
      <c r="N77" s="124">
        <v>0</v>
      </c>
      <c r="O77" s="124">
        <f>Overview!$B$105</f>
        <v>0.83525272727272715</v>
      </c>
      <c r="P77" s="125"/>
      <c r="Q77" s="125">
        <v>0</v>
      </c>
      <c r="R77" s="124">
        <f>R76*SUM(E78:Q78)</f>
        <v>18.327879340819958</v>
      </c>
      <c r="S77" s="124">
        <f>S76*Rewilding!$B$15</f>
        <v>100.60787628768801</v>
      </c>
      <c r="T77" s="111">
        <f>SUM(D77:S77)</f>
        <v>241.12161790064104</v>
      </c>
    </row>
    <row r="78" spans="1:20">
      <c r="A78" s="103" t="s">
        <v>410</v>
      </c>
      <c r="B78" s="64" t="s">
        <v>411</v>
      </c>
      <c r="C78">
        <f>T77/C77</f>
        <v>1.5660945895766718</v>
      </c>
      <c r="E78">
        <f>E77/$C$13</f>
        <v>0</v>
      </c>
      <c r="F78">
        <f>F77/C77</f>
        <v>1.1948275862068963E-2</v>
      </c>
      <c r="G78">
        <f>G77/C77</f>
        <v>0</v>
      </c>
      <c r="H78">
        <f>H77/C77</f>
        <v>1.5644444444444447E-2</v>
      </c>
      <c r="I78">
        <f>I77/C77</f>
        <v>6.8800000000000007E-3</v>
      </c>
      <c r="J78">
        <f>J77/C77</f>
        <v>0</v>
      </c>
      <c r="K78">
        <f>K77/C77</f>
        <v>0</v>
      </c>
      <c r="L78">
        <f>L77/C77</f>
        <v>0.75370436105476646</v>
      </c>
      <c r="M78">
        <f>M77/C77</f>
        <v>0</v>
      </c>
      <c r="N78">
        <f>N77/C77</f>
        <v>0</v>
      </c>
      <c r="O78">
        <f>O77/C77</f>
        <v>5.4249999999999993E-3</v>
      </c>
      <c r="P78">
        <f>P77/C77</f>
        <v>0</v>
      </c>
      <c r="Q78">
        <f>Q77/C77</f>
        <v>0</v>
      </c>
      <c r="R78">
        <f>R77/$C$38</f>
        <v>0.11904031220419198</v>
      </c>
      <c r="S78">
        <f>S77/C77</f>
        <v>0.65345219601119986</v>
      </c>
      <c r="T78">
        <f>T77/C77</f>
        <v>1.5660945895766718</v>
      </c>
    </row>
    <row r="80" spans="1:20">
      <c r="B80" s="103" t="s">
        <v>405</v>
      </c>
      <c r="C80">
        <f>C78</f>
        <v>1.5660945895766718</v>
      </c>
    </row>
    <row r="81" spans="1:20">
      <c r="B81" s="103" t="s">
        <v>406</v>
      </c>
      <c r="C81">
        <f>C78-S78</f>
        <v>0.91264239356547194</v>
      </c>
    </row>
    <row r="83" spans="1:20">
      <c r="A83" s="103" t="s">
        <v>558</v>
      </c>
    </row>
    <row r="84" spans="1:20">
      <c r="B84" t="s">
        <v>437</v>
      </c>
      <c r="C84" s="111"/>
      <c r="D84" s="171" t="s">
        <v>379</v>
      </c>
      <c r="E84" s="171"/>
      <c r="F84" s="171"/>
      <c r="G84" s="171"/>
      <c r="H84" s="171"/>
      <c r="I84" s="171" t="s">
        <v>382</v>
      </c>
      <c r="J84" s="171"/>
      <c r="K84" s="171"/>
      <c r="L84" s="171"/>
      <c r="M84" s="172" t="s">
        <v>384</v>
      </c>
      <c r="N84" s="173"/>
      <c r="O84" s="121" t="s">
        <v>394</v>
      </c>
      <c r="P84" s="121" t="s">
        <v>388</v>
      </c>
      <c r="Q84" s="121" t="s">
        <v>389</v>
      </c>
      <c r="R84" s="121"/>
      <c r="S84" s="121" t="s">
        <v>390</v>
      </c>
      <c r="T84" s="121" t="s">
        <v>317</v>
      </c>
    </row>
    <row r="85" spans="1:20">
      <c r="C85" s="111" t="s">
        <v>391</v>
      </c>
      <c r="D85" s="107"/>
      <c r="E85" s="107" t="s">
        <v>403</v>
      </c>
      <c r="F85" s="107" t="s">
        <v>380</v>
      </c>
      <c r="G85" s="107" t="s">
        <v>377</v>
      </c>
      <c r="H85" s="111" t="s">
        <v>392</v>
      </c>
      <c r="I85" s="111" t="s">
        <v>393</v>
      </c>
      <c r="J85" s="122" t="s">
        <v>401</v>
      </c>
      <c r="K85" s="119" t="s">
        <v>383</v>
      </c>
      <c r="L85" s="107" t="s">
        <v>340</v>
      </c>
      <c r="M85" s="111" t="s">
        <v>381</v>
      </c>
      <c r="N85" s="107" t="s">
        <v>387</v>
      </c>
      <c r="O85" s="111" t="s">
        <v>385</v>
      </c>
      <c r="P85" s="107" t="s">
        <v>387</v>
      </c>
      <c r="Q85" s="107" t="s">
        <v>433</v>
      </c>
      <c r="R85" s="111" t="s">
        <v>375</v>
      </c>
      <c r="S85" s="111" t="s">
        <v>395</v>
      </c>
      <c r="T85" s="111" t="s">
        <v>298</v>
      </c>
    </row>
    <row r="86" spans="1:20">
      <c r="B86" s="126" t="s">
        <v>397</v>
      </c>
      <c r="C86" s="111"/>
      <c r="D86" s="123"/>
      <c r="E86" s="123"/>
      <c r="F86" s="124">
        <f>Overview!$C$199</f>
        <v>1.2774999999999999</v>
      </c>
      <c r="G86" s="123">
        <f>Overview!$C$194</f>
        <v>1425.5892255892256</v>
      </c>
      <c r="H86" s="124">
        <f>Overview!$C$196</f>
        <v>1425.5892255892256</v>
      </c>
      <c r="I86" s="124">
        <f>Overview!$B$61</f>
        <v>3079.2727272727275</v>
      </c>
      <c r="J86" s="124">
        <v>0</v>
      </c>
      <c r="K86" s="124">
        <v>0</v>
      </c>
      <c r="L86" s="124">
        <f>'Energy Consumption'!$D$77</f>
        <v>5802.1532085561485</v>
      </c>
      <c r="M86" s="133"/>
      <c r="N86" s="124">
        <v>0</v>
      </c>
      <c r="O86" s="149" t="s">
        <v>477</v>
      </c>
      <c r="P86" s="125"/>
      <c r="Q86" s="125">
        <v>0</v>
      </c>
      <c r="R86" s="124">
        <f>Overview!$B$77</f>
        <v>23.094545454545454</v>
      </c>
      <c r="S86" s="124">
        <v>1.6309E-3</v>
      </c>
      <c r="T86" s="111"/>
    </row>
    <row r="87" spans="1:20">
      <c r="A87" s="103" t="s">
        <v>396</v>
      </c>
      <c r="B87" s="118" t="s">
        <v>374</v>
      </c>
      <c r="C87" s="111">
        <f>Overview!$F$16</f>
        <v>153.96363636363637</v>
      </c>
      <c r="D87" s="123"/>
      <c r="E87" s="123"/>
      <c r="F87" s="124">
        <f>Overview!$C$211</f>
        <v>1.8395999999999997</v>
      </c>
      <c r="G87" s="123">
        <f>Overview!C284</f>
        <v>0</v>
      </c>
      <c r="H87" s="124">
        <f>Overview!$C$212</f>
        <v>2.4086755555555559</v>
      </c>
      <c r="I87" s="124">
        <f>(I86/1000000)*Overview!$B$57</f>
        <v>1.0592698181818183</v>
      </c>
      <c r="J87" s="124">
        <v>0</v>
      </c>
      <c r="K87" s="124">
        <v>0</v>
      </c>
      <c r="L87" s="124">
        <f>L86*'Energy Consumption'!K64/1000</f>
        <v>290.10766042780745</v>
      </c>
      <c r="M87" s="133"/>
      <c r="N87" s="124">
        <v>0</v>
      </c>
      <c r="O87" s="124">
        <f>Overview!$B$105</f>
        <v>0.83525272727272715</v>
      </c>
      <c r="P87" s="125"/>
      <c r="Q87" s="125">
        <v>0</v>
      </c>
      <c r="R87" s="124">
        <f>R86*SUM(E88:Q88)</f>
        <v>44.437568779322632</v>
      </c>
      <c r="S87" s="124">
        <f>S86*Rewilding!$B$15</f>
        <v>100.60787628768801</v>
      </c>
      <c r="T87" s="111">
        <f>SUM(D87:S87)</f>
        <v>441.29590359582824</v>
      </c>
    </row>
    <row r="88" spans="1:20">
      <c r="A88" s="103" t="s">
        <v>410</v>
      </c>
      <c r="B88" s="64" t="s">
        <v>411</v>
      </c>
      <c r="C88">
        <f>T87/C87</f>
        <v>2.8662346123961444</v>
      </c>
      <c r="E88">
        <f>E87/$C$13</f>
        <v>0</v>
      </c>
      <c r="F88">
        <f>F87/C87</f>
        <v>1.1948275862068963E-2</v>
      </c>
      <c r="G88">
        <f>G87/C87</f>
        <v>0</v>
      </c>
      <c r="H88">
        <f>H87/C87</f>
        <v>1.5644444444444447E-2</v>
      </c>
      <c r="I88">
        <f>I87/C87</f>
        <v>6.8800000000000007E-3</v>
      </c>
      <c r="J88">
        <f>J87/C87</f>
        <v>0</v>
      </c>
      <c r="K88">
        <f>K87/C87</f>
        <v>0</v>
      </c>
      <c r="L88">
        <f>L87/C87</f>
        <v>1.8842609026369166</v>
      </c>
      <c r="M88">
        <f>M87/C87</f>
        <v>0</v>
      </c>
      <c r="N88">
        <f>N87/C87</f>
        <v>0</v>
      </c>
      <c r="O88">
        <f>O87/C87</f>
        <v>5.4249999999999993E-3</v>
      </c>
      <c r="P88">
        <f>P87/C87</f>
        <v>0</v>
      </c>
      <c r="Q88">
        <f>Q87/C87</f>
        <v>0</v>
      </c>
      <c r="R88">
        <f>R87/$C$38</f>
        <v>0.28862379344151451</v>
      </c>
      <c r="S88">
        <f>S87/C87</f>
        <v>0.65345219601119986</v>
      </c>
      <c r="T88">
        <f>T87/C87</f>
        <v>2.8662346123961444</v>
      </c>
    </row>
    <row r="90" spans="1:20">
      <c r="B90" s="103" t="s">
        <v>405</v>
      </c>
      <c r="C90">
        <f>C88</f>
        <v>2.8662346123961444</v>
      </c>
    </row>
    <row r="91" spans="1:20">
      <c r="B91" s="103" t="s">
        <v>406</v>
      </c>
      <c r="C91">
        <f>C88-S88</f>
        <v>2.2127824163849446</v>
      </c>
    </row>
    <row r="93" spans="1:20">
      <c r="A93" s="103" t="s">
        <v>559</v>
      </c>
    </row>
    <row r="94" spans="1:20">
      <c r="B94" t="s">
        <v>437</v>
      </c>
      <c r="C94" s="111"/>
      <c r="D94" s="171" t="s">
        <v>379</v>
      </c>
      <c r="E94" s="171"/>
      <c r="F94" s="171"/>
      <c r="G94" s="171"/>
      <c r="H94" s="171"/>
      <c r="I94" s="171" t="s">
        <v>382</v>
      </c>
      <c r="J94" s="171"/>
      <c r="K94" s="171"/>
      <c r="L94" s="171"/>
      <c r="M94" s="172" t="s">
        <v>384</v>
      </c>
      <c r="N94" s="173"/>
      <c r="O94" s="121" t="s">
        <v>394</v>
      </c>
      <c r="P94" s="121" t="s">
        <v>388</v>
      </c>
      <c r="Q94" s="121" t="s">
        <v>389</v>
      </c>
      <c r="R94" s="121"/>
      <c r="S94" s="121" t="s">
        <v>390</v>
      </c>
      <c r="T94" s="121" t="s">
        <v>317</v>
      </c>
    </row>
    <row r="95" spans="1:20">
      <c r="C95" s="111" t="s">
        <v>391</v>
      </c>
      <c r="D95" s="107"/>
      <c r="E95" s="107" t="s">
        <v>403</v>
      </c>
      <c r="F95" s="107" t="s">
        <v>380</v>
      </c>
      <c r="G95" s="107" t="s">
        <v>377</v>
      </c>
      <c r="H95" s="111" t="s">
        <v>392</v>
      </c>
      <c r="I95" s="111" t="s">
        <v>393</v>
      </c>
      <c r="J95" s="122" t="s">
        <v>401</v>
      </c>
      <c r="K95" s="119" t="s">
        <v>383</v>
      </c>
      <c r="L95" s="107" t="s">
        <v>340</v>
      </c>
      <c r="M95" s="111" t="s">
        <v>381</v>
      </c>
      <c r="N95" s="107" t="s">
        <v>387</v>
      </c>
      <c r="O95" s="111" t="s">
        <v>385</v>
      </c>
      <c r="P95" s="107" t="s">
        <v>387</v>
      </c>
      <c r="Q95" s="107" t="s">
        <v>433</v>
      </c>
      <c r="R95" s="111" t="s">
        <v>375</v>
      </c>
      <c r="S95" s="111" t="s">
        <v>395</v>
      </c>
      <c r="T95" s="111" t="s">
        <v>298</v>
      </c>
    </row>
    <row r="96" spans="1:20">
      <c r="B96" s="126" t="s">
        <v>397</v>
      </c>
      <c r="C96" s="111"/>
      <c r="D96" s="123"/>
      <c r="E96" s="123"/>
      <c r="F96" s="124">
        <f>Overview!$C$199</f>
        <v>1.2774999999999999</v>
      </c>
      <c r="G96" s="123">
        <f>Overview!$C$194</f>
        <v>1425.5892255892256</v>
      </c>
      <c r="H96" s="124">
        <f>Overview!$C$196</f>
        <v>1425.5892255892256</v>
      </c>
      <c r="I96" s="124">
        <f>Overview!$B$61</f>
        <v>3079.2727272727275</v>
      </c>
      <c r="J96" s="124">
        <v>0</v>
      </c>
      <c r="K96" s="124">
        <v>0</v>
      </c>
      <c r="L96" s="124">
        <f>'Energy Consumption'!$D$77</f>
        <v>5802.1532085561485</v>
      </c>
      <c r="M96" s="133"/>
      <c r="N96" s="124">
        <v>0</v>
      </c>
      <c r="O96" s="149" t="s">
        <v>477</v>
      </c>
      <c r="P96" s="125"/>
      <c r="Q96" s="125">
        <v>0</v>
      </c>
      <c r="R96" s="124">
        <f>Overview!$B$77</f>
        <v>23.094545454545454</v>
      </c>
      <c r="S96" s="124">
        <v>1.6309E-3</v>
      </c>
      <c r="T96" s="111"/>
    </row>
    <row r="97" spans="1:20">
      <c r="A97" s="103" t="s">
        <v>396</v>
      </c>
      <c r="B97" s="118" t="s">
        <v>374</v>
      </c>
      <c r="C97" s="111">
        <f>Overview!$F$16</f>
        <v>153.96363636363637</v>
      </c>
      <c r="D97" s="123"/>
      <c r="E97" s="123"/>
      <c r="F97" s="124">
        <f>Overview!$C$211</f>
        <v>1.8395999999999997</v>
      </c>
      <c r="G97" s="123">
        <f>Overview!C294</f>
        <v>0</v>
      </c>
      <c r="H97" s="124">
        <f>Overview!$C$212</f>
        <v>2.4086755555555559</v>
      </c>
      <c r="I97" s="124">
        <f>(I96/1000000)*Overview!$B$57</f>
        <v>1.0592698181818183</v>
      </c>
      <c r="J97" s="124">
        <v>0</v>
      </c>
      <c r="K97" s="124">
        <v>0</v>
      </c>
      <c r="L97" s="151">
        <f>L96*'Energy Consumption'!I64/1000</f>
        <v>203.07536229946518</v>
      </c>
      <c r="M97" s="133"/>
      <c r="N97" s="124">
        <v>0</v>
      </c>
      <c r="O97" s="124">
        <f>Overview!$B$105</f>
        <v>0.83525272727272715</v>
      </c>
      <c r="P97" s="125"/>
      <c r="Q97" s="125">
        <v>0</v>
      </c>
      <c r="R97" s="124">
        <f>R96*SUM(E98:Q98)</f>
        <v>31.38272406007129</v>
      </c>
      <c r="S97" s="124">
        <f>S96*Rewilding!$B$15</f>
        <v>100.60787628768801</v>
      </c>
      <c r="T97" s="111">
        <f>SUM(D97:S97)</f>
        <v>341.20876074823457</v>
      </c>
    </row>
    <row r="98" spans="1:20">
      <c r="A98" s="103" t="s">
        <v>410</v>
      </c>
      <c r="B98" s="64" t="s">
        <v>411</v>
      </c>
      <c r="C98">
        <f>T97/C97</f>
        <v>2.2161646009864078</v>
      </c>
      <c r="E98">
        <f>E97/$C$13</f>
        <v>0</v>
      </c>
      <c r="F98">
        <f>F97/C97</f>
        <v>1.1948275862068963E-2</v>
      </c>
      <c r="G98">
        <f>G97/C97</f>
        <v>0</v>
      </c>
      <c r="H98">
        <f>H97/C97</f>
        <v>1.5644444444444447E-2</v>
      </c>
      <c r="I98">
        <f>I97/C97</f>
        <v>6.8800000000000007E-3</v>
      </c>
      <c r="J98">
        <f>J97/C97</f>
        <v>0</v>
      </c>
      <c r="K98">
        <f>K97/C97</f>
        <v>0</v>
      </c>
      <c r="L98" s="167">
        <f>L97/C97</f>
        <v>1.3189826318458413</v>
      </c>
      <c r="M98">
        <f>M97/C97</f>
        <v>0</v>
      </c>
      <c r="N98">
        <f>N97/C97</f>
        <v>0</v>
      </c>
      <c r="O98">
        <f>O97/C97</f>
        <v>5.4249999999999993E-3</v>
      </c>
      <c r="P98">
        <f>P97/C97</f>
        <v>0</v>
      </c>
      <c r="Q98">
        <f>Q97/C97</f>
        <v>0</v>
      </c>
      <c r="R98">
        <f>R97/$C$38</f>
        <v>0.20383205282285319</v>
      </c>
      <c r="S98">
        <f>S97/C97</f>
        <v>0.65345219601119986</v>
      </c>
      <c r="T98">
        <f>T97/C97</f>
        <v>2.2161646009864078</v>
      </c>
    </row>
    <row r="100" spans="1:20">
      <c r="B100" s="103" t="s">
        <v>405</v>
      </c>
      <c r="C100">
        <f>C98</f>
        <v>2.2161646009864078</v>
      </c>
    </row>
    <row r="101" spans="1:20">
      <c r="B101" s="103" t="s">
        <v>406</v>
      </c>
      <c r="C101">
        <f>C98-S98</f>
        <v>1.5627124049752079</v>
      </c>
    </row>
    <row r="103" spans="1:20">
      <c r="A103" s="103" t="s">
        <v>560</v>
      </c>
    </row>
    <row r="104" spans="1:20">
      <c r="B104" t="s">
        <v>437</v>
      </c>
      <c r="C104" s="111"/>
      <c r="D104" s="171" t="s">
        <v>379</v>
      </c>
      <c r="E104" s="171"/>
      <c r="F104" s="171"/>
      <c r="G104" s="171"/>
      <c r="H104" s="171"/>
      <c r="I104" s="171" t="s">
        <v>382</v>
      </c>
      <c r="J104" s="171"/>
      <c r="K104" s="171"/>
      <c r="L104" s="171"/>
      <c r="M104" s="172" t="s">
        <v>384</v>
      </c>
      <c r="N104" s="173"/>
      <c r="O104" s="121" t="s">
        <v>394</v>
      </c>
      <c r="P104" s="121" t="s">
        <v>388</v>
      </c>
      <c r="Q104" s="121" t="s">
        <v>389</v>
      </c>
      <c r="R104" s="121"/>
      <c r="S104" s="121" t="s">
        <v>390</v>
      </c>
      <c r="T104" s="121" t="s">
        <v>317</v>
      </c>
    </row>
    <row r="105" spans="1:20">
      <c r="C105" s="111" t="s">
        <v>391</v>
      </c>
      <c r="D105" s="107"/>
      <c r="E105" s="107" t="s">
        <v>403</v>
      </c>
      <c r="F105" s="107" t="s">
        <v>380</v>
      </c>
      <c r="G105" s="107" t="s">
        <v>377</v>
      </c>
      <c r="H105" s="111" t="s">
        <v>392</v>
      </c>
      <c r="I105" s="111" t="s">
        <v>393</v>
      </c>
      <c r="J105" s="122" t="s">
        <v>401</v>
      </c>
      <c r="K105" s="119" t="s">
        <v>383</v>
      </c>
      <c r="L105" s="107" t="s">
        <v>340</v>
      </c>
      <c r="M105" s="111" t="s">
        <v>381</v>
      </c>
      <c r="N105" s="107" t="s">
        <v>387</v>
      </c>
      <c r="O105" s="111" t="s">
        <v>385</v>
      </c>
      <c r="P105" s="107" t="s">
        <v>387</v>
      </c>
      <c r="Q105" s="107" t="s">
        <v>433</v>
      </c>
      <c r="R105" s="111" t="s">
        <v>375</v>
      </c>
      <c r="S105" s="111" t="s">
        <v>395</v>
      </c>
      <c r="T105" s="111" t="s">
        <v>298</v>
      </c>
    </row>
    <row r="106" spans="1:20">
      <c r="B106" s="126" t="s">
        <v>397</v>
      </c>
      <c r="C106" s="111"/>
      <c r="D106" s="123"/>
      <c r="E106" s="123"/>
      <c r="F106" s="124">
        <f>Overview!$C$199</f>
        <v>1.2774999999999999</v>
      </c>
      <c r="G106" s="123">
        <f>Overview!$C$194</f>
        <v>1425.5892255892256</v>
      </c>
      <c r="H106" s="124">
        <f>Overview!$C$196</f>
        <v>1425.5892255892256</v>
      </c>
      <c r="I106" s="124">
        <f>Overview!$B$61</f>
        <v>3079.2727272727275</v>
      </c>
      <c r="J106" s="124">
        <v>0</v>
      </c>
      <c r="K106" s="124">
        <v>0</v>
      </c>
      <c r="L106" s="124">
        <f>'Energy Consumption'!$D$77</f>
        <v>5802.1532085561485</v>
      </c>
      <c r="M106" s="133"/>
      <c r="N106" s="124">
        <v>0</v>
      </c>
      <c r="O106" s="149" t="s">
        <v>477</v>
      </c>
      <c r="P106" s="125"/>
      <c r="Q106" s="125">
        <v>0</v>
      </c>
      <c r="R106" s="124">
        <f>Overview!$B$77</f>
        <v>23.094545454545454</v>
      </c>
      <c r="S106" s="124">
        <v>1.6309E-3</v>
      </c>
      <c r="T106" s="111"/>
    </row>
    <row r="107" spans="1:20">
      <c r="A107" s="103" t="s">
        <v>396</v>
      </c>
      <c r="B107" s="118" t="s">
        <v>374</v>
      </c>
      <c r="C107" s="111">
        <f>Overview!$F$16</f>
        <v>153.96363636363637</v>
      </c>
      <c r="D107" s="123"/>
      <c r="E107" s="123"/>
      <c r="F107" s="124">
        <f>Overview!$C$211</f>
        <v>1.8395999999999997</v>
      </c>
      <c r="G107" s="123">
        <f>Overview!C304</f>
        <v>0</v>
      </c>
      <c r="H107" s="124">
        <f>Overview!$C$212</f>
        <v>2.4086755555555559</v>
      </c>
      <c r="I107" s="124">
        <f>(I106/1000000)*Overview!$B$57</f>
        <v>1.0592698181818183</v>
      </c>
      <c r="J107" s="124">
        <v>0</v>
      </c>
      <c r="K107" s="124">
        <v>0</v>
      </c>
      <c r="L107" s="152">
        <f>L106*'Energy Consumption'!D64/1000</f>
        <v>1044.3875775401068</v>
      </c>
      <c r="M107" s="133"/>
      <c r="N107" s="124">
        <v>0</v>
      </c>
      <c r="O107" s="124">
        <f>Overview!$B$105</f>
        <v>0.83525272727272715</v>
      </c>
      <c r="P107" s="125"/>
      <c r="Q107" s="125">
        <v>0</v>
      </c>
      <c r="R107" s="124">
        <f>R106*SUM(E108:Q108)</f>
        <v>157.57955634616749</v>
      </c>
      <c r="S107" s="124">
        <f>S106*Rewilding!$B$15</f>
        <v>100.60787628768801</v>
      </c>
      <c r="T107" s="111">
        <f>SUM(D107:S107)</f>
        <v>1308.7178082749724</v>
      </c>
    </row>
    <row r="108" spans="1:20">
      <c r="A108" s="103" t="s">
        <v>410</v>
      </c>
      <c r="B108" s="64" t="s">
        <v>411</v>
      </c>
      <c r="C108">
        <f>T107/C107</f>
        <v>8.5001747112805237</v>
      </c>
      <c r="E108">
        <f>E107/$C$13</f>
        <v>0</v>
      </c>
      <c r="F108">
        <f>F107/C107</f>
        <v>1.1948275862068963E-2</v>
      </c>
      <c r="G108">
        <f>G107/C107</f>
        <v>0</v>
      </c>
      <c r="H108">
        <f>H107/C107</f>
        <v>1.5644444444444447E-2</v>
      </c>
      <c r="I108">
        <f>I107/C107</f>
        <v>6.8800000000000007E-3</v>
      </c>
      <c r="J108">
        <f>J107/C107</f>
        <v>0</v>
      </c>
      <c r="K108">
        <f>K107/C107</f>
        <v>0</v>
      </c>
      <c r="L108">
        <f>L107/C107</f>
        <v>6.783339249492899</v>
      </c>
      <c r="M108">
        <f>M107/C107</f>
        <v>0</v>
      </c>
      <c r="N108">
        <f>N107/C107</f>
        <v>0</v>
      </c>
      <c r="O108">
        <f>O107/C107</f>
        <v>5.4249999999999993E-3</v>
      </c>
      <c r="P108">
        <f>P107/C107</f>
        <v>0</v>
      </c>
      <c r="Q108">
        <f>Q107/C107</f>
        <v>0</v>
      </c>
      <c r="R108">
        <f>R107/$C$38</f>
        <v>1.0234855454699117</v>
      </c>
      <c r="S108">
        <f>S107/C107</f>
        <v>0.65345219601119986</v>
      </c>
      <c r="T108">
        <f>T107/C107</f>
        <v>8.5001747112805237</v>
      </c>
    </row>
    <row r="110" spans="1:20">
      <c r="B110" s="103" t="s">
        <v>405</v>
      </c>
      <c r="C110">
        <f>C108</f>
        <v>8.5001747112805237</v>
      </c>
    </row>
    <row r="111" spans="1:20">
      <c r="B111" s="103" t="s">
        <v>406</v>
      </c>
      <c r="C111">
        <f>C108-S108</f>
        <v>7.8467225152693238</v>
      </c>
    </row>
    <row r="113" spans="1:20">
      <c r="A113" s="103" t="s">
        <v>561</v>
      </c>
    </row>
    <row r="114" spans="1:20">
      <c r="B114" t="s">
        <v>437</v>
      </c>
      <c r="C114" s="111"/>
      <c r="D114" s="171" t="s">
        <v>379</v>
      </c>
      <c r="E114" s="171"/>
      <c r="F114" s="171"/>
      <c r="G114" s="171"/>
      <c r="H114" s="171"/>
      <c r="I114" s="171" t="s">
        <v>382</v>
      </c>
      <c r="J114" s="171"/>
      <c r="K114" s="171"/>
      <c r="L114" s="171"/>
      <c r="M114" s="172" t="s">
        <v>384</v>
      </c>
      <c r="N114" s="173"/>
      <c r="O114" s="121" t="s">
        <v>394</v>
      </c>
      <c r="P114" s="121" t="s">
        <v>388</v>
      </c>
      <c r="Q114" s="121" t="s">
        <v>389</v>
      </c>
      <c r="R114" s="121"/>
      <c r="S114" s="121" t="s">
        <v>390</v>
      </c>
      <c r="T114" s="121" t="s">
        <v>317</v>
      </c>
    </row>
    <row r="115" spans="1:20">
      <c r="C115" s="111" t="s">
        <v>391</v>
      </c>
      <c r="D115" s="107"/>
      <c r="E115" s="107" t="s">
        <v>403</v>
      </c>
      <c r="F115" s="107" t="s">
        <v>380</v>
      </c>
      <c r="G115" s="107" t="s">
        <v>377</v>
      </c>
      <c r="H115" s="111" t="s">
        <v>392</v>
      </c>
      <c r="I115" s="111" t="s">
        <v>393</v>
      </c>
      <c r="J115" s="122" t="s">
        <v>401</v>
      </c>
      <c r="K115" s="119" t="s">
        <v>383</v>
      </c>
      <c r="L115" s="107" t="s">
        <v>340</v>
      </c>
      <c r="M115" s="111" t="s">
        <v>381</v>
      </c>
      <c r="N115" s="107" t="s">
        <v>387</v>
      </c>
      <c r="O115" s="111" t="s">
        <v>385</v>
      </c>
      <c r="P115" s="107" t="s">
        <v>387</v>
      </c>
      <c r="Q115" s="107" t="s">
        <v>433</v>
      </c>
      <c r="R115" s="111" t="s">
        <v>375</v>
      </c>
      <c r="S115" s="111" t="s">
        <v>395</v>
      </c>
      <c r="T115" s="111" t="s">
        <v>298</v>
      </c>
    </row>
    <row r="116" spans="1:20">
      <c r="B116" s="126" t="s">
        <v>397</v>
      </c>
      <c r="C116" s="111"/>
      <c r="D116" s="123"/>
      <c r="E116" s="123"/>
      <c r="F116" s="124">
        <f>Overview!$C$199</f>
        <v>1.2774999999999999</v>
      </c>
      <c r="G116" s="123">
        <f>Overview!$C$194</f>
        <v>1425.5892255892256</v>
      </c>
      <c r="H116" s="124">
        <f>Overview!$C$196</f>
        <v>1425.5892255892256</v>
      </c>
      <c r="I116" s="124">
        <f>Overview!$B$61</f>
        <v>3079.2727272727275</v>
      </c>
      <c r="J116" s="124">
        <v>0</v>
      </c>
      <c r="K116" s="124">
        <v>0</v>
      </c>
      <c r="L116" s="124">
        <f>'Energy Consumption'!$D$77</f>
        <v>5802.1532085561485</v>
      </c>
      <c r="M116" s="133"/>
      <c r="N116" s="124">
        <v>0</v>
      </c>
      <c r="O116" s="149" t="s">
        <v>477</v>
      </c>
      <c r="P116" s="125"/>
      <c r="Q116" s="125">
        <v>0</v>
      </c>
      <c r="R116" s="124">
        <f>Overview!$B$77</f>
        <v>23.094545454545454</v>
      </c>
      <c r="S116" s="124">
        <v>1.6309E-3</v>
      </c>
      <c r="T116" s="111"/>
    </row>
    <row r="117" spans="1:20">
      <c r="A117" s="103" t="s">
        <v>396</v>
      </c>
      <c r="B117" s="118" t="s">
        <v>374</v>
      </c>
      <c r="C117" s="111">
        <f>Overview!$F$16</f>
        <v>153.96363636363637</v>
      </c>
      <c r="D117" s="123"/>
      <c r="E117" s="123"/>
      <c r="F117" s="124">
        <f>Overview!$C$211</f>
        <v>1.8395999999999997</v>
      </c>
      <c r="G117" s="123">
        <f>Overview!C314</f>
        <v>0</v>
      </c>
      <c r="H117" s="124">
        <f>Overview!$C$212</f>
        <v>2.4086755555555559</v>
      </c>
      <c r="I117" s="124">
        <f>(I116/1000000)*Overview!$B$57</f>
        <v>1.0592698181818183</v>
      </c>
      <c r="J117" s="124">
        <v>0</v>
      </c>
      <c r="K117" s="124">
        <v>0</v>
      </c>
      <c r="L117" s="152">
        <f>L116*'Energy Consumption'!S64/1000</f>
        <v>116.04306417112296</v>
      </c>
      <c r="M117" s="133"/>
      <c r="N117" s="124">
        <v>0</v>
      </c>
      <c r="O117" s="124">
        <f>Overview!$B$105</f>
        <v>0.83525272727272715</v>
      </c>
      <c r="P117" s="125"/>
      <c r="Q117" s="125">
        <v>0</v>
      </c>
      <c r="R117" s="124">
        <f>R116*SUM(E118:Q118)</f>
        <v>18.327879340819958</v>
      </c>
      <c r="S117" s="124">
        <f>S116*Rewilding!$B$15</f>
        <v>100.60787628768801</v>
      </c>
      <c r="T117" s="111">
        <f>SUM(D117:S117)</f>
        <v>241.12161790064104</v>
      </c>
    </row>
    <row r="118" spans="1:20">
      <c r="A118" s="103" t="s">
        <v>410</v>
      </c>
      <c r="B118" s="64" t="s">
        <v>411</v>
      </c>
      <c r="C118">
        <f>T117/C117</f>
        <v>1.5660945895766718</v>
      </c>
      <c r="E118">
        <f>E117/$C$13</f>
        <v>0</v>
      </c>
      <c r="F118">
        <f>F117/C117</f>
        <v>1.1948275862068963E-2</v>
      </c>
      <c r="G118">
        <f>G117/C117</f>
        <v>0</v>
      </c>
      <c r="H118">
        <f>H117/C117</f>
        <v>1.5644444444444447E-2</v>
      </c>
      <c r="I118">
        <f>I117/C117</f>
        <v>6.8800000000000007E-3</v>
      </c>
      <c r="J118">
        <f>J117/C117</f>
        <v>0</v>
      </c>
      <c r="K118">
        <f>K117/C117</f>
        <v>0</v>
      </c>
      <c r="L118">
        <f>L117/C117</f>
        <v>0.75370436105476646</v>
      </c>
      <c r="M118">
        <f>M117/C117</f>
        <v>0</v>
      </c>
      <c r="N118">
        <f>N117/C117</f>
        <v>0</v>
      </c>
      <c r="O118">
        <f>O117/C117</f>
        <v>5.4249999999999993E-3</v>
      </c>
      <c r="P118">
        <f>P117/C117</f>
        <v>0</v>
      </c>
      <c r="Q118">
        <f>Q117/C117</f>
        <v>0</v>
      </c>
      <c r="R118">
        <f>R117/$C$38</f>
        <v>0.11904031220419198</v>
      </c>
      <c r="S118">
        <f>S117/C117</f>
        <v>0.65345219601119986</v>
      </c>
      <c r="T118">
        <f>T117/C117</f>
        <v>1.5660945895766718</v>
      </c>
    </row>
    <row r="120" spans="1:20">
      <c r="B120" s="103" t="s">
        <v>405</v>
      </c>
      <c r="C120">
        <f>C118</f>
        <v>1.5660945895766718</v>
      </c>
    </row>
    <row r="121" spans="1:20">
      <c r="B121" s="103" t="s">
        <v>406</v>
      </c>
      <c r="C121">
        <f>C118-S118</f>
        <v>0.91264239356547194</v>
      </c>
    </row>
    <row r="123" spans="1:20">
      <c r="A123" t="s">
        <v>568</v>
      </c>
      <c r="C123" t="s">
        <v>376</v>
      </c>
      <c r="D123" t="s">
        <v>566</v>
      </c>
      <c r="F123" t="s">
        <v>563</v>
      </c>
      <c r="G123" t="s">
        <v>392</v>
      </c>
      <c r="H123" t="s">
        <v>393</v>
      </c>
      <c r="I123" t="s">
        <v>17</v>
      </c>
      <c r="J123" t="s">
        <v>18</v>
      </c>
      <c r="K123" t="s">
        <v>564</v>
      </c>
      <c r="L123" t="s">
        <v>375</v>
      </c>
      <c r="M123" t="s">
        <v>16</v>
      </c>
      <c r="N123" t="s">
        <v>395</v>
      </c>
      <c r="O123" t="s">
        <v>567</v>
      </c>
    </row>
    <row r="124" spans="1:20">
      <c r="B124" s="103" t="s">
        <v>565</v>
      </c>
      <c r="C124">
        <f>454685</f>
        <v>454685</v>
      </c>
      <c r="D124">
        <v>6900</v>
      </c>
      <c r="F124">
        <v>0</v>
      </c>
      <c r="G124">
        <v>0</v>
      </c>
      <c r="H124">
        <v>0</v>
      </c>
      <c r="I124">
        <v>0</v>
      </c>
      <c r="J124">
        <v>0</v>
      </c>
      <c r="K124">
        <v>0</v>
      </c>
      <c r="L124">
        <v>0</v>
      </c>
      <c r="M124">
        <v>0</v>
      </c>
      <c r="N124">
        <f>(D124/4047)*Rewilding!B15</f>
        <v>105176.94094588584</v>
      </c>
      <c r="O124">
        <v>2.0699999999999998</v>
      </c>
    </row>
    <row r="125" spans="1:20">
      <c r="B125" s="103" t="s">
        <v>410</v>
      </c>
      <c r="F125">
        <v>0</v>
      </c>
      <c r="G125">
        <v>0</v>
      </c>
      <c r="H125">
        <v>0</v>
      </c>
      <c r="I125">
        <v>0</v>
      </c>
      <c r="J125">
        <v>0</v>
      </c>
      <c r="K125">
        <v>0</v>
      </c>
      <c r="L125">
        <v>0</v>
      </c>
      <c r="M125">
        <v>0</v>
      </c>
      <c r="N125">
        <f>N124/C124</f>
        <v>0.23131825537654827</v>
      </c>
      <c r="O125">
        <v>0</v>
      </c>
    </row>
    <row r="128" spans="1:20">
      <c r="G128">
        <v>0</v>
      </c>
      <c r="H128">
        <v>0</v>
      </c>
      <c r="I128">
        <v>0</v>
      </c>
      <c r="J128">
        <v>0</v>
      </c>
      <c r="K128">
        <v>0</v>
      </c>
      <c r="L128">
        <v>0</v>
      </c>
      <c r="M128">
        <v>0</v>
      </c>
      <c r="N128">
        <v>2.0699999999999998</v>
      </c>
      <c r="O128">
        <v>0</v>
      </c>
    </row>
  </sheetData>
  <mergeCells count="43">
    <mergeCell ref="D104:H104"/>
    <mergeCell ref="I104:L104"/>
    <mergeCell ref="M104:N104"/>
    <mergeCell ref="M114:N114"/>
    <mergeCell ref="I114:L114"/>
    <mergeCell ref="D114:H114"/>
    <mergeCell ref="D94:H94"/>
    <mergeCell ref="I94:L94"/>
    <mergeCell ref="M94:N94"/>
    <mergeCell ref="D84:H84"/>
    <mergeCell ref="I84:L84"/>
    <mergeCell ref="M84:N84"/>
    <mergeCell ref="D74:H74"/>
    <mergeCell ref="I74:L74"/>
    <mergeCell ref="M74:N74"/>
    <mergeCell ref="D54:H54"/>
    <mergeCell ref="I54:L54"/>
    <mergeCell ref="M54:N54"/>
    <mergeCell ref="D64:H64"/>
    <mergeCell ref="I64:L64"/>
    <mergeCell ref="M64:N64"/>
    <mergeCell ref="D44:H44"/>
    <mergeCell ref="I44:L44"/>
    <mergeCell ref="M44:N44"/>
    <mergeCell ref="D19:H19"/>
    <mergeCell ref="I19:L19"/>
    <mergeCell ref="M19:N19"/>
    <mergeCell ref="D27:H27"/>
    <mergeCell ref="I27:L27"/>
    <mergeCell ref="M27:N27"/>
    <mergeCell ref="I3:L3"/>
    <mergeCell ref="M3:N3"/>
    <mergeCell ref="Q3:R3"/>
    <mergeCell ref="D35:H35"/>
    <mergeCell ref="I35:L35"/>
    <mergeCell ref="M35:N35"/>
    <mergeCell ref="D11:H11"/>
    <mergeCell ref="D3:H3"/>
    <mergeCell ref="I11:L11"/>
    <mergeCell ref="M11:N11"/>
    <mergeCell ref="Q11:R11"/>
    <mergeCell ref="Q19:R19"/>
    <mergeCell ref="Q27:R27"/>
  </mergeCells>
  <pageMargins left="0.7" right="0.7" top="0.75" bottom="0.75" header="0.3" footer="0.3"/>
  <pageSetup paperSize="9"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10BE7-8B2C-774F-A980-0619EBC22946}">
  <dimension ref="A1:Q24"/>
  <sheetViews>
    <sheetView workbookViewId="0">
      <selection activeCell="E6" sqref="E6"/>
    </sheetView>
  </sheetViews>
  <sheetFormatPr baseColWidth="10" defaultRowHeight="15"/>
  <cols>
    <col min="1" max="1" width="40.1640625" bestFit="1" customWidth="1"/>
    <col min="2" max="2" width="21.6640625" bestFit="1" customWidth="1"/>
    <col min="3" max="3" width="20.5" bestFit="1" customWidth="1"/>
    <col min="4" max="4" width="13.6640625" customWidth="1"/>
    <col min="5" max="5" width="18.33203125" bestFit="1" customWidth="1"/>
  </cols>
  <sheetData>
    <row r="1" spans="1:17">
      <c r="A1" s="59" t="s">
        <v>310</v>
      </c>
    </row>
    <row r="2" spans="1:17">
      <c r="A2" s="58" t="s">
        <v>321</v>
      </c>
      <c r="H2" t="s">
        <v>320</v>
      </c>
      <c r="L2" s="56"/>
    </row>
    <row r="3" spans="1:17">
      <c r="A3" s="58"/>
      <c r="L3" s="56"/>
    </row>
    <row r="4" spans="1:17">
      <c r="A4" s="58"/>
      <c r="B4" s="177" t="s">
        <v>334</v>
      </c>
      <c r="C4" s="177"/>
      <c r="D4" s="177"/>
      <c r="E4" s="177"/>
      <c r="L4" s="56"/>
    </row>
    <row r="5" spans="1:17">
      <c r="A5" s="60" t="s">
        <v>311</v>
      </c>
      <c r="B5" s="60" t="s">
        <v>318</v>
      </c>
      <c r="C5" s="60" t="s">
        <v>319</v>
      </c>
      <c r="D5" s="60" t="s">
        <v>317</v>
      </c>
      <c r="E5" s="60" t="s">
        <v>330</v>
      </c>
    </row>
    <row r="6" spans="1:17">
      <c r="A6" s="61" t="s">
        <v>312</v>
      </c>
      <c r="B6" s="83">
        <f>1*907.18474</f>
        <v>907.18474000000003</v>
      </c>
      <c r="C6" s="83">
        <f>36*907.18474</f>
        <v>32658.65064</v>
      </c>
      <c r="D6" s="83">
        <f>37*907.18474</f>
        <v>33565.835380000004</v>
      </c>
      <c r="E6" s="83">
        <f t="shared" ref="E6:E11" si="0">D6-$D$6</f>
        <v>0</v>
      </c>
      <c r="O6" s="58"/>
      <c r="P6" s="58"/>
    </row>
    <row r="7" spans="1:17">
      <c r="A7" s="61" t="s">
        <v>313</v>
      </c>
      <c r="B7" s="83">
        <f>3*907.18474</f>
        <v>2721.55422</v>
      </c>
      <c r="C7" s="83">
        <f>105*907.18474</f>
        <v>95254.397700000001</v>
      </c>
      <c r="D7" s="83">
        <f>108*907.18474</f>
        <v>97975.951920000007</v>
      </c>
      <c r="E7" s="83">
        <f t="shared" si="0"/>
        <v>64410.116540000003</v>
      </c>
      <c r="H7" s="58"/>
      <c r="I7" s="57"/>
      <c r="J7" s="58"/>
      <c r="K7" s="58"/>
      <c r="L7" s="57"/>
      <c r="M7" s="58"/>
      <c r="N7" s="57"/>
      <c r="P7" s="57"/>
      <c r="Q7" s="176"/>
    </row>
    <row r="8" spans="1:17">
      <c r="A8" s="61" t="s">
        <v>314</v>
      </c>
      <c r="B8" s="83">
        <f>19*907.18474</f>
        <v>17236.510060000001</v>
      </c>
      <c r="C8" s="83">
        <f>287*907.18474</f>
        <v>260362.02038</v>
      </c>
      <c r="D8" s="83">
        <f>206*907.18474</f>
        <v>186880.05644000001</v>
      </c>
      <c r="E8" s="83">
        <f t="shared" si="0"/>
        <v>153314.22106000001</v>
      </c>
      <c r="I8" s="57"/>
      <c r="Q8" s="176"/>
    </row>
    <row r="9" spans="1:17">
      <c r="A9" s="61" t="s">
        <v>315</v>
      </c>
      <c r="B9" s="83">
        <v>907.18474000000003</v>
      </c>
      <c r="C9" s="83">
        <f>19*907.18474</f>
        <v>17236.510060000001</v>
      </c>
      <c r="D9" s="83">
        <f>20*907.18474</f>
        <v>18143.694800000001</v>
      </c>
      <c r="E9" s="83">
        <f t="shared" si="0"/>
        <v>-15422.140580000003</v>
      </c>
      <c r="I9" s="57"/>
      <c r="L9" s="57"/>
      <c r="Q9" s="176"/>
    </row>
    <row r="10" spans="1:17">
      <c r="A10" s="61" t="s">
        <v>316</v>
      </c>
      <c r="B10" s="83">
        <f>29*907.18474</f>
        <v>26308.357459999999</v>
      </c>
      <c r="C10" s="83">
        <f>153*907.18474</f>
        <v>138799.26522</v>
      </c>
      <c r="D10" s="83">
        <f>182*907.18474</f>
        <v>165107.62268</v>
      </c>
      <c r="E10" s="83">
        <f t="shared" si="0"/>
        <v>131541.7873</v>
      </c>
      <c r="I10" s="57"/>
      <c r="Q10" s="176"/>
    </row>
    <row r="11" spans="1:17">
      <c r="A11" s="61" t="s">
        <v>333</v>
      </c>
      <c r="B11" s="83">
        <f>25*907.18474</f>
        <v>22679.6185</v>
      </c>
      <c r="C11" s="83">
        <f>43*907.18474</f>
        <v>39008.94382</v>
      </c>
      <c r="D11" s="83">
        <f>68*907.18474</f>
        <v>61688.562320000005</v>
      </c>
      <c r="E11" s="83">
        <f t="shared" si="0"/>
        <v>28122.72694</v>
      </c>
      <c r="P11" s="55"/>
    </row>
    <row r="12" spans="1:17">
      <c r="A12" s="134" t="s">
        <v>434</v>
      </c>
      <c r="D12">
        <f>9000/2.47105</f>
        <v>3642.176402743773</v>
      </c>
    </row>
    <row r="15" spans="1:17">
      <c r="A15" s="11" t="s">
        <v>71</v>
      </c>
      <c r="B15" s="11">
        <f>VLOOKUP(Overview!L16, Rewilding!A6:D12, 4, FALSE)</f>
        <v>61688.562320000005</v>
      </c>
    </row>
    <row r="16" spans="1:17">
      <c r="A16" s="72" t="s">
        <v>331</v>
      </c>
      <c r="B16" s="71">
        <f>Overview!H16</f>
        <v>9.7551754778554788E-3</v>
      </c>
    </row>
    <row r="18" spans="1:4">
      <c r="A18" s="70" t="s">
        <v>329</v>
      </c>
      <c r="B18" s="26" t="s">
        <v>52</v>
      </c>
      <c r="C18" s="26" t="s">
        <v>53</v>
      </c>
      <c r="D18" s="26" t="s">
        <v>54</v>
      </c>
    </row>
    <row r="19" spans="1:4">
      <c r="A19" s="61" t="s">
        <v>312</v>
      </c>
      <c r="B19" s="84">
        <f>E6*Overview!$H$16</f>
        <v>0</v>
      </c>
      <c r="C19" s="84">
        <f>B19*2</f>
        <v>0</v>
      </c>
      <c r="D19" s="84">
        <f>B19*3</f>
        <v>0</v>
      </c>
    </row>
    <row r="20" spans="1:4">
      <c r="A20" s="61" t="s">
        <v>313</v>
      </c>
      <c r="B20" s="84">
        <f>E7*Overview!$H$16</f>
        <v>628.33198939682165</v>
      </c>
      <c r="C20" s="84">
        <f t="shared" ref="C20:C23" si="1">B20*2</f>
        <v>1256.6639787936433</v>
      </c>
      <c r="D20" s="84">
        <f t="shared" ref="D20:D24" si="2">B20*3</f>
        <v>1884.995968190465</v>
      </c>
    </row>
    <row r="21" spans="1:4">
      <c r="A21" s="61" t="s">
        <v>314</v>
      </c>
      <c r="B21" s="84">
        <f>E8*Overview!$H$16</f>
        <v>1495.6071296910261</v>
      </c>
      <c r="C21" s="84">
        <f t="shared" si="1"/>
        <v>2991.2142593820522</v>
      </c>
      <c r="D21" s="84">
        <f t="shared" si="2"/>
        <v>4486.8213890730785</v>
      </c>
    </row>
    <row r="22" spans="1:4">
      <c r="A22" s="61" t="s">
        <v>315</v>
      </c>
      <c r="B22" s="85">
        <f>E9*Overview!$H$16</f>
        <v>-150.4456876020559</v>
      </c>
      <c r="C22" s="85">
        <f>B22*2</f>
        <v>-300.8913752041118</v>
      </c>
      <c r="D22" s="85">
        <f t="shared" si="2"/>
        <v>-451.33706280616769</v>
      </c>
    </row>
    <row r="23" spans="1:4">
      <c r="A23" s="61" t="s">
        <v>316</v>
      </c>
      <c r="B23" s="84">
        <f>E10*Overview!$H$16</f>
        <v>1283.2132177822411</v>
      </c>
      <c r="C23" s="84">
        <f t="shared" si="1"/>
        <v>2566.4264355644823</v>
      </c>
      <c r="D23" s="84">
        <f t="shared" si="2"/>
        <v>3849.6396533467232</v>
      </c>
    </row>
    <row r="24" spans="1:4">
      <c r="A24" s="61" t="s">
        <v>333</v>
      </c>
      <c r="B24" s="84">
        <f>E11*Overview!$H$16</f>
        <v>274.34213621551368</v>
      </c>
      <c r="C24" s="84">
        <f>B24*2</f>
        <v>548.68427243102735</v>
      </c>
      <c r="D24" s="84">
        <f t="shared" si="2"/>
        <v>823.02640864654109</v>
      </c>
    </row>
  </sheetData>
  <mergeCells count="3">
    <mergeCell ref="Q7:Q8"/>
    <mergeCell ref="Q9:Q10"/>
    <mergeCell ref="B4:E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00"/>
  <sheetViews>
    <sheetView workbookViewId="0">
      <selection activeCell="B14" sqref="B14"/>
    </sheetView>
  </sheetViews>
  <sheetFormatPr baseColWidth="10" defaultColWidth="14.5" defaultRowHeight="15" customHeight="1"/>
  <cols>
    <col min="1" max="1" width="38" customWidth="1"/>
    <col min="2" max="2" width="14" customWidth="1"/>
    <col min="3" max="3" width="8.83203125" customWidth="1"/>
    <col min="4" max="4" width="11.6640625" customWidth="1"/>
    <col min="5" max="8" width="8.83203125" customWidth="1"/>
    <col min="9" max="9" width="11.5" customWidth="1"/>
    <col min="10" max="12" width="8.83203125" customWidth="1"/>
  </cols>
  <sheetData>
    <row r="1" spans="1:12">
      <c r="A1" s="8" t="s">
        <v>22</v>
      </c>
    </row>
    <row r="2" spans="1:12">
      <c r="A2" t="s">
        <v>23</v>
      </c>
      <c r="F2" t="s">
        <v>24</v>
      </c>
      <c r="L2" t="s">
        <v>25</v>
      </c>
    </row>
    <row r="3" spans="1:12">
      <c r="A3" s="11" t="s">
        <v>26</v>
      </c>
      <c r="B3" s="11">
        <v>24</v>
      </c>
      <c r="C3" s="11" t="s">
        <v>27</v>
      </c>
      <c r="D3" s="11"/>
      <c r="F3" t="s">
        <v>28</v>
      </c>
    </row>
    <row r="4" spans="1:12"/>
    <row r="5" spans="1:12">
      <c r="A5" t="s">
        <v>29</v>
      </c>
    </row>
    <row r="6" spans="1:12">
      <c r="A6" t="s">
        <v>30</v>
      </c>
      <c r="F6" s="12" t="s">
        <v>31</v>
      </c>
      <c r="G6" s="13"/>
    </row>
    <row r="7" spans="1:12">
      <c r="A7" t="s">
        <v>32</v>
      </c>
      <c r="F7" s="14" t="s">
        <v>2</v>
      </c>
      <c r="G7" s="15"/>
    </row>
    <row r="8" spans="1:12">
      <c r="A8" t="s">
        <v>33</v>
      </c>
      <c r="F8" s="16" t="s">
        <v>34</v>
      </c>
      <c r="G8" s="17"/>
    </row>
    <row r="9" spans="1:12">
      <c r="A9" s="11" t="s">
        <v>35</v>
      </c>
      <c r="B9" s="11">
        <v>2.5</v>
      </c>
      <c r="C9" s="11" t="s">
        <v>36</v>
      </c>
      <c r="D9" s="11"/>
      <c r="F9" s="18" t="s">
        <v>37</v>
      </c>
      <c r="G9" s="19"/>
    </row>
    <row r="10" spans="1:12">
      <c r="F10" s="20" t="s">
        <v>38</v>
      </c>
      <c r="G10" s="21"/>
    </row>
    <row r="11" spans="1:12">
      <c r="A11" t="s">
        <v>39</v>
      </c>
      <c r="B11">
        <f>1.36</f>
        <v>1.36</v>
      </c>
      <c r="C11" t="s">
        <v>40</v>
      </c>
      <c r="F11" s="22" t="s">
        <v>41</v>
      </c>
      <c r="G11" s="23"/>
    </row>
    <row r="12" spans="1:12">
      <c r="A12" t="s">
        <v>42</v>
      </c>
      <c r="B12">
        <v>82.153846153846146</v>
      </c>
      <c r="C12" t="s">
        <v>43</v>
      </c>
      <c r="F12" s="24" t="s">
        <v>44</v>
      </c>
      <c r="G12" s="25"/>
    </row>
    <row r="13" spans="1:12">
      <c r="A13" t="s">
        <v>45</v>
      </c>
      <c r="B13">
        <v>3.6</v>
      </c>
      <c r="C13" t="s">
        <v>46</v>
      </c>
    </row>
    <row r="14" spans="1:12">
      <c r="A14" t="s">
        <v>47</v>
      </c>
      <c r="B14">
        <v>295.75384615384615</v>
      </c>
      <c r="C14" t="s">
        <v>48</v>
      </c>
    </row>
    <row r="15" spans="1:12">
      <c r="A15" t="s">
        <v>49</v>
      </c>
      <c r="B15">
        <v>739.38461538461536</v>
      </c>
      <c r="C15" t="s">
        <v>50</v>
      </c>
    </row>
    <row r="16" spans="1:12"/>
    <row r="17" spans="1:5">
      <c r="A17" s="26" t="s">
        <v>51</v>
      </c>
      <c r="B17" s="26" t="s">
        <v>52</v>
      </c>
      <c r="C17" s="26" t="s">
        <v>53</v>
      </c>
      <c r="D17" s="26" t="s">
        <v>54</v>
      </c>
    </row>
    <row r="18" spans="1:5">
      <c r="A18" t="s">
        <v>55</v>
      </c>
      <c r="B18">
        <v>739.38461538461536</v>
      </c>
      <c r="C18">
        <v>1478.7692307692307</v>
      </c>
      <c r="D18">
        <v>2218.1538461538462</v>
      </c>
    </row>
    <row r="19" spans="1:5">
      <c r="A19" t="s">
        <v>56</v>
      </c>
      <c r="B19">
        <v>0</v>
      </c>
      <c r="C19">
        <v>0</v>
      </c>
      <c r="D19">
        <v>0</v>
      </c>
    </row>
    <row r="20" spans="1:5">
      <c r="A20" t="s">
        <v>57</v>
      </c>
      <c r="B20">
        <v>739.38461538461536</v>
      </c>
      <c r="C20">
        <v>1478.7692307692307</v>
      </c>
      <c r="D20" s="27">
        <v>2218.1538461538462</v>
      </c>
      <c r="E20" t="s">
        <v>58</v>
      </c>
    </row>
    <row r="21" spans="1:5" ht="15.75" customHeight="1"/>
    <row r="22" spans="1:5" ht="15.75" customHeight="1"/>
    <row r="23" spans="1:5" ht="15.75" customHeight="1">
      <c r="A23" s="8"/>
    </row>
    <row r="24" spans="1:5" ht="15.75" customHeight="1"/>
    <row r="25" spans="1:5" ht="15.75" customHeight="1"/>
    <row r="26" spans="1:5" ht="15.75" customHeight="1"/>
    <row r="27" spans="1:5" ht="15.75" customHeight="1"/>
    <row r="28" spans="1:5" ht="15.75" customHeight="1"/>
    <row r="29" spans="1:5" ht="15.75" customHeight="1"/>
    <row r="30" spans="1:5" ht="15.75" customHeight="1"/>
    <row r="31" spans="1:5" ht="15.75" customHeight="1"/>
    <row r="32" spans="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000"/>
  <sheetViews>
    <sheetView workbookViewId="0">
      <selection activeCell="B6" sqref="B6"/>
    </sheetView>
  </sheetViews>
  <sheetFormatPr baseColWidth="10" defaultColWidth="14.5" defaultRowHeight="15" customHeight="1"/>
  <cols>
    <col min="1" max="1" width="46.5" customWidth="1"/>
    <col min="2" max="7" width="8.83203125" customWidth="1"/>
    <col min="8" max="8" width="10" customWidth="1"/>
    <col min="9" max="13" width="8.83203125" customWidth="1"/>
  </cols>
  <sheetData>
    <row r="1" spans="1:12">
      <c r="A1" s="8" t="s">
        <v>59</v>
      </c>
    </row>
    <row r="2" spans="1:12">
      <c r="A2" t="s">
        <v>60</v>
      </c>
      <c r="L2" s="2" t="s">
        <v>61</v>
      </c>
    </row>
    <row r="3" spans="1:12">
      <c r="A3" t="s">
        <v>62</v>
      </c>
    </row>
    <row r="4" spans="1:12">
      <c r="B4" t="s">
        <v>65</v>
      </c>
    </row>
    <row r="5" spans="1:12">
      <c r="A5" t="s">
        <v>66</v>
      </c>
      <c r="B5" t="s">
        <v>67</v>
      </c>
      <c r="C5" t="s">
        <v>68</v>
      </c>
    </row>
    <row r="6" spans="1:12">
      <c r="A6" t="s">
        <v>69</v>
      </c>
      <c r="B6" t="s">
        <v>70</v>
      </c>
      <c r="C6" t="s">
        <v>68</v>
      </c>
    </row>
    <row r="7" spans="1:12">
      <c r="A7" t="s">
        <v>240</v>
      </c>
      <c r="B7">
        <f>Overview!F16</f>
        <v>153.96363636363637</v>
      </c>
      <c r="C7" t="s">
        <v>64</v>
      </c>
    </row>
    <row r="8" spans="1:12"/>
    <row r="9" spans="1:12">
      <c r="A9" s="11" t="s">
        <v>71</v>
      </c>
      <c r="B9" s="11">
        <v>344</v>
      </c>
      <c r="C9" t="s">
        <v>72</v>
      </c>
      <c r="L9" t="s">
        <v>73</v>
      </c>
    </row>
    <row r="10" spans="1:12"/>
    <row r="11" spans="1:12">
      <c r="A11" s="26" t="s">
        <v>74</v>
      </c>
      <c r="B11" s="26" t="s">
        <v>52</v>
      </c>
      <c r="C11" s="26" t="s">
        <v>53</v>
      </c>
      <c r="D11" s="26" t="s">
        <v>54</v>
      </c>
    </row>
    <row r="12" spans="1:12">
      <c r="A12" t="s">
        <v>75</v>
      </c>
      <c r="B12">
        <f>B7*250</f>
        <v>38490.909090909096</v>
      </c>
      <c r="C12">
        <f t="shared" ref="C12:C13" si="0">B12*2</f>
        <v>76981.818181818191</v>
      </c>
      <c r="D12">
        <f t="shared" ref="D12:D13" si="1">B12*3</f>
        <v>115472.72727272729</v>
      </c>
      <c r="E12" t="s">
        <v>76</v>
      </c>
    </row>
    <row r="13" spans="1:12">
      <c r="A13" t="s">
        <v>77</v>
      </c>
      <c r="B13">
        <f>B7*20</f>
        <v>3079.2727272727275</v>
      </c>
      <c r="C13">
        <f t="shared" si="0"/>
        <v>6158.545454545455</v>
      </c>
      <c r="D13">
        <f t="shared" si="1"/>
        <v>9237.818181818182</v>
      </c>
      <c r="E13" t="s">
        <v>76</v>
      </c>
    </row>
    <row r="14" spans="1:12">
      <c r="A14" t="s">
        <v>78</v>
      </c>
      <c r="B14">
        <f t="shared" ref="B14:D14" si="2">B12-B13</f>
        <v>35411.636363636368</v>
      </c>
      <c r="C14">
        <f t="shared" si="2"/>
        <v>70823.272727272735</v>
      </c>
      <c r="D14">
        <f t="shared" si="2"/>
        <v>106234.90909090912</v>
      </c>
      <c r="E14" t="s">
        <v>76</v>
      </c>
    </row>
    <row r="15" spans="1:12">
      <c r="A15" t="s">
        <v>79</v>
      </c>
      <c r="B15">
        <f t="shared" ref="B15:D15" si="3">B14/1000000 * 344</f>
        <v>12.181602909090911</v>
      </c>
      <c r="C15">
        <f t="shared" si="3"/>
        <v>24.363205818181822</v>
      </c>
      <c r="D15" s="28">
        <f t="shared" si="3"/>
        <v>36.544808727272738</v>
      </c>
      <c r="E15" t="s">
        <v>58</v>
      </c>
      <c r="L15" t="s">
        <v>73</v>
      </c>
    </row>
    <row r="16" spans="1:12"/>
    <row r="17" spans="1:10">
      <c r="A17" s="39"/>
      <c r="J17" s="40"/>
    </row>
    <row r="18" spans="1:10">
      <c r="A18" s="41"/>
      <c r="B18" s="42"/>
      <c r="C18" s="42"/>
      <c r="D18" s="42"/>
      <c r="E18" s="42"/>
      <c r="F18" s="42"/>
      <c r="G18" s="42"/>
      <c r="H18" s="42"/>
      <c r="I18" s="42"/>
      <c r="J18" s="43"/>
    </row>
    <row r="19" spans="1:10"/>
    <row r="20" spans="1:10" ht="15.75" customHeight="1"/>
    <row r="21" spans="1:10" ht="15.75" customHeight="1">
      <c r="B21" s="44"/>
      <c r="C21" s="44"/>
      <c r="D21" s="44"/>
      <c r="E21" s="44"/>
      <c r="F21" s="44"/>
      <c r="G21" s="44"/>
      <c r="H21" s="44"/>
    </row>
    <row r="22" spans="1:10" ht="15.75" customHeight="1"/>
    <row r="23" spans="1:10" ht="15.75" customHeight="1"/>
    <row r="24" spans="1:10" ht="15.75" customHeight="1">
      <c r="B24" s="44"/>
      <c r="C24" s="44"/>
      <c r="D24" s="44"/>
      <c r="E24" s="44"/>
      <c r="F24" s="44"/>
      <c r="G24" s="44"/>
      <c r="H24" s="44"/>
    </row>
    <row r="25" spans="1:10" ht="15.75" customHeight="1">
      <c r="B25" s="44"/>
      <c r="C25" s="44"/>
      <c r="D25" s="44"/>
      <c r="E25" s="44"/>
      <c r="F25" s="44"/>
      <c r="G25" s="44"/>
      <c r="H25" s="44"/>
    </row>
    <row r="26" spans="1:10" ht="15.75" customHeight="1">
      <c r="B26" s="44"/>
      <c r="C26" s="44"/>
      <c r="D26" s="44"/>
      <c r="E26" s="44"/>
      <c r="F26" s="44"/>
      <c r="G26" s="44"/>
      <c r="H26" s="44"/>
    </row>
    <row r="27" spans="1:10" ht="15.75" customHeight="1"/>
    <row r="28" spans="1:10" ht="15.75" customHeight="1"/>
    <row r="29" spans="1:10" ht="15.75" customHeight="1"/>
    <row r="30" spans="1:10" ht="15.75" customHeight="1"/>
    <row r="31" spans="1:10" ht="15.75" customHeight="1"/>
    <row r="32" spans="1:1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L2" r:id="rId1" xr:uid="{00000000-0004-0000-0300-00000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000"/>
  <sheetViews>
    <sheetView workbookViewId="0">
      <selection activeCell="C8" sqref="C8"/>
    </sheetView>
  </sheetViews>
  <sheetFormatPr baseColWidth="10" defaultColWidth="14.5" defaultRowHeight="15" customHeight="1"/>
  <cols>
    <col min="1" max="1" width="38.5" customWidth="1"/>
    <col min="2" max="2" width="18" customWidth="1"/>
    <col min="3" max="7" width="8.83203125" customWidth="1"/>
    <col min="8" max="8" width="13.6640625" customWidth="1"/>
    <col min="9" max="18" width="8.83203125" customWidth="1"/>
  </cols>
  <sheetData>
    <row r="1" spans="1:12">
      <c r="A1" s="8" t="s">
        <v>80</v>
      </c>
    </row>
    <row r="2" spans="1:12">
      <c r="A2" s="29" t="s">
        <v>81</v>
      </c>
      <c r="L2" s="29"/>
    </row>
    <row r="3" spans="1:12">
      <c r="A3" t="s">
        <v>82</v>
      </c>
      <c r="L3" s="2"/>
    </row>
    <row r="4" spans="1:12">
      <c r="A4" t="s">
        <v>83</v>
      </c>
      <c r="L4" s="2"/>
    </row>
    <row r="5" spans="1:12">
      <c r="A5" t="s">
        <v>84</v>
      </c>
      <c r="L5" s="2"/>
    </row>
    <row r="6" spans="1:12">
      <c r="L6" s="2"/>
    </row>
    <row r="7" spans="1:12">
      <c r="A7" s="11" t="s">
        <v>85</v>
      </c>
      <c r="B7" s="30">
        <v>0.4</v>
      </c>
      <c r="L7" s="29" t="s">
        <v>241</v>
      </c>
    </row>
    <row r="8" spans="1:12">
      <c r="A8" s="11" t="s">
        <v>86</v>
      </c>
      <c r="B8" s="30">
        <v>0.1</v>
      </c>
      <c r="C8" t="s">
        <v>87</v>
      </c>
    </row>
    <row r="9" spans="1:12">
      <c r="A9" s="11" t="s">
        <v>89</v>
      </c>
      <c r="B9" s="11">
        <v>1.1499999999999999</v>
      </c>
      <c r="C9" t="s">
        <v>90</v>
      </c>
      <c r="L9" s="2" t="s">
        <v>91</v>
      </c>
    </row>
    <row r="10" spans="1:12">
      <c r="A10" t="s">
        <v>240</v>
      </c>
      <c r="B10">
        <f>Overview!F16</f>
        <v>153.96363636363637</v>
      </c>
      <c r="C10" t="s">
        <v>64</v>
      </c>
      <c r="L10" s="2"/>
    </row>
    <row r="11" spans="1:12">
      <c r="A11" s="26" t="s">
        <v>92</v>
      </c>
      <c r="B11" s="26" t="s">
        <v>52</v>
      </c>
      <c r="C11" s="26" t="s">
        <v>53</v>
      </c>
      <c r="D11" s="26" t="s">
        <v>54</v>
      </c>
      <c r="L11" s="2" t="s">
        <v>93</v>
      </c>
    </row>
    <row r="12" spans="1:12">
      <c r="A12" t="s">
        <v>75</v>
      </c>
      <c r="B12">
        <f>B10*B7</f>
        <v>61.585454545454553</v>
      </c>
      <c r="C12">
        <f t="shared" ref="C12:C13" si="0">B12*2</f>
        <v>123.17090909090911</v>
      </c>
      <c r="D12">
        <f t="shared" ref="D12:D13" si="1">B12*3</f>
        <v>184.75636363636366</v>
      </c>
      <c r="E12" t="s">
        <v>94</v>
      </c>
      <c r="L12" s="2"/>
    </row>
    <row r="13" spans="1:12" ht="15.75" customHeight="1">
      <c r="A13" t="s">
        <v>95</v>
      </c>
      <c r="B13">
        <f>B10*B8</f>
        <v>15.396363636363638</v>
      </c>
      <c r="C13">
        <f t="shared" si="0"/>
        <v>30.792727272727276</v>
      </c>
      <c r="D13">
        <f t="shared" si="1"/>
        <v>46.189090909090915</v>
      </c>
      <c r="E13" t="s">
        <v>96</v>
      </c>
    </row>
    <row r="14" spans="1:12" ht="15.75" customHeight="1">
      <c r="A14" t="s">
        <v>78</v>
      </c>
      <c r="B14">
        <f t="shared" ref="B14:D14" si="2">B12-B13</f>
        <v>46.189090909090915</v>
      </c>
      <c r="C14">
        <f t="shared" si="2"/>
        <v>92.378181818181829</v>
      </c>
      <c r="D14">
        <f t="shared" si="2"/>
        <v>138.56727272727275</v>
      </c>
      <c r="E14" t="s">
        <v>97</v>
      </c>
    </row>
    <row r="15" spans="1:12" ht="15.75" customHeight="1">
      <c r="A15" t="s">
        <v>79</v>
      </c>
      <c r="B15">
        <f>B14*B9</f>
        <v>53.117454545454549</v>
      </c>
      <c r="C15">
        <f>B15*2</f>
        <v>106.2349090909091</v>
      </c>
      <c r="D15" s="28">
        <f>B15*3</f>
        <v>159.35236363636363</v>
      </c>
      <c r="E15" t="s">
        <v>58</v>
      </c>
    </row>
    <row r="16" spans="1:12" ht="15.75" customHeight="1">
      <c r="A16" s="4"/>
      <c r="B16" s="3"/>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L11" r:id="rId1" xr:uid="{00000000-0004-0000-0400-000000000000}"/>
  </hyperlinks>
  <pageMargins left="0.7" right="0.7" top="0.75" bottom="0.75"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001"/>
  <sheetViews>
    <sheetView workbookViewId="0">
      <selection activeCell="A2" sqref="A2"/>
    </sheetView>
  </sheetViews>
  <sheetFormatPr baseColWidth="10" defaultColWidth="14.5" defaultRowHeight="15" customHeight="1"/>
  <cols>
    <col min="1" max="1" width="59.5" customWidth="1"/>
    <col min="2" max="2" width="10.33203125" customWidth="1"/>
    <col min="3" max="3" width="12.83203125" customWidth="1"/>
    <col min="4" max="4" width="10.6640625" customWidth="1"/>
    <col min="5" max="8" width="8.83203125" customWidth="1"/>
    <col min="9" max="9" width="17.6640625" customWidth="1"/>
    <col min="10" max="10" width="10.83203125" customWidth="1"/>
    <col min="11" max="11" width="12.1640625" customWidth="1"/>
    <col min="12" max="12" width="10.83203125" customWidth="1"/>
    <col min="13" max="14" width="8.83203125" customWidth="1"/>
  </cols>
  <sheetData>
    <row r="1" spans="1:12">
      <c r="A1" s="31" t="s">
        <v>98</v>
      </c>
    </row>
    <row r="2" spans="1:12" ht="48">
      <c r="A2" s="45" t="s">
        <v>99</v>
      </c>
    </row>
    <row r="3" spans="1:12">
      <c r="A3" s="45"/>
    </row>
    <row r="4" spans="1:12">
      <c r="A4" s="11" t="s">
        <v>569</v>
      </c>
      <c r="B4" s="11">
        <v>25</v>
      </c>
      <c r="C4" t="s">
        <v>459</v>
      </c>
    </row>
    <row r="5" spans="1:12">
      <c r="A5" s="11" t="s">
        <v>100</v>
      </c>
      <c r="B5" s="11">
        <v>45</v>
      </c>
      <c r="C5" t="s">
        <v>101</v>
      </c>
      <c r="G5" s="2"/>
      <c r="L5" s="2" t="s">
        <v>102</v>
      </c>
    </row>
    <row r="6" spans="1:12">
      <c r="A6" s="11" t="s">
        <v>103</v>
      </c>
      <c r="B6" s="30">
        <v>0.4</v>
      </c>
      <c r="C6" t="s">
        <v>104</v>
      </c>
    </row>
    <row r="7" spans="1:12">
      <c r="A7" t="s">
        <v>242</v>
      </c>
      <c r="B7">
        <f>Overview!F16</f>
        <v>153.96363636363637</v>
      </c>
      <c r="C7" t="s">
        <v>64</v>
      </c>
    </row>
    <row r="8" spans="1:12">
      <c r="A8" s="26" t="s">
        <v>105</v>
      </c>
      <c r="B8" s="26" t="s">
        <v>52</v>
      </c>
      <c r="C8" s="26" t="s">
        <v>53</v>
      </c>
      <c r="D8" s="26" t="s">
        <v>54</v>
      </c>
    </row>
    <row r="9" spans="1:12">
      <c r="A9" t="s">
        <v>243</v>
      </c>
      <c r="B9">
        <f>B7/1000*B6*B5</f>
        <v>2.7713454545454548</v>
      </c>
      <c r="C9">
        <f t="shared" ref="C9:C10" si="0">B9*2</f>
        <v>5.5426909090909096</v>
      </c>
      <c r="D9">
        <f t="shared" ref="D9:D10" si="1">B9*3</f>
        <v>8.3140363636363652</v>
      </c>
      <c r="E9" t="s">
        <v>107</v>
      </c>
    </row>
    <row r="10" spans="1:12">
      <c r="A10" t="s">
        <v>244</v>
      </c>
      <c r="B10">
        <f>B4*B5</f>
        <v>1125</v>
      </c>
      <c r="C10">
        <f t="shared" si="0"/>
        <v>2250</v>
      </c>
      <c r="D10">
        <f t="shared" si="1"/>
        <v>3375</v>
      </c>
      <c r="E10" t="s">
        <v>109</v>
      </c>
    </row>
    <row r="11" spans="1:12">
      <c r="A11" t="s">
        <v>110</v>
      </c>
      <c r="B11">
        <f t="shared" ref="B11:D11" si="2">B9-B10</f>
        <v>-1122.2286545454544</v>
      </c>
      <c r="C11">
        <f t="shared" si="2"/>
        <v>-2244.4573090909089</v>
      </c>
      <c r="D11">
        <f t="shared" si="2"/>
        <v>-3366.6859636363638</v>
      </c>
      <c r="E11" t="s">
        <v>97</v>
      </c>
    </row>
    <row r="12" spans="1:12">
      <c r="A12" t="s">
        <v>111</v>
      </c>
      <c r="B12">
        <f>B11*B6</f>
        <v>-448.89146181818182</v>
      </c>
      <c r="C12">
        <f>B12*2</f>
        <v>-897.78292363636365</v>
      </c>
      <c r="D12" s="28">
        <f>B12*3</f>
        <v>-1346.6743854545455</v>
      </c>
      <c r="E12" t="s">
        <v>58</v>
      </c>
    </row>
    <row r="13" spans="1:12"/>
    <row r="14" spans="1:12"/>
    <row r="15" spans="1:12"/>
    <row r="16" spans="1:12">
      <c r="A16" s="36"/>
    </row>
    <row r="17" spans="1:12">
      <c r="B17" s="178"/>
      <c r="C17" s="179"/>
      <c r="D17" s="44"/>
      <c r="J17" s="178"/>
      <c r="K17" s="179"/>
      <c r="L17" s="44"/>
    </row>
    <row r="18" spans="1:12">
      <c r="B18" s="178"/>
      <c r="C18" s="179"/>
      <c r="D18" s="179"/>
      <c r="J18" s="178"/>
      <c r="K18" s="179"/>
      <c r="L18" s="179"/>
    </row>
    <row r="19" spans="1:12"/>
    <row r="20" spans="1:12">
      <c r="A20" s="179"/>
      <c r="B20" s="179"/>
      <c r="C20" s="179"/>
      <c r="D20" s="44"/>
      <c r="I20" s="179"/>
      <c r="J20" s="179"/>
      <c r="K20" s="179"/>
      <c r="L20" s="44"/>
    </row>
    <row r="21" spans="1:12"/>
    <row r="22" spans="1:12" ht="15.75" customHeight="1"/>
    <row r="23" spans="1:12" ht="15.75" customHeight="1"/>
    <row r="24" spans="1:12" ht="15.75" customHeight="1"/>
    <row r="25" spans="1:12" ht="15.75" customHeight="1"/>
    <row r="26" spans="1:12" ht="15.75" customHeight="1"/>
    <row r="27" spans="1:12" ht="15.75" customHeight="1"/>
    <row r="28" spans="1:12" ht="15.75" customHeight="1">
      <c r="A28" s="128"/>
      <c r="B28" s="148"/>
      <c r="C28" s="9"/>
    </row>
    <row r="29" spans="1:12" ht="15.75" customHeight="1">
      <c r="A29" s="128"/>
      <c r="B29" s="147"/>
      <c r="C29" s="9"/>
    </row>
    <row r="30" spans="1:12" ht="15.75" customHeight="1">
      <c r="A30" s="128"/>
      <c r="B30" s="147"/>
      <c r="C30" s="9"/>
    </row>
    <row r="31" spans="1:12" ht="15.75" customHeight="1"/>
    <row r="32" spans="1: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6">
    <mergeCell ref="B17:C17"/>
    <mergeCell ref="J17:K17"/>
    <mergeCell ref="B18:D18"/>
    <mergeCell ref="J18:L18"/>
    <mergeCell ref="A20:C20"/>
    <mergeCell ref="I20:K20"/>
  </mergeCells>
  <hyperlinks>
    <hyperlink ref="L5" r:id="rId1" xr:uid="{00000000-0004-0000-0500-000000000000}"/>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395B6-A9AB-9F49-940F-662991BA076F}">
  <dimension ref="A1:D26"/>
  <sheetViews>
    <sheetView zoomScale="130" zoomScaleNormal="130" workbookViewId="0">
      <selection activeCell="B8" sqref="B8"/>
    </sheetView>
  </sheetViews>
  <sheetFormatPr baseColWidth="10" defaultRowHeight="15"/>
  <cols>
    <col min="1" max="1" width="101" customWidth="1"/>
  </cols>
  <sheetData>
    <row r="1" spans="1:4">
      <c r="A1" s="154" t="s">
        <v>494</v>
      </c>
    </row>
    <row r="2" spans="1:4">
      <c r="A2" s="153" t="s">
        <v>495</v>
      </c>
      <c r="B2" s="155" t="s">
        <v>496</v>
      </c>
      <c r="D2" s="154"/>
    </row>
    <row r="3" spans="1:4">
      <c r="A3" s="154" t="s">
        <v>497</v>
      </c>
    </row>
    <row r="4" spans="1:4">
      <c r="A4" s="154" t="s">
        <v>498</v>
      </c>
    </row>
    <row r="5" spans="1:4">
      <c r="A5" s="154" t="s">
        <v>499</v>
      </c>
    </row>
    <row r="6" spans="1:4">
      <c r="A6" s="154" t="s">
        <v>500</v>
      </c>
      <c r="B6" s="154">
        <v>432</v>
      </c>
      <c r="C6" s="154" t="s">
        <v>501</v>
      </c>
    </row>
    <row r="7" spans="1:4">
      <c r="A7" s="154"/>
      <c r="B7" s="154">
        <v>45.1</v>
      </c>
      <c r="C7" s="154" t="s">
        <v>502</v>
      </c>
      <c r="D7" s="154" t="s">
        <v>542</v>
      </c>
    </row>
    <row r="8" spans="1:4">
      <c r="A8" s="157" t="s">
        <v>503</v>
      </c>
      <c r="B8" s="158">
        <f>B6/300</f>
        <v>1.44</v>
      </c>
      <c r="C8" s="158" t="s">
        <v>501</v>
      </c>
    </row>
    <row r="9" spans="1:4">
      <c r="A9" s="154"/>
    </row>
    <row r="10" spans="1:4">
      <c r="A10" s="153" t="s">
        <v>504</v>
      </c>
      <c r="B10" s="155" t="s">
        <v>505</v>
      </c>
    </row>
    <row r="11" spans="1:4">
      <c r="A11" s="161" t="s">
        <v>506</v>
      </c>
    </row>
    <row r="12" spans="1:4">
      <c r="A12" s="154" t="s">
        <v>507</v>
      </c>
    </row>
    <row r="13" spans="1:4">
      <c r="A13" s="158" t="s">
        <v>508</v>
      </c>
      <c r="B13" s="158">
        <v>84</v>
      </c>
      <c r="C13" s="158" t="s">
        <v>509</v>
      </c>
    </row>
    <row r="15" spans="1:4">
      <c r="A15" s="153" t="s">
        <v>510</v>
      </c>
      <c r="B15" s="155" t="s">
        <v>511</v>
      </c>
    </row>
    <row r="16" spans="1:4">
      <c r="A16" s="154" t="s">
        <v>512</v>
      </c>
    </row>
    <row r="18" spans="1:2">
      <c r="A18" s="153" t="s">
        <v>513</v>
      </c>
      <c r="B18" s="155" t="s">
        <v>514</v>
      </c>
    </row>
    <row r="19" spans="1:2">
      <c r="A19" s="154" t="s">
        <v>543</v>
      </c>
    </row>
    <row r="21" spans="1:2">
      <c r="A21" s="158" t="s">
        <v>515</v>
      </c>
      <c r="B21" s="162">
        <v>0</v>
      </c>
    </row>
    <row r="22" spans="1:2">
      <c r="A22" s="154" t="s">
        <v>516</v>
      </c>
    </row>
    <row r="24" spans="1:2">
      <c r="A24" s="154" t="s">
        <v>544</v>
      </c>
    </row>
    <row r="25" spans="1:2">
      <c r="A25" s="155" t="s">
        <v>517</v>
      </c>
    </row>
    <row r="26" spans="1:2">
      <c r="A26" s="155" t="s">
        <v>518</v>
      </c>
    </row>
  </sheetData>
  <hyperlinks>
    <hyperlink ref="B2" r:id="rId1" xr:uid="{FE8E61F3-EEB9-8A4A-B8D1-DA8F2EC2DB5B}"/>
    <hyperlink ref="B10" r:id="rId2" xr:uid="{6586F0D9-EE52-484A-868F-649700D7C4BD}"/>
    <hyperlink ref="B15" r:id="rId3" xr:uid="{3379979C-195E-FA4B-84E0-C22D8508C4EF}"/>
    <hyperlink ref="B18" r:id="rId4" xr:uid="{5CEAB30F-4E8B-6A47-9429-17DCC9DF2D7B}"/>
    <hyperlink ref="A25" r:id="rId5" xr:uid="{6AEB8D41-1A70-2F43-91AA-C971AA2A11F6}"/>
    <hyperlink ref="A26" r:id="rId6" xr:uid="{70EDF587-C731-964B-9FE9-4F02D73C3FC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Overview</vt:lpstr>
      <vt:lpstr>Carbon Footprint Life Cycle</vt:lpstr>
      <vt:lpstr>Energy compare</vt:lpstr>
      <vt:lpstr>Rewilding</vt:lpstr>
      <vt:lpstr>Fuel</vt:lpstr>
      <vt:lpstr>Water</vt:lpstr>
      <vt:lpstr>Waste</vt:lpstr>
      <vt:lpstr>Food Miles</vt:lpstr>
      <vt:lpstr>Fertiliser</vt:lpstr>
      <vt:lpstr>Growing Media</vt:lpstr>
      <vt:lpstr>Pesticide Manufacture</vt:lpstr>
      <vt:lpstr>Energy Consumption</vt:lpstr>
      <vt:lpstr>Light Alternatives</vt:lpstr>
      <vt:lpstr>Human Respiration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Wagner, Iris [iwa]</dc:creator>
  <cp:lastModifiedBy>Francis Baumont De Oliveira</cp:lastModifiedBy>
  <dcterms:created xsi:type="dcterms:W3CDTF">2019-06-18T11:12:32Z</dcterms:created>
  <dcterms:modified xsi:type="dcterms:W3CDTF">2022-10-20T09:43:13Z</dcterms:modified>
</cp:coreProperties>
</file>