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drawings/drawing2.xml" ContentType="application/vnd.openxmlformats-officedocument.drawing+xml"/>
  <Override PartName="/xl/comments3.xml" ContentType="application/vnd.openxmlformats-officedocument.spreadsheetml.comments+xml"/>
  <Override PartName="/xl/charts/chart6.xml" ContentType="application/vnd.openxmlformats-officedocument.drawingml.chart+xml"/>
  <Override PartName="/xl/charts/style1.xml" ContentType="application/vnd.ms-office.chartstyle+xml"/>
  <Override PartName="/xl/charts/colors1.xml" ContentType="application/vnd.ms-office.chartcolorstyle+xml"/>
  <Override PartName="/xl/charts/chart7.xml" ContentType="application/vnd.openxmlformats-officedocument.drawingml.chart+xml"/>
  <Override PartName="/xl/charts/style2.xml" ContentType="application/vnd.ms-office.chartstyle+xml"/>
  <Override PartName="/xl/charts/colors2.xml" ContentType="application/vnd.ms-office.chartcolorstyle+xml"/>
  <Override PartName="/xl/charts/chart8.xml" ContentType="application/vnd.openxmlformats-officedocument.drawingml.chart+xml"/>
  <Override PartName="/xl/charts/style3.xml" ContentType="application/vnd.ms-office.chartstyle+xml"/>
  <Override PartName="/xl/charts/colors3.xml" ContentType="application/vnd.ms-office.chartcolorstyle+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charts/chart9.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Francis/PycharmProjects/VerticalFarming/"/>
    </mc:Choice>
  </mc:AlternateContent>
  <xr:revisionPtr revIDLastSave="0" documentId="13_ncr:1_{0E08E71C-2827-744A-B891-B5D508FA9B30}" xr6:coauthVersionLast="47" xr6:coauthVersionMax="47" xr10:uidLastSave="{00000000-0000-0000-0000-000000000000}"/>
  <bookViews>
    <workbookView xWindow="1580" yWindow="700" windowWidth="33600" windowHeight="20340" activeTab="3" xr2:uid="{00000000-000D-0000-FFFF-FFFF00000000}"/>
  </bookViews>
  <sheets>
    <sheet name="Inputs" sheetId="14" r:id="rId1"/>
    <sheet name="Summary" sheetId="1" r:id="rId2"/>
    <sheet name="Overview" sheetId="2" r:id="rId3"/>
    <sheet name="CapEx Breakdown" sheetId="11" r:id="rId4"/>
    <sheet name="Consumables" sheetId="3" r:id="rId5"/>
    <sheet name="Database" sheetId="6" r:id="rId6"/>
    <sheet name="Risks" sheetId="15" r:id="rId7"/>
    <sheet name="Production Technologies" sheetId="10" r:id="rId8"/>
  </sheets>
  <definedNames>
    <definedName name="_xlnm._FilterDatabase" localSheetId="5" hidden="1">Database!$A$7:$Z$64</definedName>
    <definedName name="admin_count_y1">Overview!$F$141</definedName>
    <definedName name="admin_count_y2">Overview!$G$141</definedName>
    <definedName name="admin_msalary">Overview!$B$129</definedName>
    <definedName name="automation_level">Overview!$B$33</definedName>
    <definedName name="avg_revenue_full">Overview!$C$28</definedName>
    <definedName name="avg_revenue_pilot">Overview!$B$28</definedName>
    <definedName name="avg_yield_full">Overview!$C$27</definedName>
    <definedName name="avg_yield_pilot">Overview!$B$27</definedName>
    <definedName name="biosecurity_level">Overview!$B$51</definedName>
    <definedName name="business_model">Overview!$B$31</definedName>
    <definedName name="ceiling_height">Overview!$B$41</definedName>
    <definedName name="ceo_count_y1">Overview!$F$133</definedName>
    <definedName name="ceo_count_y2">Overview!$G$133</definedName>
    <definedName name="ceo_msalary">Overview!$B$123</definedName>
    <definedName name="climate_control">Overview!$B$34</definedName>
    <definedName name="co2_enrichment">Overview!$B$44</definedName>
    <definedName name="construction_cost">Overview!$B$65</definedName>
    <definedName name="crop_total_percent">Overview!$L$17</definedName>
    <definedName name="crop_typ1">Overview!$H$16</definedName>
    <definedName name="crop_typ2">Overview!$I$16</definedName>
    <definedName name="crop_typ3">Overview!$J$16</definedName>
    <definedName name="crop_typ4">Overview!$K$16</definedName>
    <definedName name="crop1_ayield_full">Overview!$H$41</definedName>
    <definedName name="crop1_ayield_pilot">Overview!$H$40</definedName>
    <definedName name="crop1_brevenue_full">Overview!$H$29</definedName>
    <definedName name="crop1_brevenue_pilot">Overview!$H$28</definedName>
    <definedName name="crop1_byield_full">Overview!$H$27</definedName>
    <definedName name="crop1_byield_pilot">Overview!$H$26</definedName>
    <definedName name="crop1_co2f">Overview!$H$38</definedName>
    <definedName name="crop1_cost">Overview!$H$34</definedName>
    <definedName name="crop1_customer_percent">Overview!$H$23</definedName>
    <definedName name="crop1_harvest_cycle">Overview!$H$20</definedName>
    <definedName name="crop1_harvest_weight">Overview!$H$21</definedName>
    <definedName name="crop1_lightf">Overview!$H$37</definedName>
    <definedName name="crop1_nutrientf">Overview!$H$36</definedName>
    <definedName name="crop1_percent">Overview!$H$17</definedName>
    <definedName name="crop1_photoperiod">Overview!$H$19</definedName>
    <definedName name="crop1_plants_full">Overview!$H$31</definedName>
    <definedName name="crop1_plants_pilot">Overview!$H$30</definedName>
    <definedName name="crop1_pq">Overview!$H$39</definedName>
    <definedName name="crop1_price1">Overview!$H$24</definedName>
    <definedName name="crop1_price2">Overview!$H$25</definedName>
    <definedName name="crop1_product_weight">Overview!$H$22</definedName>
    <definedName name="crop1_racks_full">Overview!$H$43</definedName>
    <definedName name="crop1_racks_pilot">Overview!$H$42</definedName>
    <definedName name="crop1_seeds_cost_full">Overview!$H$33</definedName>
    <definedName name="crop1_seeds_cost_pilot">Overview!$H$32</definedName>
    <definedName name="crop1_system">Overview!$H$18</definedName>
    <definedName name="crop1_tempf">Overview!$H$35</definedName>
    <definedName name="crop2_ayield_full">Overview!$I$41</definedName>
    <definedName name="crop2_ayield_pilot">Overview!$I$40</definedName>
    <definedName name="crop2_brevenue_full">Overview!$I$29</definedName>
    <definedName name="crop2_brevenue_pilot">Overview!$I$28</definedName>
    <definedName name="crop2_byield_full">Overview!$I$27</definedName>
    <definedName name="crop2_byield_pilot">Overview!$I$26</definedName>
    <definedName name="crop2_co2f">Overview!$I$38</definedName>
    <definedName name="crop2_cost">Overview!$I$34</definedName>
    <definedName name="crop2_customer_percent">Overview!$I$23</definedName>
    <definedName name="crop2_harvest_cycle">Overview!$I$20</definedName>
    <definedName name="crop2_harvest_weight">Overview!$I$21</definedName>
    <definedName name="crop2_lightf">Overview!$I$37</definedName>
    <definedName name="crop2_nutrientf">Overview!$I$36</definedName>
    <definedName name="crop2_percent">Overview!$I$17</definedName>
    <definedName name="crop2_photoperiod">Overview!$I$19</definedName>
    <definedName name="crop2_plants_full">Overview!$I$31</definedName>
    <definedName name="crop2_plants_pilot">Overview!$I$30</definedName>
    <definedName name="crop2_pq">Overview!$I$39</definedName>
    <definedName name="crop2_price1">Overview!$I$24</definedName>
    <definedName name="crop2_price2">Overview!$I$25</definedName>
    <definedName name="crop2_product_weight">Overview!$I$22</definedName>
    <definedName name="crop2_racks_full">Overview!$I$43</definedName>
    <definedName name="crop2_racks_pilot">Overview!$I$42</definedName>
    <definedName name="crop2_seeds_cost_full">Overview!$I$33</definedName>
    <definedName name="crop2_seeds_cost_pilot">Overview!$I$32</definedName>
    <definedName name="crop2_system">Overview!$I$18</definedName>
    <definedName name="crop2_tempf">Overview!$I$35</definedName>
    <definedName name="crop3_ayield_full">Overview!$J$41</definedName>
    <definedName name="crop3_ayield_pilot">Overview!$J$40</definedName>
    <definedName name="crop3_brevenue_full">Overview!$J$29</definedName>
    <definedName name="crop3_brevenue_pilot">Overview!$J$28</definedName>
    <definedName name="crop3_byield_full">Overview!$J$27</definedName>
    <definedName name="crop3_byield_pilot">Overview!$J$26</definedName>
    <definedName name="crop3_co2f">Overview!$J$38</definedName>
    <definedName name="crop3_cost">Overview!$J$34</definedName>
    <definedName name="crop3_customer_percent">Overview!$J$23</definedName>
    <definedName name="crop3_harvest_cycle">Overview!$J$20</definedName>
    <definedName name="crop3_harvest_weight">Overview!$J$21</definedName>
    <definedName name="crop3_lightf">Overview!$J$37</definedName>
    <definedName name="crop3_nutrientf">Overview!$J$36</definedName>
    <definedName name="crop3_percent">Overview!$J$17</definedName>
    <definedName name="crop3_photoperiod">Overview!$J$19</definedName>
    <definedName name="crop3_plants_full">Overview!$J$31</definedName>
    <definedName name="crop3_plants_pilot">Overview!$J$30</definedName>
    <definedName name="crop3_pq">Overview!$J$39</definedName>
    <definedName name="crop3_price1">Overview!$J$24</definedName>
    <definedName name="crop3_price2">Overview!$J$25</definedName>
    <definedName name="crop3_product_weight">Overview!$J$22</definedName>
    <definedName name="crop3_racks_full">Overview!$J$43</definedName>
    <definedName name="crop3_racks_pilot">Overview!$J$42</definedName>
    <definedName name="crop3_seeds_cost_full">Overview!$J$33</definedName>
    <definedName name="crop3_seeds_cost_pilot">Overview!$J$32</definedName>
    <definedName name="crop3_system">Overview!$J$18</definedName>
    <definedName name="crop3_tempf">Overview!$J$35</definedName>
    <definedName name="crop4_ayield_full">Overview!$K$41</definedName>
    <definedName name="crop4_ayield_pilot">Overview!$K$40</definedName>
    <definedName name="crop4_brevenue_full">Overview!$K$29</definedName>
    <definedName name="crop4_brevenue_pilot">Overview!$K$28</definedName>
    <definedName name="crop4_byield_full">Overview!$K$27</definedName>
    <definedName name="crop4_byield_pilot">Overview!$K$26</definedName>
    <definedName name="crop4_co2f">Overview!$K$38</definedName>
    <definedName name="crop4_cost">Overview!$K$34</definedName>
    <definedName name="crop4_customer_percent">Overview!$K$23</definedName>
    <definedName name="crop4_harvest_cycle">Overview!$K$20</definedName>
    <definedName name="crop4_harvest_weight">Overview!$K$21</definedName>
    <definedName name="crop4_lightf">Overview!$K$37</definedName>
    <definedName name="crop4_nutrientf">Overview!$K$36</definedName>
    <definedName name="crop4_percent">Overview!$K$17</definedName>
    <definedName name="crop4_photoperiod">Overview!$K$19</definedName>
    <definedName name="crop4_plants_full">Overview!$K$31</definedName>
    <definedName name="crop4_plants_pilot">Overview!$K$30</definedName>
    <definedName name="crop4_pq">Overview!$K$39</definedName>
    <definedName name="crop4_price1">Overview!$K$24</definedName>
    <definedName name="crop4_price2">Overview!$K$25</definedName>
    <definedName name="crop4_product_weight">Overview!$K$22</definedName>
    <definedName name="crop4_racks_full">Overview!$K$43</definedName>
    <definedName name="crop4_racks_pilot">Overview!$K$42</definedName>
    <definedName name="crop4_seeds_cost_full">Overview!$K$33</definedName>
    <definedName name="crop4_seeds_cost_pilot">Overview!$K$32</definedName>
    <definedName name="crop4_system">Overview!$K$18</definedName>
    <definedName name="crop4_tempf">Overview!$K$35</definedName>
    <definedName name="currency">Overview!$B$12</definedName>
    <definedName name="daily_energy_consumption">Overview!$B$47</definedName>
    <definedName name="delivery_count_y1">Overview!$F$139</definedName>
    <definedName name="delivery_count_y2">Overview!$G$139</definedName>
    <definedName name="delivery_full">Overview!$C$25</definedName>
    <definedName name="delivery_msalary">Overview!$B$117</definedName>
    <definedName name="delivery_pilot">Overview!$B$25</definedName>
    <definedName name="education_avg_revenue_y1">Overview!$F$80</definedName>
    <definedName name="education_avg_revenue_y2">Overview!$G$80</definedName>
    <definedName name="education_multiplier">Overview!$C$80</definedName>
    <definedName name="electricity_price">Overview!$B$48</definedName>
    <definedName name="energy_type">Overview!$B$54</definedName>
    <definedName name="equipment_cost">Overview!$B$66</definedName>
    <definedName name="facility_size_full">Overview!$C$16</definedName>
    <definedName name="facility_size_pilot">Overview!$B$16</definedName>
    <definedName name="farm_type">Overview!$B$30</definedName>
    <definedName name="farmhand_count_y1">Overview!$F$140</definedName>
    <definedName name="farmhand_count_y2">Overview!$G$140</definedName>
    <definedName name="farmhand_msalary">Overview!$B$118</definedName>
    <definedName name="grant_revenue_y1">Overview!$H$83</definedName>
    <definedName name="grant_revenue_y10">Overview!$Q$83</definedName>
    <definedName name="grant_revenue_y11">Overview!$R$83</definedName>
    <definedName name="grant_revenue_y12">Overview!$S$83</definedName>
    <definedName name="grant_revenue_y13">Overview!$T$83</definedName>
    <definedName name="grant_revenue_y14">Overview!$U$83</definedName>
    <definedName name="grant_revenue_y15">Overview!$V$83</definedName>
    <definedName name="grant_revenue_y2">Overview!$I$83</definedName>
    <definedName name="grant_revenue_y3">Overview!$J$83</definedName>
    <definedName name="grant_revenue_y4">Overview!$K$83</definedName>
    <definedName name="grant_revenue_y5">Overview!$L$83</definedName>
    <definedName name="grant_revenue_y6">Overview!$M$83</definedName>
    <definedName name="grant_revenue_y7">Overview!$N$83</definedName>
    <definedName name="grant_revenue_y8">Overview!$O$83</definedName>
    <definedName name="grant_revenue_y9">Overview!$P$83</definedName>
    <definedName name="grower_exp">Overview!$B$32</definedName>
    <definedName name="growing_area_full">Overview!$C$18</definedName>
    <definedName name="growing_area_mulitplier">Overview!$B$22</definedName>
    <definedName name="growing_area_pilot">Overview!$B$18</definedName>
    <definedName name="growing_levels_full">Overview!$C$19</definedName>
    <definedName name="growing_levels_pilot">Overview!$B$19</definedName>
    <definedName name="growing_media">Overview!$B$40</definedName>
    <definedName name="hgrower_count_y1">Overview!$F$134</definedName>
    <definedName name="hgrower_count_y2">Overview!$G$134</definedName>
    <definedName name="hgrower_msalary">Overview!$B$124</definedName>
    <definedName name="hospitality_avg_revenue_y1">Overview!$F$82</definedName>
    <definedName name="hospitality_avg_revenue_y2">Overview!$G$82</definedName>
    <definedName name="hospitality_multiplier">Overview!$C$82</definedName>
    <definedName name="insulation_level">Overview!$B$42</definedName>
    <definedName name="insultation_level">Overview!$B$42</definedName>
    <definedName name="insurance_full">Overview!$G$101</definedName>
    <definedName name="insurance_pilot">Overview!$F$101</definedName>
    <definedName name="ipm">Overview!$B$52</definedName>
    <definedName name="labour_improvement">Overview!$B$49</definedName>
    <definedName name="light_qty">Overview!$C$38</definedName>
    <definedName name="light_system">Overview!$B$38</definedName>
    <definedName name="lighting_control">Overview!$B$35</definedName>
    <definedName name="loan_amount">Overview!$B$57</definedName>
    <definedName name="loan_interest">Overview!$B$59</definedName>
    <definedName name="loan_tenure">Overview!$B$60</definedName>
    <definedName name="loan_type">Overview!$B$61</definedName>
    <definedName name="m1_wa_sales">Overview!$F$75</definedName>
    <definedName name="m1_wa_yield_crop1">Overview!$F$71</definedName>
    <definedName name="m1_wa_yield_crop2">Overview!$F$72</definedName>
    <definedName name="m1_wa_yield_crop3">Overview!$F$73</definedName>
    <definedName name="m1_wa_yield_crop4">Overview!$F$74</definedName>
    <definedName name="m2_wa_sales">Overview!$G$75</definedName>
    <definedName name="m2_wa_yield_crop1">Overview!$G$71</definedName>
    <definedName name="m2_wa_yield_crop2">Overview!$G$72</definedName>
    <definedName name="m2_wa_yield_crop3">Overview!$G$73</definedName>
    <definedName name="m2_wa_yield_crop4">Overview!$G$74</definedName>
    <definedName name="manager_count_y1">Overview!$F$138</definedName>
    <definedName name="manager_count_y2">Overview!$G$138</definedName>
    <definedName name="manager_msalary">Overview!$B$128</definedName>
    <definedName name="marketer_count_y1">Overview!$F$135</definedName>
    <definedName name="marketer_count_y2">Overview!$G$135</definedName>
    <definedName name="marketer_msalary">Overview!$B$125</definedName>
    <definedName name="metric_CO2_emitted">Overview!$G$55</definedName>
    <definedName name="metric_CO2_mitigated">Overview!$G$56</definedName>
    <definedName name="metric_CO2_net">Overview!$G$57</definedName>
    <definedName name="metric_energy">Overview!$G$50</definedName>
    <definedName name="metric_labour">Overview!$G$51</definedName>
    <definedName name="metric_nutrients">Overview!$G$53</definedName>
    <definedName name="metric_plants">Overview!$G$58</definedName>
    <definedName name="metric_space">Overview!$I$49</definedName>
    <definedName name="metric_volume">Overview!$G$54</definedName>
    <definedName name="metric_water">Overview!$G$52</definedName>
    <definedName name="metric_yield">Overview!$G$49</definedName>
    <definedName name="monthly_distribution_y1">Overview!$F$102</definedName>
    <definedName name="monthly_distribution_y2">Overview!$G$102</definedName>
    <definedName name="monthly_rent_y1">Overview!$F$98</definedName>
    <definedName name="monthly_rent_y2">Overview!$G$98</definedName>
    <definedName name="no_lights_full">Overview!$C$23</definedName>
    <definedName name="no_lights_pilot">Overview!$B$23</definedName>
    <definedName name="normal">Overview!$L$49</definedName>
    <definedName name="normal_CO2">Overview!$K$55</definedName>
    <definedName name="normal_CO2_emit">Overview!$K$56</definedName>
    <definedName name="normal_CO2_net">Overview!$K$57</definedName>
    <definedName name="normal_energy">Overview!$K$50</definedName>
    <definedName name="normal_labour">Overview!$K$51</definedName>
    <definedName name="normal_nutrient">Overview!$K$53</definedName>
    <definedName name="normal_space">Overview!$K$49</definedName>
    <definedName name="normal_volume">Overview!$K$54</definedName>
    <definedName name="normal_water">Overview!$K$52</definedName>
    <definedName name="nutrient_control">Overview!$B$36</definedName>
    <definedName name="other_costs_full">Overview!$C$26</definedName>
    <definedName name="other_costs_pilot">Overview!$B$26</definedName>
    <definedName name="packaging_cost_full">Overview!$C$24</definedName>
    <definedName name="packaging_cost_pilot">Overview!$B$24</definedName>
    <definedName name="part">Overview!$B$119</definedName>
    <definedName name="parttime_count_y1">Overview!$F$142</definedName>
    <definedName name="parttime_count_y2">Overview!$G$142</definedName>
    <definedName name="parttime_wage">Overview!$B$119</definedName>
    <definedName name="parttime_wages">Overview!$B$119</definedName>
    <definedName name="percent_production_area_full">Overview!$C$17</definedName>
    <definedName name="percent_production_area_pilot">Overview!$B$17</definedName>
    <definedName name="percentage_renewable_energy">Overview!$B$50</definedName>
    <definedName name="pest_detection">Overview!$B$53</definedName>
    <definedName name="plant_sites">Overview!$B$39</definedName>
    <definedName name="production_area_full">Overview!$C$17</definedName>
    <definedName name="production_area_pilot">Overview!$B$17</definedName>
    <definedName name="productivity_CO2">Overview!$I$55</definedName>
    <definedName name="productivity_CO2_omit">Overview!$I$56</definedName>
    <definedName name="productivity_energy">Overview!$I$50</definedName>
    <definedName name="productivity_labour">Overview!$I$51</definedName>
    <definedName name="productivity_nutrient">Overview!$I$53</definedName>
    <definedName name="productivity_plants">Overview!$I$58</definedName>
    <definedName name="productivity_volume">Overview!$I$54</definedName>
    <definedName name="productivity_water">Overview!$I$52</definedName>
    <definedName name="produticity_net_CO2">Overview!$I$57</definedName>
    <definedName name="reserve_fund">Overview!$B$68</definedName>
    <definedName name="roof_type">Overview!$B$43</definedName>
    <definedName name="salesperson_count_y1">Overview!$F$137</definedName>
    <definedName name="salesperson_count_y2">Overview!$G$137</definedName>
    <definedName name="salesperson_msalary">Overview!$B$127</definedName>
    <definedName name="scientist_count_y1">Overview!$F$136</definedName>
    <definedName name="scientist_count_y2">Overview!$G$136</definedName>
    <definedName name="scientist_msalary">Overview!$B$126</definedName>
    <definedName name="stacked_growing_area_full">Overview!$C$20</definedName>
    <definedName name="stacked_growing_area_pilot">Overview!$B$20</definedName>
    <definedName name="start_date">Overview!$B$13</definedName>
    <definedName name="structure_type">Overview!$B$45</definedName>
    <definedName name="system_quantity">Overview!$C$37</definedName>
    <definedName name="system_type">Overview!$B$37</definedName>
    <definedName name="target_productivity_CO2">Overview!$J$55</definedName>
    <definedName name="target_productivity_CO2_net">Overview!$J$57</definedName>
    <definedName name="target_productivity_CO2_omitted">Overview!$J$56</definedName>
    <definedName name="target_productivity_energy">Overview!$J$50</definedName>
    <definedName name="target_productivity_labour">Overview!$J$51</definedName>
    <definedName name="target_productivity_nutrients">Overview!$J$53</definedName>
    <definedName name="target_productivity_plants">Overview!$J$58</definedName>
    <definedName name="target_productivity_space">Overview!$J$49</definedName>
    <definedName name="target_productivity_volume">Overview!$J$54</definedName>
    <definedName name="target_productivity_water">Overview!$J$52</definedName>
    <definedName name="tax_rate">Overview!$B$58</definedName>
    <definedName name="total_brevenue_full">Overview!$L$29</definedName>
    <definedName name="total_brevenue_pilot">Overview!$L$28</definedName>
    <definedName name="total_byield_full">Overview!$L$27</definedName>
    <definedName name="total_byield_pilot">Overview!$L$26</definedName>
    <definedName name="total_capex">Overview!$B$67</definedName>
    <definedName name="total_headcount_y1">Overview!$F$143</definedName>
    <definedName name="total_headcount_y2">Overview!$G$143</definedName>
    <definedName name="total_plants_full">Overview!$L$31</definedName>
    <definedName name="total_plants_pilot">Overview!$L$30</definedName>
    <definedName name="tourism_avg_revenue_y1">Overview!$F$81</definedName>
    <definedName name="tourism_avg_revenue_y2">Overview!$G$81</definedName>
    <definedName name="tourism_multiplier">Overview!$C$81</definedName>
    <definedName name="vadded_avg_revenue_y1">Overview!$F$79</definedName>
    <definedName name="vadded_avg_revenue_y2">Overview!$G$79</definedName>
    <definedName name="vadded_products_multiplier">Overview!$C$79</definedName>
    <definedName name="water_price">Overview!$B$46</definedName>
    <definedName name="weight_unit">Overview!$B$21</definedName>
    <definedName name="y1_wa_sales">Overview!$H$75</definedName>
    <definedName name="y1_wa_yield_crop1">Overview!$H$71</definedName>
    <definedName name="y1_wa_yield_crop2">Overview!$H$72</definedName>
    <definedName name="y1_wa_yield_crop3">Overview!$H$73</definedName>
    <definedName name="y1_wa_yield_crop4">Overview!$H$74</definedName>
    <definedName name="y2_wa_sales">Overview!$I$75</definedName>
    <definedName name="y2_wa_yield_crop1">Overview!$I$71</definedName>
    <definedName name="y2_wa_yield_crop2">Overview!$I$72</definedName>
    <definedName name="y2_wa_yield_crop3">Overview!$I$73</definedName>
    <definedName name="y2_wa_yield_crop4">Overview!$I$74</definedName>
    <definedName name="y3_wa_sales">Overview!$J$75</definedName>
    <definedName name="y3_wa_yield_crop1">Overview!$J$71</definedName>
    <definedName name="y3_wa_yield_crop2">Overview!$J$72</definedName>
    <definedName name="y3_wa_yield_crop3">Overview!$J$73</definedName>
    <definedName name="y3_wa_yield_crop4">Overview!$J$74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28" i="6" l="1"/>
  <c r="K28" i="6"/>
  <c r="I30" i="6"/>
  <c r="J27" i="6"/>
  <c r="K27" i="6"/>
  <c r="L27" i="6"/>
  <c r="M27" i="6"/>
  <c r="N27" i="6"/>
  <c r="Q27" i="6"/>
  <c r="I17" i="6"/>
  <c r="J13" i="6"/>
  <c r="K13" i="6"/>
  <c r="L13" i="6"/>
  <c r="M13" i="6"/>
  <c r="N13" i="6"/>
  <c r="Q13" i="6"/>
  <c r="I63" i="6"/>
  <c r="I26" i="6"/>
  <c r="I29" i="6"/>
  <c r="C4" i="1"/>
  <c r="D38" i="11"/>
  <c r="P115" i="6"/>
  <c r="O115" i="6"/>
  <c r="N115" i="6"/>
  <c r="M115" i="6"/>
  <c r="L115" i="6"/>
  <c r="K115" i="6"/>
  <c r="J115" i="6"/>
  <c r="I115" i="6"/>
  <c r="H115" i="6"/>
  <c r="G115" i="6"/>
  <c r="F115" i="6"/>
  <c r="E115" i="6"/>
  <c r="D115" i="6"/>
  <c r="B115" i="6"/>
  <c r="C17" i="2"/>
  <c r="B18" i="2"/>
  <c r="I15" i="6" l="1"/>
  <c r="I18" i="6"/>
  <c r="I24" i="6"/>
  <c r="I27" i="6"/>
  <c r="I13" i="6"/>
  <c r="I60" i="6"/>
  <c r="I14" i="6"/>
  <c r="I53" i="6"/>
  <c r="I20" i="6"/>
  <c r="I16" i="6"/>
  <c r="I19" i="6"/>
  <c r="I61" i="6"/>
  <c r="I21" i="6"/>
  <c r="I22" i="6"/>
  <c r="I25" i="6"/>
  <c r="G52" i="2"/>
  <c r="C115" i="6" l="1"/>
  <c r="C116" i="6"/>
  <c r="B116" i="6"/>
  <c r="B114" i="6"/>
  <c r="G119" i="2" l="1"/>
  <c r="B132" i="14" l="1"/>
  <c r="I34" i="11" l="1"/>
  <c r="I33" i="11"/>
  <c r="I32" i="11"/>
  <c r="I31" i="11"/>
  <c r="H34" i="11"/>
  <c r="F34" i="11"/>
  <c r="I101" i="2"/>
  <c r="H101" i="2"/>
  <c r="B148" i="14"/>
  <c r="I171" i="6" l="1"/>
  <c r="B47" i="2" s="1"/>
  <c r="B147" i="14" s="1"/>
  <c r="F142" i="2"/>
  <c r="B146" i="14"/>
  <c r="B145" i="14"/>
  <c r="B144" i="14"/>
  <c r="B143" i="14"/>
  <c r="B142" i="14"/>
  <c r="B141" i="14"/>
  <c r="B140" i="14"/>
  <c r="B139" i="14"/>
  <c r="B138" i="14"/>
  <c r="B137" i="14"/>
  <c r="B136" i="14"/>
  <c r="B135" i="14"/>
  <c r="F33" i="11"/>
  <c r="G143" i="2" l="1"/>
  <c r="F143" i="2"/>
  <c r="F117" i="2"/>
  <c r="F67" i="6"/>
  <c r="C25" i="11"/>
  <c r="H20" i="2"/>
  <c r="I20" i="2"/>
  <c r="B20" i="2" l="1"/>
  <c r="C20" i="2" s="1"/>
  <c r="F119" i="2"/>
  <c r="B134" i="14"/>
  <c r="B141" i="6"/>
  <c r="B140" i="6"/>
  <c r="S138" i="6"/>
  <c r="J138" i="6"/>
  <c r="K138" i="6"/>
  <c r="L138" i="6"/>
  <c r="M138" i="6"/>
  <c r="N138" i="6"/>
  <c r="O138" i="6"/>
  <c r="E138" i="6"/>
  <c r="G138" i="6"/>
  <c r="H138" i="6"/>
  <c r="D138" i="6"/>
  <c r="I26" i="2" l="1"/>
  <c r="J26" i="2"/>
  <c r="H26" i="2"/>
  <c r="H27" i="2"/>
  <c r="I27" i="2"/>
  <c r="J27" i="2"/>
  <c r="C23" i="2"/>
  <c r="F25" i="11"/>
  <c r="B12" i="11"/>
  <c r="B65" i="11"/>
  <c r="B64" i="11"/>
  <c r="B63" i="11"/>
  <c r="B62" i="11"/>
  <c r="B61" i="11"/>
  <c r="B60" i="11" s="1"/>
  <c r="B133" i="14" l="1"/>
  <c r="C12" i="11"/>
  <c r="I67" i="10"/>
  <c r="I71" i="10" s="1"/>
  <c r="I72" i="10" s="1"/>
  <c r="I73" i="10" s="1"/>
  <c r="H67" i="10"/>
  <c r="H68" i="10" s="1"/>
  <c r="H69" i="10" s="1"/>
  <c r="G67" i="10"/>
  <c r="G71" i="10" s="1"/>
  <c r="G72" i="10" s="1"/>
  <c r="G73" i="10" s="1"/>
  <c r="D67" i="10"/>
  <c r="D71" i="10" s="1"/>
  <c r="D72" i="10" s="1"/>
  <c r="D73" i="10" s="1"/>
  <c r="C67" i="10"/>
  <c r="C71" i="10" s="1"/>
  <c r="C72" i="10" s="1"/>
  <c r="C73" i="10" s="1"/>
  <c r="B67" i="10"/>
  <c r="B71" i="10" s="1"/>
  <c r="B72" i="10" s="1"/>
  <c r="B73" i="10" s="1"/>
  <c r="L17" i="15"/>
  <c r="K17" i="15"/>
  <c r="L4" i="15"/>
  <c r="L7" i="15"/>
  <c r="L8" i="15"/>
  <c r="L9" i="15"/>
  <c r="L11" i="15"/>
  <c r="L12" i="15"/>
  <c r="L14" i="15"/>
  <c r="L16" i="15"/>
  <c r="L19" i="15"/>
  <c r="L21" i="15"/>
  <c r="L22" i="15"/>
  <c r="L5" i="15"/>
  <c r="K22" i="15"/>
  <c r="K8" i="15"/>
  <c r="K9" i="15"/>
  <c r="K11" i="15"/>
  <c r="K12" i="15"/>
  <c r="K14" i="15"/>
  <c r="K16" i="15"/>
  <c r="K19" i="15"/>
  <c r="K21" i="15"/>
  <c r="K7" i="15"/>
  <c r="K5" i="15"/>
  <c r="K4" i="15"/>
  <c r="H48" i="11"/>
  <c r="H49" i="11"/>
  <c r="H50" i="11"/>
  <c r="H51" i="11"/>
  <c r="H52" i="11"/>
  <c r="H53" i="11"/>
  <c r="H54" i="11"/>
  <c r="H55" i="11"/>
  <c r="H56" i="11"/>
  <c r="H57" i="11"/>
  <c r="H47" i="11"/>
  <c r="K49" i="11" a="1"/>
  <c r="K49" i="11" s="1"/>
  <c r="G52" i="11" s="1"/>
  <c r="K48" i="11" a="1"/>
  <c r="K48" i="11" s="1"/>
  <c r="F53" i="11" s="1"/>
  <c r="K47" i="11" a="1"/>
  <c r="K47" i="11" s="1"/>
  <c r="D49" i="11" s="1"/>
  <c r="K46" i="11" a="1"/>
  <c r="K46" i="11" s="1"/>
  <c r="E48" i="11" s="1"/>
  <c r="B80" i="11"/>
  <c r="B13" i="11"/>
  <c r="F27" i="11"/>
  <c r="F28" i="11"/>
  <c r="F29" i="11"/>
  <c r="F30" i="11"/>
  <c r="F31" i="11"/>
  <c r="F32" i="11"/>
  <c r="F26" i="11"/>
  <c r="F24" i="11"/>
  <c r="E47" i="11" l="1"/>
  <c r="C13" i="11"/>
  <c r="B68" i="10"/>
  <c r="B69" i="10" s="1"/>
  <c r="D68" i="10"/>
  <c r="D69" i="10" s="1"/>
  <c r="H71" i="10"/>
  <c r="H72" i="10" s="1"/>
  <c r="H73" i="10" s="1"/>
  <c r="C68" i="10"/>
  <c r="C69" i="10" s="1"/>
  <c r="G68" i="10"/>
  <c r="G69" i="10" s="1"/>
  <c r="I68" i="10"/>
  <c r="I69" i="10" s="1"/>
  <c r="D54" i="11"/>
  <c r="D48" i="11"/>
  <c r="E53" i="11"/>
  <c r="F47" i="11"/>
  <c r="F52" i="11"/>
  <c r="C39" i="11" s="1"/>
  <c r="G57" i="11"/>
  <c r="G51" i="11"/>
  <c r="G49" i="11"/>
  <c r="D53" i="11"/>
  <c r="E52" i="11"/>
  <c r="F57" i="11"/>
  <c r="F51" i="11"/>
  <c r="G56" i="11"/>
  <c r="G50" i="11"/>
  <c r="D47" i="11"/>
  <c r="D52" i="11"/>
  <c r="E57" i="11"/>
  <c r="E51" i="11"/>
  <c r="F56" i="11"/>
  <c r="F50" i="11"/>
  <c r="G55" i="11"/>
  <c r="D57" i="11"/>
  <c r="D51" i="11"/>
  <c r="E56" i="11"/>
  <c r="E50" i="11"/>
  <c r="F55" i="11"/>
  <c r="F49" i="11"/>
  <c r="G54" i="11"/>
  <c r="G48" i="11"/>
  <c r="D56" i="11"/>
  <c r="D50" i="11"/>
  <c r="E55" i="11"/>
  <c r="E49" i="11"/>
  <c r="F54" i="11"/>
  <c r="F48" i="11"/>
  <c r="G53" i="11"/>
  <c r="D55" i="11"/>
  <c r="E54" i="11"/>
  <c r="G47" i="11"/>
  <c r="D39" i="11" l="1"/>
  <c r="D24" i="11" s="1"/>
  <c r="B24" i="14" a="1"/>
  <c r="B24" i="14" s="1"/>
  <c r="E39" i="11" l="1"/>
  <c r="B130" i="14"/>
  <c r="B129" i="14"/>
  <c r="B119" i="14" l="1"/>
  <c r="B125" i="14"/>
  <c r="B128" i="14"/>
  <c r="B127" i="14"/>
  <c r="B126" i="14"/>
  <c r="B124" i="14"/>
  <c r="B123" i="14"/>
  <c r="B122" i="14"/>
  <c r="B121" i="14"/>
  <c r="B120" i="14"/>
  <c r="F92" i="2" l="1"/>
  <c r="I119" i="2"/>
  <c r="J119" i="2" s="1"/>
  <c r="H119" i="2"/>
  <c r="K119" i="2" l="1"/>
  <c r="L119" i="2" s="1"/>
  <c r="M119" i="2" s="1"/>
  <c r="N119" i="2" s="1"/>
  <c r="O119" i="2" s="1"/>
  <c r="P119" i="2" s="1"/>
  <c r="Q119" i="2" s="1"/>
  <c r="R119" i="2" s="1"/>
  <c r="S119" i="2" s="1"/>
  <c r="T119" i="2" s="1"/>
  <c r="U119" i="2" s="1"/>
  <c r="V119" i="2" s="1"/>
  <c r="J120" i="2"/>
  <c r="J87" i="2" s="1"/>
  <c r="B10" i="14"/>
  <c r="B96" i="14"/>
  <c r="H107" i="2" l="1"/>
  <c r="B113" i="14"/>
  <c r="B112" i="14"/>
  <c r="I107" i="2" l="1"/>
  <c r="J107" i="2" s="1"/>
  <c r="F107" i="2"/>
  <c r="B18" i="14"/>
  <c r="B17" i="14"/>
  <c r="B16" i="14"/>
  <c r="B2" i="14" l="1"/>
  <c r="B111" i="14" l="1"/>
  <c r="B110" i="14"/>
  <c r="B109" i="14"/>
  <c r="B108" i="14"/>
  <c r="B107" i="14"/>
  <c r="B106" i="14"/>
  <c r="B105" i="14"/>
  <c r="B103" i="14"/>
  <c r="B104" i="14"/>
  <c r="B102" i="14"/>
  <c r="B101" i="14"/>
  <c r="B100" i="14"/>
  <c r="B99" i="14"/>
  <c r="B98" i="14"/>
  <c r="B97" i="14"/>
  <c r="B95" i="14"/>
  <c r="B94" i="14"/>
  <c r="B93" i="14"/>
  <c r="B92" i="14"/>
  <c r="B91" i="14"/>
  <c r="B90" i="14"/>
  <c r="B89" i="14"/>
  <c r="B88" i="14"/>
  <c r="B87" i="14"/>
  <c r="B86" i="14"/>
  <c r="B85" i="14"/>
  <c r="B84" i="14"/>
  <c r="B83" i="14"/>
  <c r="B82" i="14"/>
  <c r="B78" i="14"/>
  <c r="B75" i="14"/>
  <c r="B77" i="14"/>
  <c r="B76" i="14"/>
  <c r="B74" i="14"/>
  <c r="B73" i="14"/>
  <c r="B72" i="14"/>
  <c r="B71" i="14"/>
  <c r="B70" i="14"/>
  <c r="B69" i="14"/>
  <c r="B68" i="14"/>
  <c r="B67" i="14"/>
  <c r="B66" i="14"/>
  <c r="B65" i="14"/>
  <c r="B64" i="14"/>
  <c r="B63" i="14"/>
  <c r="B62" i="14"/>
  <c r="B61" i="14"/>
  <c r="B60" i="14"/>
  <c r="B59" i="14"/>
  <c r="B58" i="14"/>
  <c r="B57" i="14"/>
  <c r="B56" i="14"/>
  <c r="B55" i="14"/>
  <c r="B54" i="14"/>
  <c r="B53" i="14"/>
  <c r="B52" i="14"/>
  <c r="B51" i="14"/>
  <c r="B50" i="14"/>
  <c r="B49" i="14"/>
  <c r="B48" i="14"/>
  <c r="B47" i="14"/>
  <c r="B46" i="14"/>
  <c r="B45" i="14"/>
  <c r="B44" i="14"/>
  <c r="B43" i="14"/>
  <c r="B42" i="14"/>
  <c r="B41" i="14"/>
  <c r="B40" i="14"/>
  <c r="B39" i="14"/>
  <c r="B38" i="14"/>
  <c r="B37" i="14"/>
  <c r="B36" i="14"/>
  <c r="B35" i="14"/>
  <c r="B34" i="14"/>
  <c r="B33" i="14"/>
  <c r="B32" i="14"/>
  <c r="B31" i="14"/>
  <c r="B30" i="14"/>
  <c r="B29" i="14"/>
  <c r="B28" i="14"/>
  <c r="B27" i="14"/>
  <c r="B26" i="14"/>
  <c r="B25" i="14"/>
  <c r="B23" i="14"/>
  <c r="B21" i="14"/>
  <c r="B22" i="14"/>
  <c r="B20" i="14"/>
  <c r="B19" i="14"/>
  <c r="B15" i="14"/>
  <c r="B14" i="14"/>
  <c r="B13" i="14"/>
  <c r="B12" i="14"/>
  <c r="B11" i="14"/>
  <c r="B9" i="14"/>
  <c r="B8" i="14"/>
  <c r="B7" i="14"/>
  <c r="B6" i="14"/>
  <c r="B5" i="14"/>
  <c r="B3" i="14"/>
  <c r="B4" i="14"/>
  <c r="Q156" i="2" l="1"/>
  <c r="A39" i="2" l="1"/>
  <c r="H142" i="2"/>
  <c r="I142" i="2" s="1"/>
  <c r="J142" i="2" l="1"/>
  <c r="K142" i="2" l="1"/>
  <c r="L142" i="2" l="1"/>
  <c r="M142" i="2" l="1"/>
  <c r="N142" i="2" l="1"/>
  <c r="O142" i="2" l="1"/>
  <c r="P142" i="2" l="1"/>
  <c r="Q142" i="2" l="1"/>
  <c r="R142" i="2" l="1"/>
  <c r="S142" i="2" l="1"/>
  <c r="T142" i="2" l="1"/>
  <c r="C29" i="1" l="1"/>
  <c r="E67" i="6"/>
  <c r="B39" i="2" s="1"/>
  <c r="A119" i="3"/>
  <c r="A120" i="3"/>
  <c r="A121" i="3"/>
  <c r="A122"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118" i="3"/>
  <c r="A36" i="3"/>
  <c r="G51" i="2" l="1"/>
  <c r="I11" i="6" l="1"/>
  <c r="I10" i="6"/>
  <c r="J20" i="2"/>
  <c r="K20" i="2"/>
  <c r="C67" i="11" l="1"/>
  <c r="C66" i="11"/>
  <c r="C65" i="11"/>
  <c r="C64" i="11"/>
  <c r="C63" i="11"/>
  <c r="C62" i="11"/>
  <c r="C61" i="11"/>
  <c r="C60" i="11" l="1"/>
  <c r="I38" i="2" l="1"/>
  <c r="J38" i="2"/>
  <c r="K38" i="2"/>
  <c r="H38" i="2"/>
  <c r="I37" i="2"/>
  <c r="J37" i="2"/>
  <c r="K37" i="2"/>
  <c r="H37" i="2"/>
  <c r="H36" i="2"/>
  <c r="I36" i="2"/>
  <c r="J36" i="2"/>
  <c r="K36" i="2"/>
  <c r="I35" i="2"/>
  <c r="J35" i="2"/>
  <c r="K35" i="2"/>
  <c r="H35" i="2"/>
  <c r="H138" i="2"/>
  <c r="I138" i="2" s="1"/>
  <c r="J138" i="2" s="1"/>
  <c r="K138" i="2" s="1"/>
  <c r="L138" i="2" s="1"/>
  <c r="M138" i="2" s="1"/>
  <c r="N138" i="2" s="1"/>
  <c r="O138" i="2" s="1"/>
  <c r="P138" i="2" s="1"/>
  <c r="Q138" i="2" s="1"/>
  <c r="R138" i="2" s="1"/>
  <c r="S138" i="2" s="1"/>
  <c r="T138" i="2" s="1"/>
  <c r="C128" i="2"/>
  <c r="I128" i="2" s="1"/>
  <c r="J128" i="2" s="1"/>
  <c r="K128" i="2" s="1"/>
  <c r="L128" i="2" s="1"/>
  <c r="M128" i="2" s="1"/>
  <c r="N128" i="2" s="1"/>
  <c r="O128" i="2" s="1"/>
  <c r="P128" i="2" s="1"/>
  <c r="Q128" i="2" s="1"/>
  <c r="R128" i="2" s="1"/>
  <c r="S128" i="2" s="1"/>
  <c r="T128" i="2" s="1"/>
  <c r="U128" i="2" s="1"/>
  <c r="V128" i="2" s="1"/>
  <c r="C38" i="2"/>
  <c r="H128" i="2" l="1"/>
  <c r="I39" i="2"/>
  <c r="J39" i="2"/>
  <c r="K39" i="2"/>
  <c r="H39" i="2"/>
  <c r="K19" i="2"/>
  <c r="J19" i="2"/>
  <c r="I19" i="2"/>
  <c r="H19" i="2"/>
  <c r="L17" i="2"/>
  <c r="L19" i="2" l="1"/>
  <c r="F91" i="2" l="1"/>
  <c r="H91" i="2" s="1"/>
  <c r="G50" i="2"/>
  <c r="I91" i="2" s="1"/>
  <c r="G25" i="11"/>
  <c r="H25" i="11" s="1"/>
  <c r="J101" i="2"/>
  <c r="K101" i="2" s="1"/>
  <c r="L101" i="2" s="1"/>
  <c r="M101" i="2" s="1"/>
  <c r="N101" i="2" s="1"/>
  <c r="O101" i="2" s="1"/>
  <c r="P101" i="2" s="1"/>
  <c r="Q101" i="2" s="1"/>
  <c r="R101" i="2" s="1"/>
  <c r="S101" i="2" s="1"/>
  <c r="T101" i="2" s="1"/>
  <c r="U101" i="2" s="1"/>
  <c r="V101" i="2" s="1"/>
  <c r="H82" i="2"/>
  <c r="G118" i="2"/>
  <c r="G117" i="2"/>
  <c r="F118" i="2"/>
  <c r="C123" i="2"/>
  <c r="H98" i="2"/>
  <c r="G79" i="2"/>
  <c r="I79" i="2" s="1"/>
  <c r="G82" i="2"/>
  <c r="I82" i="2" s="1"/>
  <c r="G81" i="2"/>
  <c r="I81" i="2" s="1"/>
  <c r="J81" i="2" s="1"/>
  <c r="K81" i="2" s="1"/>
  <c r="L81" i="2" s="1"/>
  <c r="M81" i="2" s="1"/>
  <c r="N81" i="2" s="1"/>
  <c r="O81" i="2" s="1"/>
  <c r="P81" i="2" s="1"/>
  <c r="Q81" i="2" s="1"/>
  <c r="R81" i="2" s="1"/>
  <c r="S81" i="2" s="1"/>
  <c r="T81" i="2" s="1"/>
  <c r="U81" i="2" s="1"/>
  <c r="V81" i="2" s="1"/>
  <c r="G80" i="2"/>
  <c r="I80" i="2" s="1"/>
  <c r="H80" i="2"/>
  <c r="K26" i="2" l="1"/>
  <c r="K27" i="2"/>
  <c r="G91" i="2"/>
  <c r="J91" i="2"/>
  <c r="J80" i="2"/>
  <c r="I98" i="2"/>
  <c r="G98" i="2" s="1"/>
  <c r="B80" i="14" s="1"/>
  <c r="D67" i="6"/>
  <c r="K80" i="2" l="1"/>
  <c r="G55" i="2"/>
  <c r="I51" i="6"/>
  <c r="I54" i="6"/>
  <c r="L80" i="2" l="1"/>
  <c r="G56" i="2"/>
  <c r="G57" i="2" s="1"/>
  <c r="I58" i="6"/>
  <c r="I57" i="6"/>
  <c r="I62" i="6"/>
  <c r="I59" i="6"/>
  <c r="I55" i="6"/>
  <c r="M80" i="2" l="1"/>
  <c r="I23" i="6"/>
  <c r="I64" i="6"/>
  <c r="I56" i="6"/>
  <c r="I12" i="6"/>
  <c r="N80" i="2" l="1"/>
  <c r="I8" i="6"/>
  <c r="I9" i="6"/>
  <c r="O80" i="2" l="1"/>
  <c r="C33" i="11"/>
  <c r="P80" i="2" l="1"/>
  <c r="B117" i="14"/>
  <c r="C18" i="2"/>
  <c r="G54" i="2"/>
  <c r="Q80" i="2" l="1"/>
  <c r="D60" i="11"/>
  <c r="D62" i="11" s="1"/>
  <c r="I25" i="11"/>
  <c r="I20" i="11"/>
  <c r="R80" i="2" l="1"/>
  <c r="I19" i="11"/>
  <c r="B116" i="14"/>
  <c r="D65" i="11"/>
  <c r="D67" i="11"/>
  <c r="D66" i="11"/>
  <c r="D63" i="11"/>
  <c r="D64" i="11"/>
  <c r="D61" i="11"/>
  <c r="H28" i="11"/>
  <c r="I28" i="11" s="1"/>
  <c r="H26" i="11"/>
  <c r="I26" i="11" s="1"/>
  <c r="H24" i="11"/>
  <c r="H18" i="11"/>
  <c r="I18" i="11" s="1"/>
  <c r="H41" i="2"/>
  <c r="J71" i="2" s="1"/>
  <c r="E34" i="11" l="1"/>
  <c r="E35" i="11"/>
  <c r="S80" i="2"/>
  <c r="H31" i="2"/>
  <c r="G71" i="2"/>
  <c r="H45" i="2" s="1"/>
  <c r="I71" i="2"/>
  <c r="I29" i="2"/>
  <c r="K29" i="2"/>
  <c r="H29" i="2"/>
  <c r="H17" i="11"/>
  <c r="I17" i="11" s="1"/>
  <c r="H16" i="11"/>
  <c r="H27" i="11"/>
  <c r="I27" i="11" s="1"/>
  <c r="H29" i="11"/>
  <c r="H30" i="11"/>
  <c r="I30" i="11" s="1"/>
  <c r="H31" i="11"/>
  <c r="H32" i="11"/>
  <c r="H33" i="11"/>
  <c r="T80" i="2" l="1"/>
  <c r="I29" i="11"/>
  <c r="J29" i="2"/>
  <c r="J41" i="2"/>
  <c r="H28" i="2"/>
  <c r="I41" i="2"/>
  <c r="K41" i="2"/>
  <c r="L27" i="2"/>
  <c r="F108" i="2"/>
  <c r="H108" i="2" s="1"/>
  <c r="H134" i="2"/>
  <c r="I134" i="2" s="1"/>
  <c r="J134" i="2" s="1"/>
  <c r="K134" i="2" s="1"/>
  <c r="L134" i="2" s="1"/>
  <c r="M134" i="2" s="1"/>
  <c r="N134" i="2" s="1"/>
  <c r="O134" i="2" s="1"/>
  <c r="P134" i="2" s="1"/>
  <c r="Q134" i="2" s="1"/>
  <c r="R134" i="2" s="1"/>
  <c r="S134" i="2" s="1"/>
  <c r="T134" i="2" s="1"/>
  <c r="H135" i="2"/>
  <c r="H136" i="2"/>
  <c r="I136" i="2" s="1"/>
  <c r="J136" i="2" s="1"/>
  <c r="K136" i="2" s="1"/>
  <c r="L136" i="2" s="1"/>
  <c r="M136" i="2" s="1"/>
  <c r="N136" i="2" s="1"/>
  <c r="O136" i="2" s="1"/>
  <c r="P136" i="2" s="1"/>
  <c r="Q136" i="2" s="1"/>
  <c r="R136" i="2" s="1"/>
  <c r="S136" i="2" s="1"/>
  <c r="T136" i="2" s="1"/>
  <c r="H137" i="2"/>
  <c r="I137" i="2" s="1"/>
  <c r="J137" i="2" s="1"/>
  <c r="K137" i="2" s="1"/>
  <c r="L137" i="2" s="1"/>
  <c r="M137" i="2" s="1"/>
  <c r="N137" i="2" s="1"/>
  <c r="O137" i="2" s="1"/>
  <c r="P137" i="2" s="1"/>
  <c r="Q137" i="2" s="1"/>
  <c r="R137" i="2" s="1"/>
  <c r="S137" i="2" s="1"/>
  <c r="T137" i="2" s="1"/>
  <c r="H139" i="2"/>
  <c r="I139" i="2" s="1"/>
  <c r="J139" i="2" s="1"/>
  <c r="K139" i="2" s="1"/>
  <c r="L139" i="2" s="1"/>
  <c r="M139" i="2" s="1"/>
  <c r="N139" i="2" s="1"/>
  <c r="O139" i="2" s="1"/>
  <c r="P139" i="2" s="1"/>
  <c r="Q139" i="2" s="1"/>
  <c r="R139" i="2" s="1"/>
  <c r="S139" i="2" s="1"/>
  <c r="T139" i="2" s="1"/>
  <c r="H140" i="2"/>
  <c r="I140" i="2" s="1"/>
  <c r="J140" i="2" s="1"/>
  <c r="K140" i="2" s="1"/>
  <c r="L140" i="2" s="1"/>
  <c r="M140" i="2" s="1"/>
  <c r="N140" i="2" s="1"/>
  <c r="O140" i="2" s="1"/>
  <c r="P140" i="2" s="1"/>
  <c r="Q140" i="2" s="1"/>
  <c r="R140" i="2" s="1"/>
  <c r="S140" i="2" s="1"/>
  <c r="T140" i="2" s="1"/>
  <c r="H141" i="2"/>
  <c r="I141" i="2" s="1"/>
  <c r="J141" i="2" s="1"/>
  <c r="K141" i="2" s="1"/>
  <c r="L141" i="2" s="1"/>
  <c r="M141" i="2" s="1"/>
  <c r="N141" i="2" s="1"/>
  <c r="O141" i="2" s="1"/>
  <c r="P141" i="2" s="1"/>
  <c r="Q141" i="2" s="1"/>
  <c r="R141" i="2" s="1"/>
  <c r="S141" i="2" s="1"/>
  <c r="T141" i="2" s="1"/>
  <c r="H133" i="2"/>
  <c r="C126" i="2"/>
  <c r="E4" i="10"/>
  <c r="F4" i="10"/>
  <c r="G4" i="10"/>
  <c r="O4" i="10"/>
  <c r="P4" i="10"/>
  <c r="Q4" i="10"/>
  <c r="Y4" i="10"/>
  <c r="Z4" i="10"/>
  <c r="AA4" i="10"/>
  <c r="E5" i="10"/>
  <c r="F5" i="10"/>
  <c r="G5" i="10"/>
  <c r="O5" i="10"/>
  <c r="P5" i="10"/>
  <c r="Q5" i="10"/>
  <c r="Y5" i="10"/>
  <c r="Z5" i="10"/>
  <c r="AA5" i="10"/>
  <c r="E6" i="10"/>
  <c r="F6" i="10"/>
  <c r="G6" i="10"/>
  <c r="O6" i="10"/>
  <c r="P6" i="10"/>
  <c r="Q6" i="10"/>
  <c r="Y6" i="10"/>
  <c r="Z6" i="10"/>
  <c r="AA6" i="10"/>
  <c r="E7" i="10"/>
  <c r="F7" i="10"/>
  <c r="G7" i="10"/>
  <c r="O7" i="10"/>
  <c r="P7" i="10"/>
  <c r="Q7" i="10"/>
  <c r="Y7" i="10"/>
  <c r="Z7" i="10"/>
  <c r="AA7" i="10"/>
  <c r="F13" i="10"/>
  <c r="G13" i="10"/>
  <c r="H13" i="10"/>
  <c r="Q13" i="10"/>
  <c r="R13" i="10"/>
  <c r="S13" i="10"/>
  <c r="AB13" i="10"/>
  <c r="AC13" i="10"/>
  <c r="AD13" i="10"/>
  <c r="F14" i="10"/>
  <c r="G14" i="10"/>
  <c r="H14" i="10"/>
  <c r="Q14" i="10"/>
  <c r="R14" i="10"/>
  <c r="S14" i="10"/>
  <c r="AB14" i="10"/>
  <c r="AC14" i="10"/>
  <c r="AD14" i="10"/>
  <c r="F15" i="10"/>
  <c r="G15" i="10"/>
  <c r="H15" i="10"/>
  <c r="Q15" i="10"/>
  <c r="R15" i="10"/>
  <c r="S15" i="10"/>
  <c r="AB15" i="10"/>
  <c r="AC15" i="10"/>
  <c r="AD15" i="10"/>
  <c r="F16" i="10"/>
  <c r="G16" i="10"/>
  <c r="H16" i="10"/>
  <c r="Q16" i="10"/>
  <c r="R16" i="10"/>
  <c r="S16" i="10"/>
  <c r="AB16" i="10"/>
  <c r="AC16" i="10"/>
  <c r="AD16" i="10"/>
  <c r="F21" i="10"/>
  <c r="G21" i="10"/>
  <c r="H21" i="10"/>
  <c r="I21" i="10" s="1"/>
  <c r="J22" i="10" s="1"/>
  <c r="Q21" i="10"/>
  <c r="R21" i="10"/>
  <c r="S21" i="10"/>
  <c r="AB21" i="10"/>
  <c r="AC21" i="10"/>
  <c r="AD21" i="10"/>
  <c r="F22" i="10"/>
  <c r="G22" i="10"/>
  <c r="H22" i="10"/>
  <c r="Q22" i="10"/>
  <c r="R22" i="10"/>
  <c r="S22" i="10"/>
  <c r="AB22" i="10"/>
  <c r="AC22" i="10"/>
  <c r="AD22" i="10"/>
  <c r="F23" i="10"/>
  <c r="G23" i="10"/>
  <c r="H23" i="10"/>
  <c r="J23" i="10"/>
  <c r="Q23" i="10"/>
  <c r="R23" i="10"/>
  <c r="S23" i="10"/>
  <c r="U23" i="10"/>
  <c r="AB23" i="10"/>
  <c r="AC23" i="10"/>
  <c r="AD23" i="10"/>
  <c r="AF23" i="10"/>
  <c r="F24" i="10"/>
  <c r="G24" i="10"/>
  <c r="H24" i="10"/>
  <c r="J24" i="10"/>
  <c r="Q24" i="10"/>
  <c r="R24" i="10"/>
  <c r="S24" i="10"/>
  <c r="U24" i="10"/>
  <c r="AB24" i="10"/>
  <c r="AC24" i="10"/>
  <c r="AD24" i="10"/>
  <c r="AF24" i="10"/>
  <c r="F30" i="10"/>
  <c r="G30" i="10"/>
  <c r="H30" i="10"/>
  <c r="Q30" i="10"/>
  <c r="R30" i="10"/>
  <c r="S30" i="10"/>
  <c r="AB30" i="10"/>
  <c r="AC30" i="10"/>
  <c r="AD30" i="10"/>
  <c r="F31" i="10"/>
  <c r="G31" i="10"/>
  <c r="H31" i="10"/>
  <c r="Q31" i="10"/>
  <c r="R31" i="10"/>
  <c r="S31" i="10"/>
  <c r="AB31" i="10"/>
  <c r="AC31" i="10"/>
  <c r="AD31" i="10"/>
  <c r="F32" i="10"/>
  <c r="G32" i="10"/>
  <c r="H32" i="10"/>
  <c r="J32" i="10"/>
  <c r="Q32" i="10"/>
  <c r="R32" i="10"/>
  <c r="S32" i="10"/>
  <c r="U32" i="10"/>
  <c r="AB32" i="10"/>
  <c r="AC32" i="10"/>
  <c r="AD32" i="10"/>
  <c r="AF32" i="10"/>
  <c r="F33" i="10"/>
  <c r="G33" i="10"/>
  <c r="H33" i="10"/>
  <c r="J33" i="10"/>
  <c r="Q33" i="10"/>
  <c r="R33" i="10"/>
  <c r="S33" i="10"/>
  <c r="U33" i="10"/>
  <c r="AB33" i="10"/>
  <c r="AC33" i="10"/>
  <c r="AD33" i="10"/>
  <c r="AF33" i="10"/>
  <c r="U80" i="2" l="1"/>
  <c r="H143" i="2"/>
  <c r="T13" i="10"/>
  <c r="I15" i="10"/>
  <c r="I30" i="10"/>
  <c r="J31" i="10" s="1"/>
  <c r="AE13" i="10"/>
  <c r="H7" i="10"/>
  <c r="R7" i="10"/>
  <c r="AB6" i="10"/>
  <c r="H6" i="10"/>
  <c r="AE16" i="10"/>
  <c r="I16" i="10"/>
  <c r="T15" i="10"/>
  <c r="AE30" i="10"/>
  <c r="AF31" i="10" s="1"/>
  <c r="AB5" i="10"/>
  <c r="AE21" i="10"/>
  <c r="AF22" i="10" s="1"/>
  <c r="I14" i="10"/>
  <c r="R5" i="10"/>
  <c r="AB4" i="10"/>
  <c r="T30" i="10"/>
  <c r="U31" i="10" s="1"/>
  <c r="T16" i="10"/>
  <c r="AB7" i="10"/>
  <c r="AE15" i="10"/>
  <c r="R6" i="10"/>
  <c r="T21" i="10"/>
  <c r="U22" i="10" s="1"/>
  <c r="H5" i="10"/>
  <c r="I13" i="10"/>
  <c r="H4" i="10"/>
  <c r="T14" i="10"/>
  <c r="U14" i="10" s="1"/>
  <c r="R4" i="10"/>
  <c r="AE14" i="10"/>
  <c r="AF14" i="10" s="1"/>
  <c r="I135" i="2"/>
  <c r="K31" i="2"/>
  <c r="K33" i="2" s="1"/>
  <c r="M74" i="2"/>
  <c r="Q74" i="2"/>
  <c r="U74" i="2"/>
  <c r="N74" i="2"/>
  <c r="R74" i="2"/>
  <c r="V74" i="2"/>
  <c r="J74" i="2"/>
  <c r="K74" i="2"/>
  <c r="O74" i="2"/>
  <c r="S74" i="2"/>
  <c r="G74" i="2"/>
  <c r="K45" i="2" s="1"/>
  <c r="I74" i="2"/>
  <c r="L74" i="2"/>
  <c r="P74" i="2"/>
  <c r="T74" i="2"/>
  <c r="L71" i="2"/>
  <c r="P71" i="2"/>
  <c r="T71" i="2"/>
  <c r="M71" i="2"/>
  <c r="Q71" i="2"/>
  <c r="U71" i="2"/>
  <c r="R71" i="2"/>
  <c r="V71" i="2"/>
  <c r="N71" i="2"/>
  <c r="K71" i="2"/>
  <c r="O71" i="2"/>
  <c r="S71" i="2"/>
  <c r="L41" i="2"/>
  <c r="I31" i="2"/>
  <c r="I33" i="2" s="1"/>
  <c r="L72" i="2"/>
  <c r="P72" i="2"/>
  <c r="T72" i="2"/>
  <c r="M72" i="2"/>
  <c r="Q72" i="2"/>
  <c r="U72" i="2"/>
  <c r="G72" i="2"/>
  <c r="I45" i="2" s="1"/>
  <c r="I72" i="2"/>
  <c r="N72" i="2"/>
  <c r="R72" i="2"/>
  <c r="V72" i="2"/>
  <c r="K72" i="2"/>
  <c r="O72" i="2"/>
  <c r="S72" i="2"/>
  <c r="J72" i="2"/>
  <c r="J31" i="2"/>
  <c r="J33" i="2" s="1"/>
  <c r="L73" i="2"/>
  <c r="P73" i="2"/>
  <c r="T73" i="2"/>
  <c r="M73" i="2"/>
  <c r="Q73" i="2"/>
  <c r="U73" i="2"/>
  <c r="J73" i="2"/>
  <c r="N73" i="2"/>
  <c r="R73" i="2"/>
  <c r="V73" i="2"/>
  <c r="K73" i="2"/>
  <c r="O73" i="2"/>
  <c r="S73" i="2"/>
  <c r="G73" i="2"/>
  <c r="J45" i="2" s="1"/>
  <c r="I73" i="2"/>
  <c r="I133" i="2"/>
  <c r="H33" i="2"/>
  <c r="J28" i="2"/>
  <c r="I28" i="2"/>
  <c r="K28" i="2"/>
  <c r="K40" i="2"/>
  <c r="I40" i="2"/>
  <c r="J40" i="2"/>
  <c r="H40" i="2"/>
  <c r="L26" i="2"/>
  <c r="L29" i="2"/>
  <c r="D16" i="1"/>
  <c r="G108" i="2"/>
  <c r="C129" i="2"/>
  <c r="H129" i="2" s="1"/>
  <c r="C127" i="2"/>
  <c r="H126" i="2"/>
  <c r="C125" i="2"/>
  <c r="H125" i="2" s="1"/>
  <c r="C124" i="2"/>
  <c r="I124" i="2" s="1"/>
  <c r="J124" i="2" s="1"/>
  <c r="K124" i="2" s="1"/>
  <c r="L124" i="2" s="1"/>
  <c r="M124" i="2" s="1"/>
  <c r="N124" i="2" s="1"/>
  <c r="O124" i="2" s="1"/>
  <c r="P124" i="2" s="1"/>
  <c r="Q124" i="2" s="1"/>
  <c r="R124" i="2" s="1"/>
  <c r="S124" i="2" s="1"/>
  <c r="T124" i="2" s="1"/>
  <c r="U124" i="2" s="1"/>
  <c r="V124" i="2" s="1"/>
  <c r="H123" i="2"/>
  <c r="C118" i="2"/>
  <c r="C117" i="2"/>
  <c r="H117" i="2" s="1"/>
  <c r="H92" i="2"/>
  <c r="I92" i="2" s="1"/>
  <c r="J82" i="2"/>
  <c r="H81" i="2"/>
  <c r="H79" i="2"/>
  <c r="J79" i="2" s="1"/>
  <c r="K79" i="2" s="1"/>
  <c r="L79" i="2" s="1"/>
  <c r="M79" i="2" s="1"/>
  <c r="N79" i="2" s="1"/>
  <c r="O79" i="2" s="1"/>
  <c r="P79" i="2" s="1"/>
  <c r="Q79" i="2" s="1"/>
  <c r="R79" i="2" s="1"/>
  <c r="S79" i="2" s="1"/>
  <c r="T79" i="2" s="1"/>
  <c r="U79" i="2" s="1"/>
  <c r="V79" i="2" s="1"/>
  <c r="G102" i="2" l="1"/>
  <c r="B81" i="14" s="1"/>
  <c r="I89" i="2"/>
  <c r="G89" i="2" s="1"/>
  <c r="G88" i="2"/>
  <c r="G49" i="2"/>
  <c r="V80" i="2"/>
  <c r="F71" i="2"/>
  <c r="H44" i="2" s="1"/>
  <c r="H30" i="2"/>
  <c r="J133" i="2"/>
  <c r="I143" i="2"/>
  <c r="C30" i="1"/>
  <c r="O89" i="2"/>
  <c r="G75" i="2"/>
  <c r="C28" i="2" s="1"/>
  <c r="R89" i="2"/>
  <c r="L89" i="2"/>
  <c r="K89" i="2"/>
  <c r="U89" i="2"/>
  <c r="N89" i="2"/>
  <c r="Q89" i="2"/>
  <c r="M89" i="2"/>
  <c r="J89" i="2"/>
  <c r="T89" i="2"/>
  <c r="S89" i="2"/>
  <c r="V89" i="2"/>
  <c r="P89" i="2"/>
  <c r="J92" i="2"/>
  <c r="K92" i="2" s="1"/>
  <c r="L92" i="2" s="1"/>
  <c r="M92" i="2" s="1"/>
  <c r="N92" i="2" s="1"/>
  <c r="O92" i="2" s="1"/>
  <c r="P92" i="2" s="1"/>
  <c r="Q92" i="2" s="1"/>
  <c r="R92" i="2" s="1"/>
  <c r="S92" i="2" s="1"/>
  <c r="T92" i="2" s="1"/>
  <c r="U92" i="2" s="1"/>
  <c r="V92" i="2" s="1"/>
  <c r="L33" i="2"/>
  <c r="S5" i="10"/>
  <c r="AC5" i="10"/>
  <c r="I5" i="10"/>
  <c r="J14" i="10"/>
  <c r="I49" i="2"/>
  <c r="K49" i="2" s="1"/>
  <c r="J135" i="2"/>
  <c r="R75" i="2"/>
  <c r="T75" i="2"/>
  <c r="U75" i="2"/>
  <c r="S75" i="2"/>
  <c r="P75" i="2"/>
  <c r="L75" i="2"/>
  <c r="O75" i="2"/>
  <c r="N75" i="2"/>
  <c r="M75" i="2"/>
  <c r="I75" i="2"/>
  <c r="Q75" i="2"/>
  <c r="J75" i="2"/>
  <c r="K75" i="2"/>
  <c r="I50" i="2"/>
  <c r="K50" i="2" s="1"/>
  <c r="C27" i="2"/>
  <c r="K30" i="2"/>
  <c r="F74" i="2"/>
  <c r="V75" i="2"/>
  <c r="J30" i="2"/>
  <c r="F73" i="2"/>
  <c r="I30" i="2"/>
  <c r="F72" i="2"/>
  <c r="K133" i="2"/>
  <c r="L31" i="2"/>
  <c r="G58" i="2"/>
  <c r="I58" i="2" s="1"/>
  <c r="K58" i="2" s="1"/>
  <c r="H127" i="2"/>
  <c r="I127" i="2"/>
  <c r="J127" i="2" s="1"/>
  <c r="K127" i="2" s="1"/>
  <c r="L127" i="2" s="1"/>
  <c r="M127" i="2" s="1"/>
  <c r="N127" i="2" s="1"/>
  <c r="O127" i="2" s="1"/>
  <c r="P127" i="2" s="1"/>
  <c r="Q127" i="2" s="1"/>
  <c r="R127" i="2" s="1"/>
  <c r="S127" i="2" s="1"/>
  <c r="T127" i="2" s="1"/>
  <c r="U127" i="2" s="1"/>
  <c r="V127" i="2" s="1"/>
  <c r="L28" i="2"/>
  <c r="K107" i="2"/>
  <c r="L107" i="2" s="1"/>
  <c r="M107" i="2" s="1"/>
  <c r="N107" i="2" s="1"/>
  <c r="G107" i="2"/>
  <c r="E16" i="1"/>
  <c r="I24" i="11"/>
  <c r="I35" i="11" s="1"/>
  <c r="I108" i="2"/>
  <c r="J108" i="2" s="1"/>
  <c r="D17" i="1"/>
  <c r="J98" i="2"/>
  <c r="K82" i="2"/>
  <c r="L82" i="2" s="1"/>
  <c r="M82" i="2" s="1"/>
  <c r="N82" i="2" s="1"/>
  <c r="O82" i="2" s="1"/>
  <c r="P82" i="2" s="1"/>
  <c r="Q82" i="2" s="1"/>
  <c r="R82" i="2" s="1"/>
  <c r="S82" i="2" s="1"/>
  <c r="T82" i="2" s="1"/>
  <c r="U82" i="2" s="1"/>
  <c r="V82" i="2" s="1"/>
  <c r="I118" i="2"/>
  <c r="H118" i="2"/>
  <c r="H120" i="2" s="1"/>
  <c r="H87" i="2" s="1"/>
  <c r="I117" i="2"/>
  <c r="J117" i="2" s="1"/>
  <c r="I125" i="2"/>
  <c r="J125" i="2" s="1"/>
  <c r="K125" i="2" s="1"/>
  <c r="L125" i="2" s="1"/>
  <c r="M125" i="2" s="1"/>
  <c r="N125" i="2" s="1"/>
  <c r="O125" i="2" s="1"/>
  <c r="P125" i="2" s="1"/>
  <c r="Q125" i="2" s="1"/>
  <c r="R125" i="2" s="1"/>
  <c r="S125" i="2" s="1"/>
  <c r="T125" i="2" s="1"/>
  <c r="U125" i="2" s="1"/>
  <c r="V125" i="2" s="1"/>
  <c r="I126" i="2"/>
  <c r="J126" i="2" s="1"/>
  <c r="K126" i="2" s="1"/>
  <c r="L126" i="2" s="1"/>
  <c r="M126" i="2" s="1"/>
  <c r="N126" i="2" s="1"/>
  <c r="O126" i="2" s="1"/>
  <c r="P126" i="2" s="1"/>
  <c r="Q126" i="2" s="1"/>
  <c r="R126" i="2" s="1"/>
  <c r="S126" i="2" s="1"/>
  <c r="T126" i="2" s="1"/>
  <c r="U126" i="2" s="1"/>
  <c r="V126" i="2" s="1"/>
  <c r="I129" i="2"/>
  <c r="J129" i="2" s="1"/>
  <c r="K129" i="2" s="1"/>
  <c r="L129" i="2" s="1"/>
  <c r="M129" i="2" s="1"/>
  <c r="N129" i="2" s="1"/>
  <c r="O129" i="2" s="1"/>
  <c r="P129" i="2" s="1"/>
  <c r="Q129" i="2" s="1"/>
  <c r="R129" i="2" s="1"/>
  <c r="S129" i="2" s="1"/>
  <c r="T129" i="2" s="1"/>
  <c r="U129" i="2" s="1"/>
  <c r="V129" i="2" s="1"/>
  <c r="I123" i="2"/>
  <c r="J123" i="2" s="1"/>
  <c r="H124" i="2"/>
  <c r="K42" i="2" l="1"/>
  <c r="K43" i="2" s="1"/>
  <c r="K32" i="2"/>
  <c r="J42" i="2"/>
  <c r="J43" i="2" s="1"/>
  <c r="J32" i="2"/>
  <c r="I42" i="2"/>
  <c r="I43" i="2" s="1"/>
  <c r="I32" i="2"/>
  <c r="F88" i="2"/>
  <c r="H32" i="2"/>
  <c r="I102" i="2"/>
  <c r="J102" i="2" s="1"/>
  <c r="K102" i="2" s="1"/>
  <c r="L102" i="2" s="1"/>
  <c r="M102" i="2" s="1"/>
  <c r="N102" i="2" s="1"/>
  <c r="O102" i="2" s="1"/>
  <c r="P102" i="2" s="1"/>
  <c r="Q102" i="2" s="1"/>
  <c r="R102" i="2" s="1"/>
  <c r="S102" i="2" s="1"/>
  <c r="T102" i="2" s="1"/>
  <c r="U102" i="2" s="1"/>
  <c r="V102" i="2" s="1"/>
  <c r="H74" i="2"/>
  <c r="K44" i="2"/>
  <c r="H72" i="2"/>
  <c r="I44" i="2"/>
  <c r="H73" i="2"/>
  <c r="J44" i="2"/>
  <c r="H71" i="2"/>
  <c r="J118" i="2"/>
  <c r="I120" i="2"/>
  <c r="I87" i="2" s="1"/>
  <c r="J143" i="2"/>
  <c r="B27" i="2"/>
  <c r="F75" i="2"/>
  <c r="F89" i="2"/>
  <c r="H89" i="2" s="1"/>
  <c r="G92" i="2"/>
  <c r="H42" i="2"/>
  <c r="H43" i="2" s="1"/>
  <c r="I55" i="2"/>
  <c r="K55" i="2" s="1"/>
  <c r="I57" i="2"/>
  <c r="K57" i="2" s="1"/>
  <c r="B66" i="2"/>
  <c r="I52" i="2"/>
  <c r="K52" i="2" s="1"/>
  <c r="I56" i="2"/>
  <c r="K56" i="2" s="1"/>
  <c r="I54" i="2"/>
  <c r="K54" i="2" s="1"/>
  <c r="I51" i="2"/>
  <c r="K51" i="2" s="1"/>
  <c r="K135" i="2"/>
  <c r="K143" i="2" s="1"/>
  <c r="I53" i="2"/>
  <c r="K53" i="2" s="1"/>
  <c r="G78" i="2"/>
  <c r="G84" i="2" s="1"/>
  <c r="L133" i="2"/>
  <c r="H130" i="2"/>
  <c r="F130" i="2" s="1"/>
  <c r="F100" i="2" s="1"/>
  <c r="L30" i="2"/>
  <c r="I16" i="1"/>
  <c r="G16" i="1"/>
  <c r="H16" i="1"/>
  <c r="F16" i="1"/>
  <c r="F3" i="1"/>
  <c r="F120" i="2"/>
  <c r="F87" i="2" s="1"/>
  <c r="I78" i="2"/>
  <c r="I84" i="2" s="1"/>
  <c r="O107" i="2"/>
  <c r="J16" i="1"/>
  <c r="E17" i="1"/>
  <c r="K123" i="2"/>
  <c r="J130" i="2"/>
  <c r="K117" i="2"/>
  <c r="K98" i="2"/>
  <c r="I130" i="2"/>
  <c r="F102" i="2" l="1"/>
  <c r="I99" i="2"/>
  <c r="I100" i="2"/>
  <c r="H102" i="2"/>
  <c r="H75" i="2"/>
  <c r="H78" i="2" s="1"/>
  <c r="H84" i="2" s="1"/>
  <c r="D8" i="1" s="1"/>
  <c r="F90" i="2"/>
  <c r="H90" i="2" s="1"/>
  <c r="K118" i="2"/>
  <c r="B28" i="2"/>
  <c r="F78" i="2"/>
  <c r="L32" i="2"/>
  <c r="G99" i="2"/>
  <c r="J100" i="2"/>
  <c r="H100" i="2"/>
  <c r="F99" i="2"/>
  <c r="L135" i="2"/>
  <c r="L143" i="2" s="1"/>
  <c r="E8" i="1"/>
  <c r="H99" i="2"/>
  <c r="M133" i="2"/>
  <c r="G130" i="2"/>
  <c r="G120" i="2"/>
  <c r="J78" i="2"/>
  <c r="P107" i="2"/>
  <c r="K16" i="1"/>
  <c r="K108" i="2"/>
  <c r="F17" i="1"/>
  <c r="L98" i="2"/>
  <c r="L123" i="2"/>
  <c r="K130" i="2"/>
  <c r="L117" i="2"/>
  <c r="N133" i="2"/>
  <c r="J84" i="2" l="1"/>
  <c r="F8" i="1" s="1"/>
  <c r="B79" i="14"/>
  <c r="H103" i="2"/>
  <c r="D12" i="1" s="1"/>
  <c r="L118" i="2"/>
  <c r="K120" i="2"/>
  <c r="K87" i="2" s="1"/>
  <c r="G87" i="2"/>
  <c r="M135" i="2"/>
  <c r="M143" i="2" s="1"/>
  <c r="F103" i="2"/>
  <c r="C12" i="1" s="1"/>
  <c r="K100" i="2"/>
  <c r="L100" i="2" s="1"/>
  <c r="M100" i="2" s="1"/>
  <c r="N100" i="2" s="1"/>
  <c r="O100" i="2" s="1"/>
  <c r="P100" i="2" s="1"/>
  <c r="Q100" i="2" s="1"/>
  <c r="R100" i="2" s="1"/>
  <c r="S100" i="2" s="1"/>
  <c r="T100" i="2" s="1"/>
  <c r="U100" i="2" s="1"/>
  <c r="V100" i="2" s="1"/>
  <c r="G100" i="2"/>
  <c r="G103" i="2" s="1"/>
  <c r="K78" i="2"/>
  <c r="F84" i="2"/>
  <c r="C8" i="1" s="1"/>
  <c r="F93" i="2"/>
  <c r="Q107" i="2"/>
  <c r="L16" i="1"/>
  <c r="L108" i="2"/>
  <c r="G17" i="1"/>
  <c r="J99" i="2"/>
  <c r="J103" i="2" s="1"/>
  <c r="I103" i="2"/>
  <c r="M117" i="2"/>
  <c r="M98" i="2"/>
  <c r="L130" i="2"/>
  <c r="M123" i="2"/>
  <c r="O133" i="2"/>
  <c r="H34" i="2" l="1"/>
  <c r="K34" i="2"/>
  <c r="I34" i="2"/>
  <c r="J34" i="2"/>
  <c r="K84" i="2"/>
  <c r="G8" i="1" s="1"/>
  <c r="M118" i="2"/>
  <c r="L120" i="2"/>
  <c r="L87" i="2" s="1"/>
  <c r="N135" i="2"/>
  <c r="N143" i="2" s="1"/>
  <c r="F95" i="2"/>
  <c r="L78" i="2"/>
  <c r="H88" i="2"/>
  <c r="I88" i="2" s="1"/>
  <c r="R107" i="2"/>
  <c r="M16" i="1"/>
  <c r="M108" i="2"/>
  <c r="H17" i="1"/>
  <c r="N98" i="2"/>
  <c r="K99" i="2"/>
  <c r="F12" i="1"/>
  <c r="M130" i="2"/>
  <c r="N123" i="2"/>
  <c r="N117" i="2"/>
  <c r="P133" i="2"/>
  <c r="E12" i="1"/>
  <c r="G90" i="2" l="1"/>
  <c r="I90" i="2" s="1"/>
  <c r="J90" i="2" s="1"/>
  <c r="K90" i="2" s="1"/>
  <c r="L90" i="2" s="1"/>
  <c r="M90" i="2" s="1"/>
  <c r="N90" i="2" s="1"/>
  <c r="O90" i="2" s="1"/>
  <c r="P90" i="2" s="1"/>
  <c r="Q90" i="2" s="1"/>
  <c r="R90" i="2" s="1"/>
  <c r="S90" i="2" s="1"/>
  <c r="T90" i="2" s="1"/>
  <c r="U90" i="2" s="1"/>
  <c r="V90" i="2" s="1"/>
  <c r="L84" i="2"/>
  <c r="H8" i="1" s="1"/>
  <c r="N118" i="2"/>
  <c r="M120" i="2"/>
  <c r="M87" i="2" s="1"/>
  <c r="O135" i="2"/>
  <c r="O143" i="2" s="1"/>
  <c r="M78" i="2"/>
  <c r="C9" i="1"/>
  <c r="F105" i="2"/>
  <c r="F112" i="2" s="1"/>
  <c r="H93" i="2"/>
  <c r="H95" i="2" s="1"/>
  <c r="S107" i="2"/>
  <c r="N16" i="1"/>
  <c r="N108" i="2"/>
  <c r="I17" i="1"/>
  <c r="O123" i="2"/>
  <c r="N130" i="2"/>
  <c r="O98" i="2"/>
  <c r="O117" i="2"/>
  <c r="L99" i="2"/>
  <c r="K103" i="2"/>
  <c r="G12" i="1" s="1"/>
  <c r="Q133" i="2"/>
  <c r="I93" i="2" l="1"/>
  <c r="M84" i="2"/>
  <c r="I8" i="1" s="1"/>
  <c r="O118" i="2"/>
  <c r="N120" i="2"/>
  <c r="N87" i="2" s="1"/>
  <c r="P135" i="2"/>
  <c r="P143" i="2" s="1"/>
  <c r="N78" i="2"/>
  <c r="D9" i="1"/>
  <c r="H105" i="2"/>
  <c r="D14" i="1" s="1"/>
  <c r="J88" i="2"/>
  <c r="C10" i="1"/>
  <c r="T107" i="2"/>
  <c r="O16" i="1"/>
  <c r="O108" i="2"/>
  <c r="J17" i="1"/>
  <c r="P117" i="2"/>
  <c r="P123" i="2"/>
  <c r="O130" i="2"/>
  <c r="M99" i="2"/>
  <c r="L103" i="2"/>
  <c r="H12" i="1" s="1"/>
  <c r="P98" i="2"/>
  <c r="R133" i="2"/>
  <c r="N84" i="2" l="1"/>
  <c r="J8" i="1" s="1"/>
  <c r="P118" i="2"/>
  <c r="O120" i="2"/>
  <c r="O87" i="2" s="1"/>
  <c r="Q135" i="2"/>
  <c r="Q143" i="2" s="1"/>
  <c r="O78" i="2"/>
  <c r="K88" i="2"/>
  <c r="D10" i="1"/>
  <c r="C14" i="1"/>
  <c r="U107" i="2"/>
  <c r="P16" i="1"/>
  <c r="P108" i="2"/>
  <c r="K17" i="1"/>
  <c r="Q98" i="2"/>
  <c r="N99" i="2"/>
  <c r="M103" i="2"/>
  <c r="I12" i="1" s="1"/>
  <c r="P130" i="2"/>
  <c r="Q123" i="2"/>
  <c r="Q117" i="2"/>
  <c r="S133" i="2"/>
  <c r="O84" i="2" l="1"/>
  <c r="K8" i="1" s="1"/>
  <c r="Q118" i="2"/>
  <c r="P120" i="2"/>
  <c r="P87" i="2" s="1"/>
  <c r="R135" i="2"/>
  <c r="R143" i="2" s="1"/>
  <c r="P78" i="2"/>
  <c r="P84" i="2" s="1"/>
  <c r="H109" i="2"/>
  <c r="L88" i="2"/>
  <c r="V107" i="2"/>
  <c r="R16" i="1" s="1"/>
  <c r="Q16" i="1"/>
  <c r="Q108" i="2"/>
  <c r="L17" i="1"/>
  <c r="Q130" i="2"/>
  <c r="R123" i="2"/>
  <c r="R98" i="2"/>
  <c r="R117" i="2"/>
  <c r="O99" i="2"/>
  <c r="N103" i="2"/>
  <c r="J12" i="1" s="1"/>
  <c r="T133" i="2"/>
  <c r="R118" i="2" l="1"/>
  <c r="Q120" i="2"/>
  <c r="Q87" i="2" s="1"/>
  <c r="S135" i="2"/>
  <c r="S143" i="2" s="1"/>
  <c r="L8" i="1"/>
  <c r="Q78" i="2"/>
  <c r="M88" i="2"/>
  <c r="R108" i="2"/>
  <c r="M17" i="1"/>
  <c r="P99" i="2"/>
  <c r="O103" i="2"/>
  <c r="K12" i="1" s="1"/>
  <c r="S98" i="2"/>
  <c r="R130" i="2"/>
  <c r="S123" i="2"/>
  <c r="S117" i="2"/>
  <c r="Q84" i="2" l="1"/>
  <c r="M8" i="1" s="1"/>
  <c r="S118" i="2"/>
  <c r="R120" i="2"/>
  <c r="R87" i="2" s="1"/>
  <c r="T135" i="2"/>
  <c r="T143" i="2" s="1"/>
  <c r="R78" i="2"/>
  <c r="N88" i="2"/>
  <c r="S108" i="2"/>
  <c r="N17" i="1"/>
  <c r="T117" i="2"/>
  <c r="T98" i="2"/>
  <c r="T123" i="2"/>
  <c r="S130" i="2"/>
  <c r="Q99" i="2"/>
  <c r="P103" i="2"/>
  <c r="L12" i="1" s="1"/>
  <c r="R84" i="2" l="1"/>
  <c r="N8" i="1" s="1"/>
  <c r="T118" i="2"/>
  <c r="S120" i="2"/>
  <c r="S87" i="2" s="1"/>
  <c r="S78" i="2"/>
  <c r="S84" i="2" s="1"/>
  <c r="O88" i="2"/>
  <c r="T108" i="2"/>
  <c r="O17" i="1"/>
  <c r="T130" i="2"/>
  <c r="U123" i="2"/>
  <c r="U117" i="2"/>
  <c r="R99" i="2"/>
  <c r="Q103" i="2"/>
  <c r="M12" i="1" s="1"/>
  <c r="U98" i="2"/>
  <c r="U118" i="2" l="1"/>
  <c r="T120" i="2"/>
  <c r="T87" i="2" s="1"/>
  <c r="O8" i="1"/>
  <c r="T78" i="2"/>
  <c r="P88" i="2"/>
  <c r="U108" i="2"/>
  <c r="P17" i="1"/>
  <c r="V98" i="2"/>
  <c r="V117" i="2"/>
  <c r="V123" i="2"/>
  <c r="V130" i="2" s="1"/>
  <c r="U130" i="2"/>
  <c r="S99" i="2"/>
  <c r="R103" i="2"/>
  <c r="N12" i="1" s="1"/>
  <c r="T84" i="2" l="1"/>
  <c r="P8" i="1" s="1"/>
  <c r="V118" i="2"/>
  <c r="V120" i="2" s="1"/>
  <c r="V87" i="2" s="1"/>
  <c r="U120" i="2"/>
  <c r="U87" i="2" s="1"/>
  <c r="U78" i="2"/>
  <c r="V78" i="2"/>
  <c r="Q88" i="2"/>
  <c r="V108" i="2"/>
  <c r="R17" i="1" s="1"/>
  <c r="Q17" i="1"/>
  <c r="T99" i="2"/>
  <c r="S103" i="2"/>
  <c r="O12" i="1" s="1"/>
  <c r="V84" i="2" l="1"/>
  <c r="R8" i="1" s="1"/>
  <c r="U84" i="2"/>
  <c r="Q8" i="1" s="1"/>
  <c r="R88" i="2"/>
  <c r="U99" i="2"/>
  <c r="T103" i="2"/>
  <c r="P12" i="1" s="1"/>
  <c r="S88" i="2" l="1"/>
  <c r="V99" i="2"/>
  <c r="V103" i="2" s="1"/>
  <c r="R12" i="1" s="1"/>
  <c r="U103" i="2"/>
  <c r="Q12" i="1" s="1"/>
  <c r="T88" i="2" l="1"/>
  <c r="U88" i="2" l="1"/>
  <c r="V88" i="2" l="1"/>
  <c r="I95" i="2" l="1"/>
  <c r="I105" i="2" s="1"/>
  <c r="G93" i="2"/>
  <c r="G95" i="2" s="1"/>
  <c r="K91" i="2"/>
  <c r="G105" i="2" l="1"/>
  <c r="G112" i="2" s="1"/>
  <c r="L91" i="2"/>
  <c r="K93" i="2"/>
  <c r="E10" i="1"/>
  <c r="E9" i="1"/>
  <c r="J93" i="2"/>
  <c r="I109" i="2" l="1"/>
  <c r="E14" i="1"/>
  <c r="J95" i="2"/>
  <c r="F9" i="1"/>
  <c r="K95" i="2"/>
  <c r="G9" i="1"/>
  <c r="L93" i="2"/>
  <c r="M91" i="2"/>
  <c r="H9" i="1" l="1"/>
  <c r="L95" i="2"/>
  <c r="F10" i="1"/>
  <c r="J105" i="2"/>
  <c r="G10" i="1"/>
  <c r="K105" i="2"/>
  <c r="M93" i="2"/>
  <c r="N91" i="2"/>
  <c r="J109" i="2" l="1"/>
  <c r="F14" i="1"/>
  <c r="O91" i="2"/>
  <c r="N93" i="2"/>
  <c r="G14" i="1"/>
  <c r="K109" i="2"/>
  <c r="L105" i="2"/>
  <c r="H10" i="1"/>
  <c r="M95" i="2"/>
  <c r="I9" i="1"/>
  <c r="J9" i="1" l="1"/>
  <c r="N95" i="2"/>
  <c r="H14" i="1"/>
  <c r="L109" i="2"/>
  <c r="P91" i="2"/>
  <c r="O93" i="2"/>
  <c r="M105" i="2"/>
  <c r="I10" i="1"/>
  <c r="K9" i="1" l="1"/>
  <c r="O95" i="2"/>
  <c r="P93" i="2"/>
  <c r="Q91" i="2"/>
  <c r="J10" i="1"/>
  <c r="N105" i="2"/>
  <c r="I14" i="1"/>
  <c r="M109" i="2"/>
  <c r="R91" i="2" l="1"/>
  <c r="Q93" i="2"/>
  <c r="N109" i="2"/>
  <c r="J14" i="1"/>
  <c r="P95" i="2"/>
  <c r="L9" i="1"/>
  <c r="K10" i="1"/>
  <c r="O105" i="2"/>
  <c r="L10" i="1" l="1"/>
  <c r="P105" i="2"/>
  <c r="M9" i="1"/>
  <c r="Q95" i="2"/>
  <c r="K14" i="1"/>
  <c r="O109" i="2"/>
  <c r="S91" i="2"/>
  <c r="R93" i="2"/>
  <c r="P109" i="2" l="1"/>
  <c r="L14" i="1"/>
  <c r="R95" i="2"/>
  <c r="N9" i="1"/>
  <c r="T91" i="2"/>
  <c r="S93" i="2"/>
  <c r="M10" i="1"/>
  <c r="Q105" i="2"/>
  <c r="U91" i="2" l="1"/>
  <c r="T93" i="2"/>
  <c r="Q109" i="2"/>
  <c r="M14" i="1"/>
  <c r="N10" i="1"/>
  <c r="R105" i="2"/>
  <c r="S95" i="2"/>
  <c r="O9" i="1"/>
  <c r="S105" i="2" l="1"/>
  <c r="O10" i="1"/>
  <c r="R109" i="2"/>
  <c r="N14" i="1"/>
  <c r="P9" i="1"/>
  <c r="T95" i="2"/>
  <c r="U93" i="2"/>
  <c r="V91" i="2"/>
  <c r="V93" i="2" s="1"/>
  <c r="T105" i="2" l="1"/>
  <c r="P10" i="1"/>
  <c r="Q9" i="1"/>
  <c r="U95" i="2"/>
  <c r="V95" i="2"/>
  <c r="R9" i="1"/>
  <c r="O14" i="1"/>
  <c r="S109" i="2"/>
  <c r="R10" i="1" l="1"/>
  <c r="V105" i="2"/>
  <c r="U105" i="2"/>
  <c r="Q10" i="1"/>
  <c r="P14" i="1"/>
  <c r="T109" i="2"/>
  <c r="Q14" i="1" l="1"/>
  <c r="U109" i="2"/>
  <c r="V109" i="2"/>
  <c r="R14" i="1"/>
  <c r="E25" i="11" l="1"/>
  <c r="E27" i="11"/>
  <c r="E26" i="11"/>
  <c r="E30" i="11"/>
  <c r="E33" i="11"/>
  <c r="E31" i="11"/>
  <c r="E20" i="11"/>
  <c r="E18" i="11"/>
  <c r="E19" i="11"/>
  <c r="E29" i="11"/>
  <c r="E24" i="11"/>
  <c r="E28" i="11"/>
  <c r="E17" i="11"/>
  <c r="E32" i="11"/>
  <c r="B21" i="11" l="1"/>
  <c r="C38" i="11"/>
  <c r="B118" i="14"/>
  <c r="E38" i="11" l="1"/>
  <c r="B115" i="14" s="1"/>
  <c r="B114" i="14"/>
  <c r="I16" i="11"/>
  <c r="I21" i="11" s="1"/>
  <c r="I38" i="11" s="1"/>
  <c r="I110" i="2" s="1"/>
  <c r="E21" i="11"/>
  <c r="E16" i="11"/>
  <c r="E18" i="1" l="1"/>
  <c r="E20" i="1" s="1"/>
  <c r="Q18" i="1"/>
  <c r="Q20" i="1" s="1"/>
  <c r="K18" i="1"/>
  <c r="K20" i="1" s="1"/>
  <c r="L18" i="1"/>
  <c r="L20" i="1" s="1"/>
  <c r="O18" i="1"/>
  <c r="O20" i="1" s="1"/>
  <c r="N18" i="1"/>
  <c r="N20" i="1" s="1"/>
  <c r="T110" i="2"/>
  <c r="T112" i="2" s="1"/>
  <c r="P110" i="2"/>
  <c r="P112" i="2" s="1"/>
  <c r="L110" i="2"/>
  <c r="L112" i="2" s="1"/>
  <c r="J110" i="2"/>
  <c r="J112" i="2" s="1"/>
  <c r="M18" i="1"/>
  <c r="M20" i="1" s="1"/>
  <c r="V110" i="2"/>
  <c r="V112" i="2" s="1"/>
  <c r="M110" i="2"/>
  <c r="M112" i="2" s="1"/>
  <c r="O110" i="2"/>
  <c r="O112" i="2" s="1"/>
  <c r="F18" i="1"/>
  <c r="F20" i="1" s="1"/>
  <c r="H18" i="1"/>
  <c r="H20" i="1" s="1"/>
  <c r="S110" i="2"/>
  <c r="S112" i="2" s="1"/>
  <c r="R18" i="1"/>
  <c r="R20" i="1" s="1"/>
  <c r="H110" i="2"/>
  <c r="F110" i="2" s="1"/>
  <c r="C18" i="1" s="1"/>
  <c r="C20" i="1" s="1"/>
  <c r="P18" i="1"/>
  <c r="P20" i="1" s="1"/>
  <c r="I112" i="2"/>
  <c r="U110" i="2"/>
  <c r="U112" i="2" s="1"/>
  <c r="G18" i="1"/>
  <c r="G20" i="1" s="1"/>
  <c r="N110" i="2"/>
  <c r="N112" i="2" s="1"/>
  <c r="I18" i="1"/>
  <c r="I20" i="1" s="1"/>
  <c r="R110" i="2"/>
  <c r="R112" i="2" s="1"/>
  <c r="Q110" i="2"/>
  <c r="Q112" i="2" s="1"/>
  <c r="J18" i="1"/>
  <c r="J20" i="1" s="1"/>
  <c r="K110" i="2"/>
  <c r="K112" i="2" s="1"/>
  <c r="B67" i="2"/>
  <c r="B68" i="2" s="1"/>
  <c r="D3" i="1"/>
  <c r="H3" i="1" s="1"/>
  <c r="D21" i="1" s="1"/>
  <c r="B65" i="2"/>
  <c r="G110" i="2" l="1"/>
  <c r="H112" i="2"/>
  <c r="D18" i="1"/>
  <c r="I23" i="1"/>
  <c r="O23" i="1"/>
  <c r="P23" i="1"/>
  <c r="L23" i="1"/>
  <c r="Q23" i="1"/>
  <c r="M23" i="1"/>
  <c r="E23" i="1"/>
  <c r="R23" i="1"/>
  <c r="G23" i="1"/>
  <c r="E21" i="1"/>
  <c r="F21" i="1" s="1"/>
  <c r="G21" i="1" s="1"/>
  <c r="H21" i="1" s="1"/>
  <c r="I21" i="1" s="1"/>
  <c r="J21" i="1" s="1"/>
  <c r="K21" i="1" s="1"/>
  <c r="L21" i="1" s="1"/>
  <c r="M21" i="1" s="1"/>
  <c r="N21" i="1" s="1"/>
  <c r="O21" i="1" s="1"/>
  <c r="P21" i="1" s="1"/>
  <c r="Q21" i="1" s="1"/>
  <c r="R21" i="1" s="1"/>
  <c r="N23" i="1"/>
  <c r="K23" i="1"/>
  <c r="H23" i="1"/>
  <c r="F23" i="1"/>
  <c r="J23" i="1"/>
  <c r="C25" i="1" l="1"/>
  <c r="D20" i="1"/>
  <c r="D7" i="1" l="1"/>
  <c r="E7" i="1" s="1"/>
  <c r="F7" i="1" s="1"/>
  <c r="G7" i="1" s="1"/>
  <c r="H7" i="1" s="1"/>
  <c r="I7" i="1" s="1"/>
  <c r="J7" i="1" s="1"/>
  <c r="K7" i="1" s="1"/>
  <c r="D23" i="1"/>
  <c r="L7" i="1" l="1"/>
  <c r="M7" i="1" s="1"/>
  <c r="N7" i="1" s="1"/>
  <c r="O7" i="1" s="1"/>
  <c r="P7" i="1" s="1"/>
  <c r="Q7" i="1" s="1"/>
  <c r="R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A4" authorId="0" shapeId="0" xr:uid="{6B25B9DB-C54B-1648-A4CA-8F23393C06E3}">
      <text>
        <r>
          <rPr>
            <sz val="10"/>
            <color rgb="FF000000"/>
            <rFont val="Arial"/>
            <family val="2"/>
          </rPr>
          <t xml:space="preserve">This is the % of your site area dedicated to the growing area itself. We suggest only changing this figure if you have a separate facility that you plan to use for seeding, washing, packaging, and/or storage (the "headhouse"). If that is the case, this number can be increased to as high as 85%.
</t>
        </r>
        <r>
          <rPr>
            <sz val="10"/>
            <color rgb="FF000000"/>
            <rFont val="Arial"/>
            <family val="2"/>
          </rPr>
          <t xml:space="preserve">70% for Greenhouse
</t>
        </r>
        <r>
          <rPr>
            <sz val="10"/>
            <color rgb="FF000000"/>
            <rFont val="Arial"/>
            <family val="2"/>
          </rPr>
          <t xml:space="preserve">50% for Vertical Farm
</t>
        </r>
        <r>
          <rPr>
            <sz val="10"/>
            <color rgb="FF000000"/>
            <rFont val="Arial"/>
            <family val="2"/>
          </rPr>
          <t>[Plant Factory, PP.51]</t>
        </r>
      </text>
    </comment>
    <comment ref="A5" authorId="0" shapeId="0" xr:uid="{F1E1C080-5934-5141-8691-3292D641D5EC}">
      <text>
        <r>
          <rPr>
            <sz val="10"/>
            <color rgb="FF000000"/>
            <rFont val="Tahoma"/>
            <family val="2"/>
          </rPr>
          <t xml:space="preserve">4-6 suggested, unless Rent is exceptionally high.
</t>
        </r>
        <r>
          <rPr>
            <sz val="10"/>
            <color rgb="FF000000"/>
            <rFont val="Tahoma"/>
            <family val="2"/>
          </rPr>
          <t xml:space="preserve">6+ levels will result in labour efficency challenges and may require automation.
</t>
        </r>
        <r>
          <rPr>
            <sz val="10"/>
            <color rgb="FF000000"/>
            <rFont val="Tahoma"/>
            <family val="2"/>
          </rPr>
          <t xml:space="preserve">
</t>
        </r>
        <r>
          <rPr>
            <sz val="10"/>
            <color rgb="FF000000"/>
            <rFont val="Tahoma"/>
            <family val="2"/>
          </rPr>
          <t>If 8 ft ZipTower, insert 4 grow levels</t>
        </r>
      </text>
    </comment>
    <comment ref="B5" authorId="0" shapeId="0" xr:uid="{64B37CE5-A6C4-214A-A5AC-7E1835313D6A}">
      <text>
        <r>
          <rPr>
            <sz val="10"/>
            <color rgb="FF000000"/>
            <rFont val="Tahoma"/>
            <family val="2"/>
          </rPr>
          <t>For each metre of cieling, 2.5 grow levels can be used</t>
        </r>
      </text>
    </comment>
    <comment ref="A7" authorId="0" shapeId="0" xr:uid="{89D2CC2F-D2BC-A842-9380-BB16B507830B}">
      <text>
        <r>
          <rPr>
            <sz val="10"/>
            <color rgb="FF000000"/>
            <rFont val="Arial"/>
            <family val="2"/>
          </rPr>
          <t xml:space="preserve">For scaling up operations, please insert multiplier from pilot farm to full-scale.
</t>
        </r>
        <r>
          <rPr>
            <sz val="10"/>
            <color rgb="FF000000"/>
            <rFont val="Arial"/>
            <family val="2"/>
          </rPr>
          <t xml:space="preserve">Insert 1 if the same
</t>
        </r>
      </text>
    </comment>
    <comment ref="A16" authorId="0" shapeId="0" xr:uid="{CAAF25F1-D54C-4548-B3AE-DD66323D0359}">
      <text>
        <r>
          <rPr>
            <sz val="10"/>
            <color rgb="FF000000"/>
            <rFont val="Tahoma"/>
            <family val="2"/>
          </rPr>
          <t xml:space="preserve">Climate control influences the yield and product quality of the crop.
</t>
        </r>
        <r>
          <rPr>
            <sz val="10"/>
            <color rgb="FF000000"/>
            <rFont val="Tahoma"/>
            <family val="2"/>
          </rPr>
          <t xml:space="preserve">
</t>
        </r>
        <r>
          <rPr>
            <sz val="10"/>
            <color rgb="FF000000"/>
            <rFont val="Tahoma"/>
            <family val="2"/>
          </rPr>
          <t xml:space="preserve">High climate control provides the exact climate required for a crop (humidity, airflow and temperature)
</t>
        </r>
        <r>
          <rPr>
            <sz val="10"/>
            <color rgb="FF000000"/>
            <rFont val="Tahoma"/>
            <family val="2"/>
          </rPr>
          <t xml:space="preserve">
</t>
        </r>
        <r>
          <rPr>
            <sz val="10"/>
            <color rgb="FF000000"/>
            <rFont val="Tahoma"/>
            <family val="2"/>
          </rPr>
          <t xml:space="preserve">Medium climate control provides roughly the required climate for the crop although humidity and airflow may be compromised and temperature fluctuates.
</t>
        </r>
        <r>
          <rPr>
            <sz val="10"/>
            <color rgb="FF000000"/>
            <rFont val="Tahoma"/>
            <family val="2"/>
          </rPr>
          <t xml:space="preserve">
</t>
        </r>
        <r>
          <rPr>
            <sz val="10"/>
            <color rgb="FF000000"/>
            <rFont val="Tahoma"/>
            <family val="2"/>
          </rPr>
          <t xml:space="preserve">Low climate control assumes there is no system in place.
</t>
        </r>
        <r>
          <rPr>
            <sz val="10"/>
            <color rgb="FF000000"/>
            <rFont val="Tahoma"/>
            <family val="2"/>
          </rPr>
          <t xml:space="preserve">
</t>
        </r>
        <r>
          <rPr>
            <sz val="9"/>
            <color rgb="FF000000"/>
            <rFont val="Arial"/>
            <family val="2"/>
          </rPr>
          <t xml:space="preserve">A greenhouse’s heating need is based on the insulative properties of the greenhouse in conjunction with the outside environmental conditions. A general rule of thumb to use is if your operation will produce year-round and it freezes in your location, then heating is strongly recommended.
</t>
        </r>
        <r>
          <rPr>
            <sz val="9"/>
            <color rgb="FF000000"/>
            <rFont val="Arial"/>
            <family val="2"/>
          </rPr>
          <t xml:space="preserve">(Agritecture Designer)
</t>
        </r>
      </text>
    </comment>
    <comment ref="A17" authorId="0" shapeId="0" xr:uid="{E134BAD2-831B-B04B-9BF6-25403F4D213D}">
      <text>
        <r>
          <rPr>
            <sz val="10"/>
            <color rgb="FF000000"/>
            <rFont val="Arial"/>
            <family val="2"/>
          </rPr>
          <t xml:space="preserve">The light control influences photosynthesis of the plants. 
</t>
        </r>
        <r>
          <rPr>
            <sz val="10"/>
            <color rgb="FF000000"/>
            <rFont val="Arial"/>
            <family val="2"/>
          </rPr>
          <t xml:space="preserve">
</t>
        </r>
        <r>
          <rPr>
            <sz val="10"/>
            <color rgb="FF000000"/>
            <rFont val="Arial"/>
            <family val="2"/>
          </rPr>
          <t xml:space="preserve">High lighting control implies that light uniforminty, intensity (PAR delivered meeting plants requirements) and light spectra suiting the crop. Reflectors are installed.
</t>
        </r>
        <r>
          <rPr>
            <sz val="10"/>
            <color rgb="FF000000"/>
            <rFont val="Arial"/>
            <family val="2"/>
          </rPr>
          <t xml:space="preserve">
</t>
        </r>
        <r>
          <rPr>
            <sz val="10"/>
            <color rgb="FF000000"/>
            <rFont val="Arial"/>
            <family val="2"/>
          </rPr>
          <t xml:space="preserve">Medium lighting control implies PAR requirements are close to meeting requirements, light uniformity and spectra have not been optimised for crop.
</t>
        </r>
        <r>
          <rPr>
            <sz val="10"/>
            <color rgb="FF000000"/>
            <rFont val="Arial"/>
            <family val="2"/>
          </rPr>
          <t xml:space="preserve">
</t>
        </r>
        <r>
          <rPr>
            <sz val="10"/>
            <color rgb="FF000000"/>
            <rFont val="Arial"/>
            <family val="2"/>
          </rPr>
          <t>Low lighting control implies basic horticultural lighting solutions have been used with little to no optimisation for crop type.</t>
        </r>
      </text>
    </comment>
    <comment ref="A26" authorId="0" shapeId="0" xr:uid="{A0BC04A6-4E1A-2745-9332-4A7A776B3D3F}">
      <text>
        <r>
          <rPr>
            <sz val="10"/>
            <color rgb="FF000000"/>
            <rFont val="Arial"/>
            <family val="2"/>
          </rPr>
          <t>Will you need CO2 enrichment for your vertical farm? Vented and forced air will still bring in CO2 from outside air. Additional CO2 can enhance photosynthetic rates and increase yields but will come with added cost. If you're in an area where supplemental lighting is needed, it's more likely that CO2 enhancement will make sense. (Agritecture Designer)</t>
        </r>
      </text>
    </comment>
    <comment ref="A27" authorId="0" shapeId="0" xr:uid="{7D9672CA-A14F-7A40-AB3E-723046133BA4}">
      <text>
        <r>
          <rPr>
            <sz val="10"/>
            <color rgb="FF000000"/>
            <rFont val="Arial"/>
            <family val="2"/>
          </rPr>
          <t xml:space="preserve">There are many structure and covering types when it comes to greenhouses. To make this decision easier to navigate, we have categorized them into 3 options: "Light Duty", "Medium Duty", and "Heavy Duty".
</t>
        </r>
        <r>
          <rPr>
            <sz val="10"/>
            <color rgb="FF000000"/>
            <rFont val="Arial"/>
            <family val="2"/>
          </rPr>
          <t xml:space="preserve">"Light Duty = Polyethylene cover.
</t>
        </r>
        <r>
          <rPr>
            <sz val="10"/>
            <color rgb="FF000000"/>
            <rFont val="Arial"/>
            <family val="2"/>
          </rPr>
          <t xml:space="preserve">Medium Duty = Polycarbonate cover.
</t>
        </r>
        <r>
          <rPr>
            <sz val="10"/>
            <color rgb="FF000000"/>
            <rFont val="Arial"/>
            <family val="2"/>
          </rPr>
          <t xml:space="preserve">Heavy Duty = Glass cover.
</t>
        </r>
        <r>
          <rPr>
            <sz val="10"/>
            <color rgb="FF000000"/>
            <rFont val="Arial"/>
            <family val="2"/>
          </rPr>
          <t xml:space="preserve">There are many considerations for greenhouse structure types, but generally Light Duty will be your lowest cost option and have the least amount of structural integrity/climate control, whereas Heavy Duty will be the opposite.
</t>
        </r>
        <r>
          <rPr>
            <sz val="10"/>
            <color rgb="FF000000"/>
            <rFont val="Arial"/>
            <family val="2"/>
          </rPr>
          <t>(Agritecture Designer)</t>
        </r>
      </text>
    </comment>
    <comment ref="A30" authorId="0" shapeId="0" xr:uid="{29A44B24-1C02-EA46-A806-19C1161775FF}">
      <text>
        <r>
          <rPr>
            <sz val="10"/>
            <color rgb="FF000000"/>
            <rFont val="Tahoma"/>
            <family val="2"/>
          </rPr>
          <t xml:space="preserve">Default 5% reduction from year 3 onwards
</t>
        </r>
      </text>
    </comment>
    <comment ref="A32" authorId="0" shapeId="0" xr:uid="{C59FD406-4A90-BA4E-8AF1-06EDBD443739}">
      <text>
        <r>
          <rPr>
            <b/>
            <sz val="10"/>
            <color rgb="FF000000"/>
            <rFont val="Tahoma"/>
            <family val="2"/>
          </rPr>
          <t xml:space="preserve">Biosecurity </t>
        </r>
        <r>
          <rPr>
            <sz val="10"/>
            <color rgb="FF000000"/>
            <rFont val="Tahoma"/>
            <family val="2"/>
          </rPr>
          <t>affects the risk of pathogen outbreaks on the farm.</t>
        </r>
        <r>
          <rPr>
            <b/>
            <sz val="10"/>
            <color rgb="FF000000"/>
            <rFont val="Tahoma"/>
            <family val="2"/>
          </rPr>
          <t xml:space="preserve">
</t>
        </r>
        <r>
          <rPr>
            <b/>
            <sz val="10"/>
            <color rgb="FF000000"/>
            <rFont val="Tahoma"/>
            <family val="2"/>
          </rPr>
          <t xml:space="preserve">
</t>
        </r>
        <r>
          <rPr>
            <b/>
            <sz val="10"/>
            <color rgb="FF000000"/>
            <rFont val="Tahoma"/>
            <family val="2"/>
          </rPr>
          <t>High</t>
        </r>
        <r>
          <rPr>
            <sz val="10"/>
            <color rgb="FF000000"/>
            <rFont val="Tahoma"/>
            <family val="2"/>
          </rPr>
          <t xml:space="preserve"> - Airlock room, face masks, strict sanitisation measures and regular cleaning. High quality seeds are selected. Hydrogen Peroxide used in system. Visitors must folllow strict hygiene protocol.
</t>
        </r>
        <r>
          <rPr>
            <sz val="10"/>
            <color rgb="FF000000"/>
            <rFont val="Tahoma"/>
            <family val="2"/>
          </rPr>
          <t xml:space="preserve"> 
</t>
        </r>
        <r>
          <rPr>
            <b/>
            <sz val="10"/>
            <color rgb="FF000000"/>
            <rFont val="Tahoma"/>
            <family val="2"/>
          </rPr>
          <t>Medium</t>
        </r>
        <r>
          <rPr>
            <sz val="10"/>
            <color rgb="FF000000"/>
            <rFont val="Tahoma"/>
            <family val="2"/>
          </rPr>
          <t xml:space="preserve"> - Enclosed environment with positive air pressure. High quality seeds are selected. Strict sanitisation measures.
</t>
        </r>
        <r>
          <rPr>
            <sz val="10"/>
            <color rgb="FF000000"/>
            <rFont val="Tahoma"/>
            <family val="2"/>
          </rPr>
          <t xml:space="preserve">
</t>
        </r>
        <r>
          <rPr>
            <b/>
            <sz val="10"/>
            <color rgb="FF000000"/>
            <rFont val="Tahoma"/>
            <family val="2"/>
          </rPr>
          <t>Low</t>
        </r>
        <r>
          <rPr>
            <sz val="10"/>
            <color rgb="FF000000"/>
            <rFont val="Tahoma"/>
            <family val="2"/>
          </rPr>
          <t xml:space="preserve"> - No biosecurity measures in place.</t>
        </r>
      </text>
    </comment>
    <comment ref="A39" authorId="0" shapeId="0" xr:uid="{56BC84F2-394F-7341-B8FD-3E30989293B0}">
      <text>
        <r>
          <rPr>
            <sz val="10"/>
            <color rgb="FF000000"/>
            <rFont val="Tahoma"/>
            <family val="2"/>
          </rPr>
          <t xml:space="preserve">Fraction of bedspace allocated to crop (%)
</t>
        </r>
        <r>
          <rPr>
            <sz val="10"/>
            <color rgb="FF000000"/>
            <rFont val="Tahoma"/>
            <family val="2"/>
          </rPr>
          <t xml:space="preserve">
</t>
        </r>
      </text>
    </comment>
    <comment ref="A40" authorId="0" shapeId="0" xr:uid="{6966DA80-8496-1A49-AD0F-2093654E5011}">
      <text>
        <r>
          <rPr>
            <sz val="10"/>
            <color rgb="FF000000"/>
            <rFont val="Arial"/>
            <family val="2"/>
          </rPr>
          <t xml:space="preserve">The options presented are the grow systems you can use for your operation. If it is incompatible with the crop type then the expected yield (kg) per month will be zero.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B28" authorId="0" shapeId="0" xr:uid="{C610837D-3E5A-B843-B5CD-37B5BC4673B0}">
      <text>
        <r>
          <rPr>
            <sz val="10"/>
            <color rgb="FF000000"/>
            <rFont val="Arial"/>
            <family val="2"/>
          </rPr>
          <t xml:space="preserve">This is the maximum number of people your operation could feed on a daily basis, assuming each individual consumes 3 servings of your produce at an average of 67 grams per serving.
</t>
        </r>
        <r>
          <rPr>
            <sz val="10"/>
            <color rgb="FF000000"/>
            <rFont val="Tahoma"/>
            <family val="2"/>
          </rPr>
          <t>[Agritecture]</t>
        </r>
      </text>
    </comment>
    <comment ref="B29" authorId="0" shapeId="0" xr:uid="{70CBE15F-5F7D-7942-833F-0310E8247225}">
      <text>
        <r>
          <rPr>
            <sz val="10"/>
            <color rgb="FF000000"/>
            <rFont val="Arial"/>
            <family val="2"/>
          </rPr>
          <t>This is an estimated range of full-time farm jobs needed. Note that additional factors such as level of automation used within your operation will affect this estimate.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B15" authorId="0" shapeId="0" xr:uid="{B4A82264-5230-FD4B-8ED1-E7456DD85493}">
      <text>
        <r>
          <rPr>
            <sz val="10"/>
            <color rgb="FF000000"/>
            <rFont val="Tahoma"/>
            <family val="2"/>
          </rPr>
          <t xml:space="preserve">If you would like to assess your pilot farm, or your full-scale farm only, just change your Growing area multiplier to 1 (G25)
</t>
        </r>
      </text>
    </comment>
    <comment ref="A17" authorId="0" shapeId="0" xr:uid="{A5A4F97F-D77D-BE4E-A123-83A4309B7F06}">
      <text>
        <r>
          <rPr>
            <sz val="10"/>
            <color rgb="FF000000"/>
            <rFont val="Arial"/>
            <family val="2"/>
          </rPr>
          <t xml:space="preserve">This is the % of your site area dedicated to the growing area itself. We suggest only changing this figure if you have a separate facility that you plan to use for seeding, washing, packaging, and/or storage (the "headhouse"). If that is the case, this number can be increased to as high as 85%.
</t>
        </r>
        <r>
          <rPr>
            <sz val="10"/>
            <color rgb="FF000000"/>
            <rFont val="Arial"/>
            <family val="2"/>
          </rPr>
          <t xml:space="preserve">70% for Greenhouse
</t>
        </r>
        <r>
          <rPr>
            <sz val="10"/>
            <color rgb="FF000000"/>
            <rFont val="Arial"/>
            <family val="2"/>
          </rPr>
          <t xml:space="preserve">50% for Vertical Farm
</t>
        </r>
        <r>
          <rPr>
            <sz val="10"/>
            <color rgb="FF000000"/>
            <rFont val="Arial"/>
            <family val="2"/>
          </rPr>
          <t>[Plant Factory, PP.51]</t>
        </r>
      </text>
    </comment>
    <comment ref="G17" authorId="0" shapeId="0" xr:uid="{E688F44B-CC84-AB4F-89DD-7AF7C9AE38C2}">
      <text>
        <r>
          <rPr>
            <sz val="10"/>
            <color rgb="FF000000"/>
            <rFont val="Tahoma"/>
            <family val="2"/>
          </rPr>
          <t xml:space="preserve">Fraction of bedspace allocated to crop (%)
</t>
        </r>
        <r>
          <rPr>
            <sz val="10"/>
            <color rgb="FF000000"/>
            <rFont val="Tahoma"/>
            <family val="2"/>
          </rPr>
          <t xml:space="preserve">
</t>
        </r>
      </text>
    </comment>
    <comment ref="G18" authorId="0" shapeId="0" xr:uid="{104D085D-2497-5942-ADD2-170B109401A8}">
      <text>
        <r>
          <rPr>
            <sz val="10"/>
            <color rgb="FF000000"/>
            <rFont val="Arial"/>
            <family val="2"/>
          </rPr>
          <t xml:space="preserve">The options presented are the grow systems you can use for your operation. If it is incompatible with the crop type then the expected yield (kg) per month will be zero.
</t>
        </r>
      </text>
    </comment>
    <comment ref="A19" authorId="0" shapeId="0" xr:uid="{D70F928E-F411-FA44-8D0D-A80A6BA8D4C5}">
      <text>
        <r>
          <rPr>
            <sz val="10"/>
            <color rgb="FF000000"/>
            <rFont val="Tahoma"/>
            <family val="2"/>
          </rPr>
          <t xml:space="preserve">4-6 suggested, unless Rent is exceptionally high.
</t>
        </r>
        <r>
          <rPr>
            <sz val="10"/>
            <color rgb="FF000000"/>
            <rFont val="Tahoma"/>
            <family val="2"/>
          </rPr>
          <t xml:space="preserve">6+ levels will result in labour efficency challenges and may require automation.
</t>
        </r>
        <r>
          <rPr>
            <sz val="10"/>
            <color rgb="FF000000"/>
            <rFont val="Tahoma"/>
            <family val="2"/>
          </rPr>
          <t xml:space="preserve">
</t>
        </r>
        <r>
          <rPr>
            <sz val="10"/>
            <color rgb="FF000000"/>
            <rFont val="Tahoma"/>
            <family val="2"/>
          </rPr>
          <t>If 8 ft ZipTower, insert 4 grow levels</t>
        </r>
      </text>
    </comment>
    <comment ref="B19" authorId="0" shapeId="0" xr:uid="{BCEAB5DC-B8E9-134B-818B-6CE03AD003FA}">
      <text>
        <r>
          <rPr>
            <sz val="10"/>
            <color rgb="FF000000"/>
            <rFont val="Tahoma"/>
            <family val="2"/>
          </rPr>
          <t>For each metre of ceiling, 2.5 grow levels can be used</t>
        </r>
      </text>
    </comment>
    <comment ref="A22" authorId="0" shapeId="0" xr:uid="{3B94F5A9-0BCA-BE48-925A-CD326427921A}">
      <text>
        <r>
          <rPr>
            <sz val="10"/>
            <color rgb="FF000000"/>
            <rFont val="Arial"/>
            <family val="2"/>
          </rPr>
          <t xml:space="preserve">For scaling up operations, please insert multiplier from pilot farm to full-scale.
</t>
        </r>
        <r>
          <rPr>
            <sz val="10"/>
            <color rgb="FF000000"/>
            <rFont val="Arial"/>
            <family val="2"/>
          </rPr>
          <t xml:space="preserve">Insert 1 if the same
</t>
        </r>
      </text>
    </comment>
    <comment ref="A27" authorId="0" shapeId="0" xr:uid="{76941A42-E662-6D43-ABCE-2F159B7C3FE3}">
      <text>
        <r>
          <rPr>
            <b/>
            <sz val="10"/>
            <color rgb="FF000000"/>
            <rFont val="Tahoma"/>
            <family val="2"/>
          </rPr>
          <t>See Breakdown of yields of each crop type in Crop Information</t>
        </r>
        <r>
          <rPr>
            <sz val="10"/>
            <color rgb="FF000000"/>
            <rFont val="Tahoma"/>
            <family val="2"/>
          </rPr>
          <t xml:space="preserve">
</t>
        </r>
      </text>
    </comment>
    <comment ref="A34" authorId="0" shapeId="0" xr:uid="{AB5589A8-B074-CD4F-9315-8EE45769A591}">
      <text>
        <r>
          <rPr>
            <sz val="10"/>
            <color rgb="FF000000"/>
            <rFont val="Tahoma"/>
            <family val="2"/>
          </rPr>
          <t xml:space="preserve">Climate control influences the yield and product quality of the crop.
</t>
        </r>
        <r>
          <rPr>
            <sz val="10"/>
            <color rgb="FF000000"/>
            <rFont val="Tahoma"/>
            <family val="2"/>
          </rPr>
          <t xml:space="preserve">
</t>
        </r>
        <r>
          <rPr>
            <sz val="10"/>
            <color rgb="FF000000"/>
            <rFont val="Tahoma"/>
            <family val="2"/>
          </rPr>
          <t xml:space="preserve">High climate control provides the exact climate required for a crop (humidity, airflow and temperature)
</t>
        </r>
        <r>
          <rPr>
            <sz val="10"/>
            <color rgb="FF000000"/>
            <rFont val="Tahoma"/>
            <family val="2"/>
          </rPr>
          <t xml:space="preserve">
</t>
        </r>
        <r>
          <rPr>
            <sz val="10"/>
            <color rgb="FF000000"/>
            <rFont val="Tahoma"/>
            <family val="2"/>
          </rPr>
          <t xml:space="preserve">Medium climate control provides roughly the required climate for the crop although humidity and airflow may be compromised and temperature fluctuates.
</t>
        </r>
        <r>
          <rPr>
            <sz val="10"/>
            <color rgb="FF000000"/>
            <rFont val="Tahoma"/>
            <family val="2"/>
          </rPr>
          <t xml:space="preserve">
</t>
        </r>
        <r>
          <rPr>
            <sz val="10"/>
            <color rgb="FF000000"/>
            <rFont val="Tahoma"/>
            <family val="2"/>
          </rPr>
          <t>Low climate control assumes there is no system in place.</t>
        </r>
      </text>
    </comment>
    <comment ref="A35" authorId="0" shapeId="0" xr:uid="{044E5B67-CA17-764C-9FF5-1F83E17A0D6E}">
      <text>
        <r>
          <rPr>
            <sz val="10"/>
            <color rgb="FF000000"/>
            <rFont val="Arial"/>
            <family val="2"/>
          </rPr>
          <t xml:space="preserve">The light control influences photosynthesis of the plants. 
</t>
        </r>
        <r>
          <rPr>
            <sz val="10"/>
            <color rgb="FF000000"/>
            <rFont val="Arial"/>
            <family val="2"/>
          </rPr>
          <t xml:space="preserve">
</t>
        </r>
        <r>
          <rPr>
            <sz val="10"/>
            <color rgb="FF000000"/>
            <rFont val="Arial"/>
            <family val="2"/>
          </rPr>
          <t xml:space="preserve">High lighting control implies that light uniforminty, intensity (PAR delivered meeting plants requirements) and light spectra suiting the crop. Reflectors are installed.
</t>
        </r>
        <r>
          <rPr>
            <sz val="10"/>
            <color rgb="FF000000"/>
            <rFont val="Arial"/>
            <family val="2"/>
          </rPr>
          <t xml:space="preserve">
</t>
        </r>
        <r>
          <rPr>
            <sz val="10"/>
            <color rgb="FF000000"/>
            <rFont val="Arial"/>
            <family val="2"/>
          </rPr>
          <t xml:space="preserve">Medium lighting control implies PAR requirements are close to meeting requirements, light uniformity and spectra have not been optimised for crop.
</t>
        </r>
        <r>
          <rPr>
            <sz val="10"/>
            <color rgb="FF000000"/>
            <rFont val="Arial"/>
            <family val="2"/>
          </rPr>
          <t xml:space="preserve">
</t>
        </r>
        <r>
          <rPr>
            <sz val="10"/>
            <color rgb="FF000000"/>
            <rFont val="Arial"/>
            <family val="2"/>
          </rPr>
          <t>Low lighting control implies basic horticultural lighting solutions have been used with little to no optimisation for crop type.</t>
        </r>
      </text>
    </comment>
    <comment ref="A44" authorId="0" shapeId="0" xr:uid="{B3C5374A-3F8F-5544-99E8-19937F1CCE08}">
      <text>
        <r>
          <rPr>
            <sz val="10"/>
            <color rgb="FF000000"/>
            <rFont val="Arial"/>
            <family val="2"/>
          </rPr>
          <t>Will you need CO2 enrichment for your vertical farm? Vented and forced air will still bring in CO2 from outside air. Additional CO2 can enhance photosynthetic rates and increase yields but will come with added cost. If you're in an area where supplemental lighting is needed, it's more likely that CO2 enhancement will make sense. (Agritecture Designer)</t>
        </r>
      </text>
    </comment>
    <comment ref="A45" authorId="0" shapeId="0" xr:uid="{ABD6BED8-FB9E-8A4D-8F6F-D16E2D0ADBC4}">
      <text>
        <r>
          <rPr>
            <sz val="10"/>
            <color rgb="FF000000"/>
            <rFont val="Arial"/>
            <family val="2"/>
          </rPr>
          <t xml:space="preserve">There are many structure and covering types when it comes to greenhouses. To make this decision easier to navigate, we have categorized them into 3 options: "Light Duty", "Medium Duty", and "Heavy Duty".
</t>
        </r>
        <r>
          <rPr>
            <sz val="10"/>
            <color rgb="FF000000"/>
            <rFont val="Arial"/>
            <family val="2"/>
          </rPr>
          <t xml:space="preserve">"Light Duty = Polyethylene cover.
</t>
        </r>
        <r>
          <rPr>
            <sz val="10"/>
            <color rgb="FF000000"/>
            <rFont val="Arial"/>
            <family val="2"/>
          </rPr>
          <t xml:space="preserve">Medium Duty = Polycarbonate cover.
</t>
        </r>
        <r>
          <rPr>
            <sz val="10"/>
            <color rgb="FF000000"/>
            <rFont val="Arial"/>
            <family val="2"/>
          </rPr>
          <t xml:space="preserve">Heavy Duty = Glass cover.
</t>
        </r>
        <r>
          <rPr>
            <sz val="10"/>
            <color rgb="FF000000"/>
            <rFont val="Arial"/>
            <family val="2"/>
          </rPr>
          <t xml:space="preserve">There are many considerations for greenhouse structure types, but generally Light Duty will be your lowest cost option and have the least amount of structural integrity/climate control, whereas Heavy Duty will be the opposite.
</t>
        </r>
        <r>
          <rPr>
            <sz val="10"/>
            <color rgb="FF000000"/>
            <rFont val="Arial"/>
            <family val="2"/>
          </rPr>
          <t>(Agritecture Designer)</t>
        </r>
      </text>
    </comment>
    <comment ref="A49" authorId="0" shapeId="0" xr:uid="{4210DC5F-FAEF-114B-BD24-15BFAF390F24}">
      <text>
        <r>
          <rPr>
            <sz val="10"/>
            <color rgb="FF000000"/>
            <rFont val="Tahoma"/>
            <family val="2"/>
          </rPr>
          <t xml:space="preserve">Default 5% reduction from year 3 onwards
</t>
        </r>
      </text>
    </comment>
    <comment ref="A51" authorId="0" shapeId="0" xr:uid="{93BAE8FC-8CF8-2B40-ACF6-F8268666D4E2}">
      <text>
        <r>
          <rPr>
            <b/>
            <sz val="10"/>
            <color rgb="FF000000"/>
            <rFont val="Tahoma"/>
            <family val="2"/>
          </rPr>
          <t xml:space="preserve">Biosecurity </t>
        </r>
        <r>
          <rPr>
            <sz val="10"/>
            <color rgb="FF000000"/>
            <rFont val="Tahoma"/>
            <family val="2"/>
          </rPr>
          <t>affects the risk of pathogen outbreaks on the farm.</t>
        </r>
        <r>
          <rPr>
            <b/>
            <sz val="10"/>
            <color rgb="FF000000"/>
            <rFont val="Tahoma"/>
            <family val="2"/>
          </rPr>
          <t xml:space="preserve">
</t>
        </r>
        <r>
          <rPr>
            <b/>
            <sz val="10"/>
            <color rgb="FF000000"/>
            <rFont val="Tahoma"/>
            <family val="2"/>
          </rPr>
          <t xml:space="preserve">
</t>
        </r>
        <r>
          <rPr>
            <b/>
            <sz val="10"/>
            <color rgb="FF000000"/>
            <rFont val="Tahoma"/>
            <family val="2"/>
          </rPr>
          <t>High</t>
        </r>
        <r>
          <rPr>
            <sz val="10"/>
            <color rgb="FF000000"/>
            <rFont val="Tahoma"/>
            <family val="2"/>
          </rPr>
          <t xml:space="preserve"> - Airlock room, face masks, strict sanitisation measures and regular cleaning. High quality seeds are selected. Hydrogen Peroxide used in system. Visitors must folllow strict hygiene protocol.
</t>
        </r>
        <r>
          <rPr>
            <sz val="10"/>
            <color rgb="FF000000"/>
            <rFont val="Tahoma"/>
            <family val="2"/>
          </rPr>
          <t xml:space="preserve"> 
</t>
        </r>
        <r>
          <rPr>
            <b/>
            <sz val="10"/>
            <color rgb="FF000000"/>
            <rFont val="Tahoma"/>
            <family val="2"/>
          </rPr>
          <t>Medium</t>
        </r>
        <r>
          <rPr>
            <sz val="10"/>
            <color rgb="FF000000"/>
            <rFont val="Tahoma"/>
            <family val="2"/>
          </rPr>
          <t xml:space="preserve"> - Enclosed environment with positive air pressure. High quality seeds are selected. Strict sanitisation measures.
</t>
        </r>
        <r>
          <rPr>
            <sz val="10"/>
            <color rgb="FF000000"/>
            <rFont val="Tahoma"/>
            <family val="2"/>
          </rPr>
          <t xml:space="preserve">
</t>
        </r>
        <r>
          <rPr>
            <b/>
            <sz val="10"/>
            <color rgb="FF000000"/>
            <rFont val="Tahoma"/>
            <family val="2"/>
          </rPr>
          <t>Low</t>
        </r>
        <r>
          <rPr>
            <sz val="10"/>
            <color rgb="FF000000"/>
            <rFont val="Tahoma"/>
            <family val="2"/>
          </rPr>
          <t xml:space="preserve"> - No biosecurity measures in place.</t>
        </r>
      </text>
    </comment>
    <comment ref="A64" authorId="0" shapeId="0" xr:uid="{35832E00-EB16-6E43-8906-BB73E8DF8825}">
      <text>
        <r>
          <rPr>
            <sz val="10"/>
            <color rgb="FF000000"/>
            <rFont val="Tahoma"/>
            <family val="2"/>
          </rPr>
          <t xml:space="preserve">Please check CapEx Breakdown Tab to change CapEx values
</t>
        </r>
      </text>
    </comment>
    <comment ref="A71" authorId="0" shapeId="0" xr:uid="{3C84137F-EFFE-E44D-B779-DE64EDB6C7EC}">
      <text>
        <r>
          <rPr>
            <sz val="10"/>
            <color rgb="FF000000"/>
            <rFont val="Arial"/>
            <family val="2"/>
          </rPr>
          <t>The adjusted plant yield (</t>
        </r>
        <r>
          <rPr>
            <sz val="10"/>
            <color rgb="FF000000"/>
            <rFont val="Cambria Math"/>
            <family val="1"/>
          </rPr>
          <t>𝑌</t>
        </r>
        <r>
          <rPr>
            <sz val="10"/>
            <color rgb="FF000000"/>
            <rFont val="Arial"/>
            <family val="2"/>
          </rPr>
          <t xml:space="preserve"> ) for a plant is calculated from the standard yield (</t>
        </r>
        <r>
          <rPr>
            <sz val="10"/>
            <color rgb="FF000000"/>
            <rFont val="Cambria Math"/>
            <family val="1"/>
          </rPr>
          <t>𝑌</t>
        </r>
        <r>
          <rPr>
            <sz val="10"/>
            <color rgb="FF000000"/>
            <rFont val="Arial"/>
            <family val="2"/>
          </rPr>
          <t xml:space="preserve"> ) which is a </t>
        </r>
        <r>
          <rPr>
            <sz val="10"/>
            <color rgb="FF000000"/>
            <rFont val="Cambria Math"/>
            <family val="1"/>
          </rPr>
          <t>𝑎</t>
        </r>
        <r>
          <rPr>
            <sz val="10"/>
            <color rgb="FF000000"/>
            <rFont val="Cambria Math"/>
            <family val="1"/>
          </rPr>
          <t>𝑠</t>
        </r>
        <r>
          <rPr>
            <sz val="10"/>
            <color rgb="FF000000"/>
            <rFont val="Arial"/>
            <family val="2"/>
          </rPr>
          <t xml:space="preserve">  value validated from the literature, multiplied by the number of plants (</t>
        </r>
        <r>
          <rPr>
            <sz val="10"/>
            <color rgb="FF000000"/>
            <rFont val="Cambria Math"/>
            <family val="1"/>
          </rPr>
          <t>𝑁</t>
        </r>
        <r>
          <rPr>
            <sz val="10"/>
            <color rgb="FF000000"/>
            <rFont val="Cambria Math"/>
            <family val="1"/>
          </rPr>
          <t>𝑝</t>
        </r>
        <r>
          <rPr>
            <sz val="10"/>
            <color rgb="FF000000"/>
            <rFont val="Arial"/>
            <family val="2"/>
          </rPr>
          <t xml:space="preserve">), and various factors influencing its value (Shao et al., 2016). 
</t>
        </r>
        <r>
          <rPr>
            <sz val="10"/>
            <color rgb="FF000000"/>
            <rFont val="Arial"/>
            <family val="2"/>
          </rPr>
          <t xml:space="preserve">
</t>
        </r>
        <r>
          <rPr>
            <sz val="10"/>
            <color rgb="FF000000"/>
            <rFont val="Arial"/>
            <family val="2"/>
          </rPr>
          <t xml:space="preserve">Adjustments for:
</t>
        </r>
        <r>
          <rPr>
            <sz val="10"/>
            <color rgb="FF000000"/>
            <rFont val="Arial"/>
            <family val="2"/>
          </rPr>
          <t xml:space="preserve">Waste adjustment - depndant on growers level 
</t>
        </r>
        <r>
          <rPr>
            <sz val="10"/>
            <color rgb="FF000000"/>
            <rFont val="Arial"/>
            <family val="2"/>
          </rPr>
          <t xml:space="preserve">CO2 enrichment - dependant on CO2 injection
</t>
        </r>
      </text>
    </comment>
    <comment ref="F71" authorId="0" shapeId="0" xr:uid="{048CD979-8F28-9E49-B718-50ACFC469DF1}">
      <text/>
    </comment>
    <comment ref="A75" authorId="0" shapeId="0" xr:uid="{408A653F-DDFE-D246-8813-08DCA8AE914C}">
      <text>
        <r>
          <rPr>
            <sz val="10"/>
            <color rgb="FF000000"/>
            <rFont val="Tahoma"/>
            <family val="2"/>
          </rPr>
          <t xml:space="preserve">Sales calculated from:
</t>
        </r>
        <r>
          <rPr>
            <sz val="10"/>
            <color rgb="FF000000"/>
            <rFont val="Tahoma"/>
            <family val="2"/>
          </rPr>
          <t xml:space="preserve">Adjusted Yield x Price Point for Crop Type
</t>
        </r>
      </text>
    </comment>
    <comment ref="C77" authorId="0" shapeId="0" xr:uid="{23A469D4-E3DE-9E43-9C07-826B7671CCFE}">
      <text>
        <r>
          <rPr>
            <sz val="10"/>
            <color rgb="FF000000"/>
            <rFont val="Tahoma"/>
            <family val="2"/>
          </rPr>
          <t xml:space="preserve">The amont by which you plan to grow this revenue stream each year.
</t>
        </r>
        <r>
          <rPr>
            <sz val="10"/>
            <color rgb="FF000000"/>
            <rFont val="Tahoma"/>
            <family val="2"/>
          </rPr>
          <t xml:space="preserve">State '1' if no growth expected
</t>
        </r>
      </text>
    </comment>
    <comment ref="A89" authorId="0" shapeId="0" xr:uid="{4CF6E050-5108-F74B-8DD8-DBB546B7B270}">
      <text>
        <r>
          <rPr>
            <sz val="10"/>
            <color rgb="FF000000"/>
            <rFont val="Tahoma"/>
            <family val="2"/>
          </rPr>
          <t xml:space="preserve">Packaging and delivery typically account for 6-8% of production cost when near city. 12% when outside city.
</t>
        </r>
      </text>
    </comment>
    <comment ref="A91" authorId="0" shapeId="0" xr:uid="{D915B662-284A-B54B-BF35-8090A4EE6424}">
      <text>
        <r>
          <rPr>
            <b/>
            <sz val="10"/>
            <color rgb="FF000000"/>
            <rFont val="Tahoma"/>
            <family val="2"/>
          </rPr>
          <t xml:space="preserve">80% of electricity is covered by Lighting.
</t>
        </r>
        <r>
          <rPr>
            <b/>
            <sz val="10"/>
            <color rgb="FF000000"/>
            <rFont val="Tahoma"/>
            <family val="2"/>
          </rPr>
          <t xml:space="preserve">x1.25 to include other costs (pump and HVAC)
</t>
        </r>
        <r>
          <rPr>
            <sz val="10"/>
            <color rgb="FF000000"/>
            <rFont val="Arial"/>
            <family val="2"/>
          </rPr>
          <t xml:space="preserve">https://www.researchgate.net/publication/336689846_Optimization_of_Photoperiod_and_Quality_Assessment_of_Basil_Plants_Grown_in_a_Small-Scale_Indoor_Cultivation_System_for_Reduction_of_Energy_Demand
</t>
        </r>
        <r>
          <rPr>
            <b/>
            <sz val="10"/>
            <color rgb="FF000000"/>
            <rFont val="Tahoma"/>
            <family val="2"/>
          </rPr>
          <t xml:space="preserve">
</t>
        </r>
        <r>
          <rPr>
            <b/>
            <sz val="10"/>
            <color rgb="FF000000"/>
            <rFont val="Tahoma"/>
            <family val="2"/>
          </rPr>
          <t xml:space="preserve">
</t>
        </r>
        <r>
          <rPr>
            <sz val="10"/>
            <color rgb="FF000000"/>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I15" authorId="0" shapeId="0" xr:uid="{D46BAF6E-ED27-D64A-B172-94F0F51C2FE1}">
      <text>
        <r>
          <rPr>
            <sz val="10"/>
            <color rgb="FF000000"/>
            <rFont val="Tahoma"/>
            <family val="2"/>
          </rPr>
          <t xml:space="preserve">Depreciation for PFAL building 10 years for facilities, 5 years for LEDs, 15 years for building
</t>
        </r>
        <r>
          <rPr>
            <sz val="10"/>
            <color rgb="FF000000"/>
            <rFont val="Tahoma"/>
            <family val="2"/>
          </rPr>
          <t xml:space="preserve">
</t>
        </r>
        <r>
          <rPr>
            <sz val="10"/>
            <color rgb="FF000000"/>
            <rFont val="Tahoma"/>
            <family val="2"/>
          </rPr>
          <t>Typically accounts for 21% of production costs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K7" authorId="0" shapeId="0" xr:uid="{936DDAB4-0929-8340-A36C-A5F0E190AB27}">
      <text>
        <r>
          <rPr>
            <sz val="10"/>
            <color rgb="FF000000"/>
            <rFont val="Tahoma"/>
            <family val="2"/>
          </rPr>
          <t xml:space="preserve">From Nate Storey's Thesis and Laurence/Sams Yield collection
</t>
        </r>
      </text>
    </comment>
    <comment ref="D10" authorId="0" shapeId="0" xr:uid="{5C3E3144-9B60-A545-84E5-226832E87068}">
      <text>
        <r>
          <rPr>
            <sz val="10"/>
            <color rgb="FF000000"/>
            <rFont val="Arial"/>
            <family val="2"/>
          </rPr>
          <t xml:space="preserve">14 hours showed positive effects on the chlorophyll content and thus physiological development of basil plants 17 days after plants were transplanted
</t>
        </r>
        <r>
          <rPr>
            <sz val="10"/>
            <color rgb="FF000000"/>
            <rFont val="Arial"/>
            <family val="2"/>
          </rPr>
          <t xml:space="preserve">
</t>
        </r>
        <r>
          <rPr>
            <sz val="10"/>
            <color rgb="FF000000"/>
            <rFont val="Arial"/>
            <family val="2"/>
          </rPr>
          <t>https://www.researchgate.net/publication/336689846_Optimization_of_Photoperiod_and_Quality_Assessment_of_Basil_Plants_Grown_in_a_Small-Scale_Indoor_Cultivation_System_for_Reduction_of_Energy_Demand</t>
        </r>
      </text>
    </comment>
    <comment ref="H79" authorId="0" shapeId="0" xr:uid="{FD40423D-AAD2-3747-A0C4-12A39D1D512C}">
      <text>
        <r>
          <rPr>
            <b/>
            <sz val="10"/>
            <color rgb="FF000000"/>
            <rFont val="Tahoma"/>
            <family val="2"/>
          </rPr>
          <t>LED efficiency default is 40%, HID efficiency default is 20%</t>
        </r>
        <r>
          <rPr>
            <sz val="10"/>
            <color rgb="FF000000"/>
            <rFont val="Tahoma"/>
            <family val="2"/>
          </rPr>
          <t xml:space="preserve">
</t>
        </r>
      </text>
    </comment>
    <comment ref="D83" authorId="0" shapeId="0" xr:uid="{28204A8C-A596-0D4C-8246-63CED65CB4C6}">
      <text>
        <r>
          <rPr>
            <sz val="10"/>
            <color rgb="FF000000"/>
            <rFont val="Tahoma"/>
            <family val="2"/>
          </rPr>
          <t>@ 25cm</t>
        </r>
      </text>
    </comment>
    <comment ref="Q130" authorId="0" shapeId="0" xr:uid="{6A43EA71-C8AC-484D-B219-610B1FB3A10C}">
      <text>
        <r>
          <rPr>
            <sz val="10"/>
            <color rgb="FF000000"/>
            <rFont val="Tahoma"/>
            <family val="2"/>
          </rPr>
          <t xml:space="preserve">CerifHy FCH JU Compliance 
</t>
        </r>
        <r>
          <rPr>
            <sz val="10"/>
            <color rgb="FF000000"/>
            <rFont val="Tahoma"/>
            <family val="2"/>
          </rPr>
          <t xml:space="preserve">
</t>
        </r>
        <r>
          <rPr>
            <sz val="10"/>
            <color rgb="FF000000"/>
            <rFont val="Tahoma"/>
            <family val="2"/>
          </rPr>
          <t>https://www.fch.europa.eu/news/clarification-compliance-certifhy-green-hydrogen-criteria-fch-ju-projects#:~:text=The%20average%20carbon%20footprint%20of,g%20CO2equ%2FMJLHV.</t>
        </r>
      </text>
    </comment>
    <comment ref="T135" authorId="0" shapeId="0" xr:uid="{C6F5FF7C-CE05-8D44-A9F2-B5F198EC7E39}">
      <text>
        <r>
          <rPr>
            <b/>
            <sz val="10"/>
            <color rgb="FF000000"/>
            <rFont val="Tahoma"/>
            <family val="2"/>
          </rPr>
          <t>https://www.imperial.ac.uk/media/imperial-college/research-centres-and-groups/sustainable-gas-institute/SGI-A-greener-gas-grid-what-are-the-options-WP3.pdf</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4">
    <bk>
      <extLst>
        <ext uri="{3e2802c4-a4d2-4d8b-9148-e3be6c30e623}">
          <xlrd:rvb i="1"/>
        </ext>
      </extLst>
    </bk>
    <bk>
      <extLst>
        <ext uri="{3e2802c4-a4d2-4d8b-9148-e3be6c30e623}">
          <xlrd:rvb i="3"/>
        </ext>
      </extLst>
    </bk>
    <bk>
      <extLst>
        <ext uri="{3e2802c4-a4d2-4d8b-9148-e3be6c30e623}">
          <xlrd:rvb i="5"/>
        </ext>
      </extLst>
    </bk>
    <bk>
      <extLst>
        <ext uri="{3e2802c4-a4d2-4d8b-9148-e3be6c30e623}">
          <xlrd:rvb i="7"/>
        </ext>
      </extLst>
    </bk>
  </futureMetadata>
  <cellMetadata count="1">
    <bk>
      <rc t="1" v="0"/>
    </bk>
  </cellMetadata>
  <valueMetadata count="4">
    <bk>
      <rc t="2" v="0"/>
    </bk>
    <bk>
      <rc t="2" v="1"/>
    </bk>
    <bk>
      <rc t="2" v="2"/>
    </bk>
    <bk>
      <rc t="2" v="3"/>
    </bk>
  </valueMetadata>
</metadata>
</file>

<file path=xl/sharedStrings.xml><?xml version="1.0" encoding="utf-8"?>
<sst xmlns="http://schemas.openxmlformats.org/spreadsheetml/2006/main" count="1764" uniqueCount="1061">
  <si>
    <t>Packaging types &amp; ROUGH Cost per package</t>
  </si>
  <si>
    <t>Initial CapEx</t>
  </si>
  <si>
    <t>Assumptions</t>
  </si>
  <si>
    <t>Construction (X)</t>
  </si>
  <si>
    <t>0.25oz</t>
  </si>
  <si>
    <t>0.5oz</t>
  </si>
  <si>
    <t>1oz</t>
  </si>
  <si>
    <t>2oz</t>
  </si>
  <si>
    <t>4oz</t>
  </si>
  <si>
    <t>8oz</t>
  </si>
  <si>
    <t>16oz/1lb</t>
  </si>
  <si>
    <t>Live Plant</t>
  </si>
  <si>
    <t>Case</t>
  </si>
  <si>
    <t>Wholesale - Basic</t>
  </si>
  <si>
    <t>Wholesale - Premium</t>
  </si>
  <si>
    <t>Retail - Basic</t>
  </si>
  <si>
    <t>Retail - Premium</t>
  </si>
  <si>
    <t xml:space="preserve">Use these figures to plug into your packaging </t>
  </si>
  <si>
    <t>Other cost as a % of Salaries</t>
  </si>
  <si>
    <t>Notes</t>
  </si>
  <si>
    <t>Monthly Y1 Avg</t>
  </si>
  <si>
    <t>Year 1 Total</t>
  </si>
  <si>
    <t>Year 2 Total</t>
  </si>
  <si>
    <t>Produce Sales</t>
  </si>
  <si>
    <t>Calculated above</t>
  </si>
  <si>
    <t>Value-Added Products</t>
  </si>
  <si>
    <t>Optional</t>
  </si>
  <si>
    <t>Education</t>
  </si>
  <si>
    <t>Tourism</t>
  </si>
  <si>
    <t>Hospitality</t>
  </si>
  <si>
    <t>Equipment (Y)</t>
  </si>
  <si>
    <t>TOTAL (X+Y)</t>
  </si>
  <si>
    <t>Monthly, end of Y1</t>
  </si>
  <si>
    <t>Y1 TOTAL</t>
  </si>
  <si>
    <t>Y2 TOTAL</t>
  </si>
  <si>
    <t>Y3 TOTAL</t>
  </si>
  <si>
    <t>Gross Revenue (A)</t>
  </si>
  <si>
    <t>Cost of Goods Sold (B)</t>
  </si>
  <si>
    <t>Gross Profit (C) = (A-B)</t>
  </si>
  <si>
    <t>Total Operating Expense (D)</t>
  </si>
  <si>
    <t>Payback Period (Years)</t>
  </si>
  <si>
    <t>Note this is not an exact calculation</t>
  </si>
  <si>
    <t>Total Revenue</t>
  </si>
  <si>
    <t>Direct Labor</t>
  </si>
  <si>
    <t>From Staff Calculations below</t>
  </si>
  <si>
    <t>Growing Media</t>
  </si>
  <si>
    <t>Ask for Guidance</t>
  </si>
  <si>
    <t>Packaging</t>
  </si>
  <si>
    <t>Use sheet "Packaging" for guide</t>
  </si>
  <si>
    <t>Seeds &amp; Nutrients</t>
  </si>
  <si>
    <t>Based on your crop type</t>
  </si>
  <si>
    <t>Utilities: Electricity</t>
  </si>
  <si>
    <t>Based on your chosen space</t>
  </si>
  <si>
    <t>Utilities: Water</t>
  </si>
  <si>
    <t>Total COGS</t>
  </si>
  <si>
    <t>Gross Profit (Total Revenue - Total COGS)</t>
  </si>
  <si>
    <t>Rent</t>
  </si>
  <si>
    <t>Total Operating Expense</t>
  </si>
  <si>
    <t>Staff Calculations</t>
  </si>
  <si>
    <t>Monthly Salary</t>
  </si>
  <si>
    <t>Yearly Salary</t>
  </si>
  <si>
    <t>Delivery</t>
  </si>
  <si>
    <t>Farm Hand</t>
  </si>
  <si>
    <t>Total</t>
  </si>
  <si>
    <t>CEO</t>
  </si>
  <si>
    <t>Head Grower</t>
  </si>
  <si>
    <t>Marketer</t>
  </si>
  <si>
    <t>Scientist/Engineer</t>
  </si>
  <si>
    <t>Salesperson</t>
  </si>
  <si>
    <t>Total Headcount</t>
  </si>
  <si>
    <t>Roof type</t>
  </si>
  <si>
    <t>Tax rate</t>
  </si>
  <si>
    <t>Insulation level</t>
  </si>
  <si>
    <t>System Type</t>
  </si>
  <si>
    <t>Climate Control</t>
  </si>
  <si>
    <t>Automation Level</t>
  </si>
  <si>
    <t>Grower experience</t>
  </si>
  <si>
    <t># of tiers/Grow levels</t>
  </si>
  <si>
    <t>Farm Type</t>
  </si>
  <si>
    <t>Farm Characteristics</t>
  </si>
  <si>
    <t>Return on Investment</t>
  </si>
  <si>
    <t>Wholesale</t>
  </si>
  <si>
    <t>Restaurants</t>
  </si>
  <si>
    <t>Retail</t>
  </si>
  <si>
    <t>Direct to Consumer</t>
  </si>
  <si>
    <t>Price Multiplier</t>
  </si>
  <si>
    <t>Market Type</t>
  </si>
  <si>
    <t>Marginal cost (average)</t>
  </si>
  <si>
    <t>Average total costs</t>
  </si>
  <si>
    <t>Average variable costs</t>
  </si>
  <si>
    <t>Average fixed costs</t>
  </si>
  <si>
    <t>Total costs</t>
  </si>
  <si>
    <t>Variable costs</t>
  </si>
  <si>
    <t>Fixed costs</t>
  </si>
  <si>
    <t>Orders made per month</t>
  </si>
  <si>
    <t>No. of machines</t>
  </si>
  <si>
    <t>No of workers</t>
  </si>
  <si>
    <t>Production Technology #2</t>
  </si>
  <si>
    <t>Production Technology #1</t>
  </si>
  <si>
    <t>Sales &amp; Marketing</t>
  </si>
  <si>
    <t>-</t>
  </si>
  <si>
    <t>Marginal Product  of Labour</t>
  </si>
  <si>
    <t>Deliveries made per hour</t>
  </si>
  <si>
    <t>Low labour, High automation</t>
  </si>
  <si>
    <t>Production technology #3</t>
  </si>
  <si>
    <t>Med labour, Med automation</t>
  </si>
  <si>
    <t>High labour, low automation</t>
  </si>
  <si>
    <t>Crops packaged</t>
  </si>
  <si>
    <t>Low labour, High machinery</t>
  </si>
  <si>
    <t>Production Technology #3</t>
  </si>
  <si>
    <t>Med labour, some machinery</t>
  </si>
  <si>
    <t>Crop kg harvested per week</t>
  </si>
  <si>
    <t>Harvesting</t>
  </si>
  <si>
    <t>Crops grown to harvest</t>
  </si>
  <si>
    <t>Per kg</t>
  </si>
  <si>
    <t>High labour, no machinery</t>
  </si>
  <si>
    <t xml:space="preserve">Growing </t>
  </si>
  <si>
    <t>Seeds propogated per week</t>
  </si>
  <si>
    <t>Sowing &amp; Propogation</t>
  </si>
  <si>
    <t>Seeds purchased</t>
  </si>
  <si>
    <t>Orders made per year</t>
  </si>
  <si>
    <t>Med labour, Med machinery</t>
  </si>
  <si>
    <t>Purchasing Consumables</t>
  </si>
  <si>
    <t>Revenue (per year)</t>
  </si>
  <si>
    <t>15g</t>
  </si>
  <si>
    <t>7.5g</t>
  </si>
  <si>
    <t>30g</t>
  </si>
  <si>
    <t>60g</t>
  </si>
  <si>
    <t>120g</t>
  </si>
  <si>
    <t>240g</t>
  </si>
  <si>
    <t>450g</t>
  </si>
  <si>
    <t>Replace with your own numbers. Highlight green when replaced</t>
  </si>
  <si>
    <t>Y4 TOTAL</t>
  </si>
  <si>
    <t>Y5 TOTAL</t>
  </si>
  <si>
    <t>Y6 TOTAL</t>
  </si>
  <si>
    <t>Y7 TOTAL</t>
  </si>
  <si>
    <t>Y8 TOTAL</t>
  </si>
  <si>
    <t>Y9 TOTAL</t>
  </si>
  <si>
    <t>Y10 TOTAL</t>
  </si>
  <si>
    <t>Y11 TOTAL</t>
  </si>
  <si>
    <t>Y12 TOTAL</t>
  </si>
  <si>
    <t>Y13 TOTAL</t>
  </si>
  <si>
    <t>Y14 TOTAL</t>
  </si>
  <si>
    <t>Y15 TOTAL</t>
  </si>
  <si>
    <t>Year 3 Total</t>
  </si>
  <si>
    <t>Year 4 Total</t>
  </si>
  <si>
    <t>Year 5 Total</t>
  </si>
  <si>
    <t>Year 6 Total</t>
  </si>
  <si>
    <t>Year 7 Total</t>
  </si>
  <si>
    <t>Year 8 Total</t>
  </si>
  <si>
    <t>Year 9 Total</t>
  </si>
  <si>
    <t>Year 10 Total</t>
  </si>
  <si>
    <t>Year 11 Total</t>
  </si>
  <si>
    <t>Year 12 Total</t>
  </si>
  <si>
    <t>Year 13 Total</t>
  </si>
  <si>
    <t>Year 14 Total</t>
  </si>
  <si>
    <t>Year 15 Total</t>
  </si>
  <si>
    <t>Lighting Control</t>
  </si>
  <si>
    <t>SOURCE DATA FOR PINK CELLS</t>
  </si>
  <si>
    <t>DEPENDANT ON GROWTH PLANS</t>
  </si>
  <si>
    <t>High</t>
  </si>
  <si>
    <t>Low</t>
  </si>
  <si>
    <t>Medium</t>
  </si>
  <si>
    <t>Flat roof</t>
  </si>
  <si>
    <t>ADDED BUT NOT USED (YET)</t>
  </si>
  <si>
    <t>GUIDELINES:</t>
  </si>
  <si>
    <t>Year 1 (PILOT)</t>
  </si>
  <si>
    <t>Year 2 (FULL-SCALE)</t>
  </si>
  <si>
    <t>Use these figures to plug into 'Overview'</t>
  </si>
  <si>
    <t>Seeds</t>
  </si>
  <si>
    <t>CONSUMABLES</t>
  </si>
  <si>
    <t>Plants</t>
  </si>
  <si>
    <t>Lettuce (butterhead)</t>
  </si>
  <si>
    <t>Strawberry</t>
  </si>
  <si>
    <t>Chinese Leaf</t>
  </si>
  <si>
    <t>PPFD μmol / mol/ m2/s</t>
  </si>
  <si>
    <t>PAR mol/m2/day</t>
  </si>
  <si>
    <t>Photoperiod hours</t>
  </si>
  <si>
    <t>Days before harvest</t>
  </si>
  <si>
    <t>Dry Mass/plant/kg</t>
  </si>
  <si>
    <t>DM-FM</t>
  </si>
  <si>
    <t>Plants/m2</t>
  </si>
  <si>
    <t>Gross yield kg/m2/year</t>
  </si>
  <si>
    <t>Water L/DM kg plant</t>
  </si>
  <si>
    <t>FM per plant kg</t>
  </si>
  <si>
    <t>Water Use L/M2/year</t>
  </si>
  <si>
    <t>Plant spacing m</t>
  </si>
  <si>
    <t>Height of shoot m</t>
  </si>
  <si>
    <t>Depth of root m</t>
  </si>
  <si>
    <t>Light Use Efficiency kg/mol/m2</t>
  </si>
  <si>
    <t>Harvest index</t>
  </si>
  <si>
    <t>Spinach</t>
  </si>
  <si>
    <t>Values have been sourced from literature</t>
  </si>
  <si>
    <t>Investment left.</t>
  </si>
  <si>
    <t>Requires correction</t>
  </si>
  <si>
    <t>Years</t>
  </si>
  <si>
    <t>Net Profit (EDITBA - Tax - Loan Interest - Depreciation - Amortization)</t>
  </si>
  <si>
    <t>EBITDA (Gross Profit - Operating Expense)</t>
  </si>
  <si>
    <t>EBITDA Profit/Loss (E) (C-D)</t>
  </si>
  <si>
    <t>Net Profit/Loss (E) - Tax - Interest</t>
  </si>
  <si>
    <t>Company Info</t>
  </si>
  <si>
    <t>Loan interest</t>
  </si>
  <si>
    <t>Loan amount</t>
  </si>
  <si>
    <t>Loan tenure (years)</t>
  </si>
  <si>
    <t>Loan repayments</t>
  </si>
  <si>
    <t>Loan balance</t>
  </si>
  <si>
    <t>NEEDS CORRECTING</t>
  </si>
  <si>
    <t>Ensure a real number is returned if loan tenture is less than 15</t>
  </si>
  <si>
    <t>Loan type</t>
  </si>
  <si>
    <t>Standard</t>
  </si>
  <si>
    <t>Taxes</t>
  </si>
  <si>
    <t>Capital Expenditure</t>
  </si>
  <si>
    <t>Business Model</t>
  </si>
  <si>
    <t>Facility size (sq-m)</t>
  </si>
  <si>
    <t>DEFAULT VALUES (OVERIDE IF KNOWN)</t>
  </si>
  <si>
    <t>VARIABLE PARAMETERS</t>
  </si>
  <si>
    <t>Live Plant x2</t>
  </si>
  <si>
    <t>Live Plant x4</t>
  </si>
  <si>
    <t>ZipRack</t>
  </si>
  <si>
    <t>V-Farm</t>
  </si>
  <si>
    <t>Yes</t>
  </si>
  <si>
    <t>CO2 Enrichment</t>
  </si>
  <si>
    <t>Germination &amp; clean area</t>
  </si>
  <si>
    <t>Processing plant cost</t>
  </si>
  <si>
    <t>Waste management cost</t>
  </si>
  <si>
    <t>Renewable energy implementation</t>
  </si>
  <si>
    <t>Total Capital Expense</t>
  </si>
  <si>
    <t>Total construction cost</t>
  </si>
  <si>
    <t>Depreciation/year (%)</t>
  </si>
  <si>
    <t>Depreciation/year (£)</t>
  </si>
  <si>
    <t>Construction Cost</t>
  </si>
  <si>
    <t>Pilot Farm</t>
  </si>
  <si>
    <t>Life-span (years)</t>
  </si>
  <si>
    <t>Lifetime (hours)</t>
  </si>
  <si>
    <t>Irrigation and Nutrient System cost</t>
  </si>
  <si>
    <t>Predicted cost/sq-m</t>
  </si>
  <si>
    <t>Equipment Cost</t>
  </si>
  <si>
    <t>Management cost</t>
  </si>
  <si>
    <t>Construction Cost Cross Validation with Cost Models from Turner &amp; Townsend (2012)</t>
  </si>
  <si>
    <t>China (Shanghai)</t>
  </si>
  <si>
    <t>Cost model</t>
  </si>
  <si>
    <t>Office - business park</t>
  </si>
  <si>
    <t>Warehouse/factory unit - basic</t>
  </si>
  <si>
    <t>High-tech facility/laboratory</t>
  </si>
  <si>
    <t>UK (London)</t>
  </si>
  <si>
    <t>US (Washington DC)</t>
  </si>
  <si>
    <t>Average cost USD/m^2</t>
  </si>
  <si>
    <t>Predicted Cost (USD/m^2)</t>
  </si>
  <si>
    <t>Depreciation Calculator</t>
  </si>
  <si>
    <t>% of Total</t>
  </si>
  <si>
    <t>Cold storage</t>
  </si>
  <si>
    <t>Lighting systems</t>
  </si>
  <si>
    <t>HVAC system</t>
  </si>
  <si>
    <t>Growing system</t>
  </si>
  <si>
    <t>Racking</t>
  </si>
  <si>
    <t>Real estate</t>
  </si>
  <si>
    <t>Structure</t>
  </si>
  <si>
    <t>Finishing</t>
  </si>
  <si>
    <t>Appliance</t>
  </si>
  <si>
    <t xml:space="preserve"> N/A </t>
  </si>
  <si>
    <t xml:space="preserve"> $          0.05</t>
  </si>
  <si>
    <t xml:space="preserve"> $          0.06</t>
  </si>
  <si>
    <t xml:space="preserve"> $          0.13</t>
  </si>
  <si>
    <t xml:space="preserve"> $          0.25</t>
  </si>
  <si>
    <t xml:space="preserve"> $          0.02</t>
  </si>
  <si>
    <t xml:space="preserve"> $         2.00</t>
  </si>
  <si>
    <t xml:space="preserve"> $          0.15</t>
  </si>
  <si>
    <t xml:space="preserve"> $          0.14</t>
  </si>
  <si>
    <t xml:space="preserve"> $          0.28</t>
  </si>
  <si>
    <t xml:space="preserve"> $          0.55</t>
  </si>
  <si>
    <t xml:space="preserve"> $          0.10</t>
  </si>
  <si>
    <t xml:space="preserve"> $         4.00</t>
  </si>
  <si>
    <t xml:space="preserve"> $          0.09</t>
  </si>
  <si>
    <t xml:space="preserve"> $          0.18</t>
  </si>
  <si>
    <t xml:space="preserve"> $          0.35</t>
  </si>
  <si>
    <t xml:space="preserve"> $          0.19</t>
  </si>
  <si>
    <t xml:space="preserve"> $          0.38</t>
  </si>
  <si>
    <t xml:space="preserve"> $          0.75</t>
  </si>
  <si>
    <t>Full Scale Cost</t>
  </si>
  <si>
    <t>Pilot Farm Cost</t>
  </si>
  <si>
    <t>Total Cost</t>
  </si>
  <si>
    <t>Depreciation Cost per year</t>
  </si>
  <si>
    <t>Depreciation &amp; Amortisation</t>
  </si>
  <si>
    <t>Cost of Goods Sold (COGS) - Variable Costs</t>
  </si>
  <si>
    <t>Operating Expense - Fixed Costs</t>
  </si>
  <si>
    <t>Staff (Non-Direct Labor)</t>
  </si>
  <si>
    <t>Other costs (as % of salaries)</t>
  </si>
  <si>
    <t>Insurance</t>
  </si>
  <si>
    <t>Distribution</t>
  </si>
  <si>
    <t>Asssumption</t>
  </si>
  <si>
    <t>Average</t>
  </si>
  <si>
    <t>Horizontal Growing Area (sq-m)</t>
  </si>
  <si>
    <t>Total Stacked Growing Area (sq-m)</t>
  </si>
  <si>
    <t>Crop Type 1</t>
  </si>
  <si>
    <t>Crop Type 2</t>
  </si>
  <si>
    <t>Crop Type 3</t>
  </si>
  <si>
    <t>Crop Type 4</t>
  </si>
  <si>
    <t>Grow System</t>
  </si>
  <si>
    <t>None</t>
  </si>
  <si>
    <t>Photoperiod (Hours)</t>
  </si>
  <si>
    <t>Pilot</t>
  </si>
  <si>
    <t>Full-Scale</t>
  </si>
  <si>
    <t>£ per unit of yield</t>
  </si>
  <si>
    <t>Grow Percentage Total</t>
  </si>
  <si>
    <t>Yield</t>
  </si>
  <si>
    <t>Needs correcting</t>
  </si>
  <si>
    <t>Growing area multiplier (for year 2 full-scale)</t>
  </si>
  <si>
    <t>Lighting System</t>
  </si>
  <si>
    <t xml:space="preserve">CROP &amp; SYSTEM DATABASE </t>
  </si>
  <si>
    <t>GROWING SYSTEM</t>
  </si>
  <si>
    <t>LIGHTING SYSTEM</t>
  </si>
  <si>
    <t>Folio Novia</t>
  </si>
  <si>
    <t>Light source</t>
  </si>
  <si>
    <t>LED</t>
  </si>
  <si>
    <t>Spectrum</t>
  </si>
  <si>
    <t>FOLIO - early to vegetative</t>
  </si>
  <si>
    <t>Input Voltage</t>
  </si>
  <si>
    <t>Autosensing 100-277 VAC</t>
  </si>
  <si>
    <t>320W</t>
  </si>
  <si>
    <t>Efficiency (μm/J)</t>
  </si>
  <si>
    <t>Mounting Height</t>
  </si>
  <si>
    <t>15cm above canopy</t>
  </si>
  <si>
    <t>Thermal Management</t>
  </si>
  <si>
    <t>Passive/Active</t>
  </si>
  <si>
    <t>Coverage @ 220 μm</t>
  </si>
  <si>
    <t>2m x 1m</t>
  </si>
  <si>
    <t>Dimmable</t>
  </si>
  <si>
    <t>Dimming</t>
  </si>
  <si>
    <t>1-10V</t>
  </si>
  <si>
    <t>LED Lifetime (L90) (hours)</t>
  </si>
  <si>
    <t xml:space="preserve">Mercucery/Lead content </t>
  </si>
  <si>
    <t>Warranty</t>
  </si>
  <si>
    <t>5-year limited</t>
  </si>
  <si>
    <t>Certification</t>
  </si>
  <si>
    <t>C.E. RoHS compliant</t>
  </si>
  <si>
    <t>Website</t>
  </si>
  <si>
    <t>www.liberty-produce.com</t>
  </si>
  <si>
    <t>1.6-3.2</t>
  </si>
  <si>
    <t>32-37.5 (Vdc)</t>
  </si>
  <si>
    <t>64-75 (Vdc))</t>
  </si>
  <si>
    <t>Passive Air Cooling</t>
  </si>
  <si>
    <t>Max Dimensions (LxBxH)</t>
  </si>
  <si>
    <t>Unit Weight (kg)</t>
  </si>
  <si>
    <t>2.39m x 112mm x 36mm</t>
  </si>
  <si>
    <t>Light Distribution</t>
  </si>
  <si>
    <t>150 degree coverage</t>
  </si>
  <si>
    <t>300 degree coverage</t>
  </si>
  <si>
    <t>Cable Length</t>
  </si>
  <si>
    <t>3m +-0.2m</t>
  </si>
  <si>
    <t>3-year std</t>
  </si>
  <si>
    <t>3-year stf</t>
  </si>
  <si>
    <t>1.6-3.3</t>
  </si>
  <si>
    <t>151 degree coverage</t>
  </si>
  <si>
    <t>1.6-3.4</t>
  </si>
  <si>
    <t>152 degree coverage</t>
  </si>
  <si>
    <t>301 degree coverage</t>
  </si>
  <si>
    <t>302 degree coverage</t>
  </si>
  <si>
    <t>Spectra B</t>
  </si>
  <si>
    <t>Spectra G</t>
  </si>
  <si>
    <t>Spectra J</t>
  </si>
  <si>
    <t>100W</t>
  </si>
  <si>
    <t>150W</t>
  </si>
  <si>
    <t>PPF (μmol/s)</t>
  </si>
  <si>
    <t>Efficacy Spectrum (μmol/J)</t>
  </si>
  <si>
    <t>Input Power (Lamp)</t>
  </si>
  <si>
    <t>Intravision Spectra Blade Single Sided - B</t>
  </si>
  <si>
    <t>Intravision Spectra Blade Single Sided - G</t>
  </si>
  <si>
    <t>Intravision Spectra Blade Single Sided - J</t>
  </si>
  <si>
    <t>Intravision Spectra Blade Double Sided - B</t>
  </si>
  <si>
    <t>Intravision Spectra Blade Double Sided - G</t>
  </si>
  <si>
    <t>Intravision Spectra Blade Double Sided - J</t>
  </si>
  <si>
    <t>Ceiling height (m)</t>
  </si>
  <si>
    <t>Seed Cost</t>
  </si>
  <si>
    <t>Media</t>
  </si>
  <si>
    <t>Plugs</t>
  </si>
  <si>
    <t>Chemicals</t>
  </si>
  <si>
    <t>Watercress</t>
  </si>
  <si>
    <t>Amaranth</t>
  </si>
  <si>
    <t>Arugula</t>
  </si>
  <si>
    <t>Basil - Thai</t>
  </si>
  <si>
    <t>Cai Xin</t>
  </si>
  <si>
    <t>Chard Swiss</t>
  </si>
  <si>
    <t>Choy Sum</t>
  </si>
  <si>
    <t>Cilantro</t>
  </si>
  <si>
    <t>Dill</t>
  </si>
  <si>
    <t>Escarole</t>
  </si>
  <si>
    <t>Fennel</t>
  </si>
  <si>
    <t>Gai Choi</t>
  </si>
  <si>
    <t>Gailan</t>
  </si>
  <si>
    <t>Lettuce Romaine</t>
  </si>
  <si>
    <t>Microgreens - Arugula</t>
  </si>
  <si>
    <t>Microgreens - Bull's Blood Beet</t>
  </si>
  <si>
    <t>Microgreens - Buttercrunch Lettuce</t>
  </si>
  <si>
    <t>Microgreens - Daikon Radish</t>
  </si>
  <si>
    <t>Microgreens - Dwarf Blue Curled Skotch kale</t>
  </si>
  <si>
    <t>Microgreens - Radish</t>
  </si>
  <si>
    <t>Microgreens - Peashoots</t>
  </si>
  <si>
    <t>Microgreens - Parsley</t>
  </si>
  <si>
    <t>Microgreens - Lacinato Kale</t>
  </si>
  <si>
    <t>Microgreens - Mustard greens</t>
  </si>
  <si>
    <t>Microgreens - Mizuna</t>
  </si>
  <si>
    <t>Microgreens - Mustard</t>
  </si>
  <si>
    <t>Microgreens - Red Russian Kale</t>
  </si>
  <si>
    <t>Microgreens - Red Velvet Lettuce</t>
  </si>
  <si>
    <t>Microgreens - Sorrell</t>
  </si>
  <si>
    <t>Microgreens - Swiss Chard</t>
  </si>
  <si>
    <t>Microgreens - Tatsoi</t>
  </si>
  <si>
    <t>Microgreens - Watercress</t>
  </si>
  <si>
    <t>Parsley</t>
  </si>
  <si>
    <t>Mustard Greens</t>
  </si>
  <si>
    <t>Rosemary</t>
  </si>
  <si>
    <t>Sage</t>
  </si>
  <si>
    <t>Scallion</t>
  </si>
  <si>
    <t>Salad Mix - Baby Greens</t>
  </si>
  <si>
    <t>Sorrel -Green</t>
  </si>
  <si>
    <t>Stevia</t>
  </si>
  <si>
    <t>Tarragon</t>
  </si>
  <si>
    <t>Thyme</t>
  </si>
  <si>
    <t>Kale</t>
  </si>
  <si>
    <t>% of Site Area Dedicated to Production</t>
  </si>
  <si>
    <t>Structure Type</t>
  </si>
  <si>
    <t>Estimated Jobs Created</t>
  </si>
  <si>
    <t>Max Annual Yield (kg)</t>
  </si>
  <si>
    <t>Full-Scale Farm</t>
  </si>
  <si>
    <t>Scale-up cost</t>
  </si>
  <si>
    <t>Lettuce - heads</t>
  </si>
  <si>
    <t>NFT</t>
  </si>
  <si>
    <t>Aeroponic</t>
  </si>
  <si>
    <t>Ebb/Flow</t>
  </si>
  <si>
    <t>Max annual yield kg/m2/year - Agritecture (Greenhouse with heating, supplemental lighting, and CO2)</t>
  </si>
  <si>
    <t>Bucket</t>
  </si>
  <si>
    <t>Soil</t>
  </si>
  <si>
    <t>Slab</t>
  </si>
  <si>
    <t>Basil - Genovese</t>
  </si>
  <si>
    <t>Chives</t>
  </si>
  <si>
    <t>DWC</t>
  </si>
  <si>
    <t>Hydroponic Average</t>
  </si>
  <si>
    <t>Pounds</t>
  </si>
  <si>
    <t>1-100</t>
  </si>
  <si>
    <t>100-1000</t>
  </si>
  <si>
    <t>1000-10000</t>
  </si>
  <si>
    <t>10000-100000</t>
  </si>
  <si>
    <t>Prices for Quantities</t>
  </si>
  <si>
    <t>No. of Plants (Pilot)</t>
  </si>
  <si>
    <t>No. of Plants (Full)</t>
  </si>
  <si>
    <t>System Multiplier</t>
  </si>
  <si>
    <t>Dimensions</t>
  </si>
  <si>
    <t>Area</t>
  </si>
  <si>
    <t>Plant sites</t>
  </si>
  <si>
    <t>Cost</t>
  </si>
  <si>
    <t>Qty</t>
  </si>
  <si>
    <t>Max Power (W)</t>
  </si>
  <si>
    <t>Electricity price (£/kWh)</t>
  </si>
  <si>
    <t xml:space="preserve">Water price (£/L) </t>
  </si>
  <si>
    <t>Number of Lights required</t>
  </si>
  <si>
    <t>Drip Tower</t>
  </si>
  <si>
    <t>Labour effiency improvement rate (%/year)</t>
  </si>
  <si>
    <t>Monthly Y2 AVG</t>
  </si>
  <si>
    <t>Monthly Y1 AVG</t>
  </si>
  <si>
    <t>Monthly Y1 AVG (Pilot)</t>
  </si>
  <si>
    <t>Monthly Y2 AVG (Full)</t>
  </si>
  <si>
    <t>Growth Multiplier/year</t>
  </si>
  <si>
    <t>Monthly Y2 avg</t>
  </si>
  <si>
    <t>Monthly Y2 Avg</t>
  </si>
  <si>
    <t>Staff Headcount - Team Expansion Plans</t>
  </si>
  <si>
    <t>Direct Labor Staff - Wages</t>
  </si>
  <si>
    <t>Other Staff - Salaries</t>
  </si>
  <si>
    <t>Hemp</t>
  </si>
  <si>
    <t>Jute</t>
  </si>
  <si>
    <t>Peat</t>
  </si>
  <si>
    <t>Plant</t>
  </si>
  <si>
    <t>Energy (kg/kWh)</t>
  </si>
  <si>
    <t>Space (kg/m^2)</t>
  </si>
  <si>
    <t>Water (kg/L)</t>
  </si>
  <si>
    <t>per plant</t>
  </si>
  <si>
    <t>Propogation</t>
  </si>
  <si>
    <t>Avg Total £ Revenue per Month (100% capacity)</t>
  </si>
  <si>
    <t>Avg Total Yield per Month</t>
  </si>
  <si>
    <t>SOURCE YOUR DATA FOR PINK CELLS</t>
  </si>
  <si>
    <t>Economic Model</t>
  </si>
  <si>
    <t>Productivity Metrics</t>
  </si>
  <si>
    <t>Energy use (kWh)</t>
  </si>
  <si>
    <t>Nutrient (kg/kg)</t>
  </si>
  <si>
    <t>Labour (kg/man-hour)</t>
  </si>
  <si>
    <t>Growing volume (kg/m3)</t>
  </si>
  <si>
    <t>Admin</t>
  </si>
  <si>
    <t>Manager</t>
  </si>
  <si>
    <t>Add manually per year</t>
  </si>
  <si>
    <t>Grants and Crowdfunding</t>
  </si>
  <si>
    <t>Cost of Seeds per month</t>
  </si>
  <si>
    <t>Temperature Factor</t>
  </si>
  <si>
    <t>Nutrient Factor</t>
  </si>
  <si>
    <t>Light Factor</t>
  </si>
  <si>
    <t>CO2 Factor</t>
  </si>
  <si>
    <t>Product Quality</t>
  </si>
  <si>
    <t>Nutrient Control</t>
  </si>
  <si>
    <t>Air Conditioning</t>
  </si>
  <si>
    <t>No</t>
  </si>
  <si>
    <t>Light Control</t>
  </si>
  <si>
    <t>Best Case Yield kg per month</t>
  </si>
  <si>
    <t>CALCULATED OR DEFAULT VALUES (OVERIDE IF EXACT VALUES KNOWN)</t>
  </si>
  <si>
    <t>Waste Adjusted yield (Crop 1) (kg)</t>
  </si>
  <si>
    <t>Waste Adjusted yield (Crop 2) (kg)</t>
  </si>
  <si>
    <t>Waste Adjusted yield (Crop 3) (kg)</t>
  </si>
  <si>
    <t>Waste Adjusted yield (Crop 4) (kg)</t>
  </si>
  <si>
    <t>Wasted Adusted Sales</t>
  </si>
  <si>
    <t>Adjusted yield estimate taking into account learning curve</t>
  </si>
  <si>
    <t>Percentage of energy renewably sourced</t>
  </si>
  <si>
    <t>Crop productivity per metric</t>
  </si>
  <si>
    <t>Cost per full-grown plant</t>
  </si>
  <si>
    <t xml:space="preserve">Crop and System Selection </t>
  </si>
  <si>
    <t>CO2 mitigated (tonnes CO2e)</t>
  </si>
  <si>
    <t>Growing Media type</t>
  </si>
  <si>
    <t>Basil - Lemon</t>
  </si>
  <si>
    <t>Basil - Dwarf</t>
  </si>
  <si>
    <t>Oregano</t>
  </si>
  <si>
    <t>Lettuce (little-gem)</t>
  </si>
  <si>
    <t>Lettuce (loose leaf)</t>
  </si>
  <si>
    <t>Space Breakdown</t>
  </si>
  <si>
    <t>Total area</t>
  </si>
  <si>
    <t>Biosecurity</t>
  </si>
  <si>
    <t>Walkways/Circulation</t>
  </si>
  <si>
    <t>Seeding and Germination</t>
  </si>
  <si>
    <t>Nursey</t>
  </si>
  <si>
    <t>Production Area</t>
  </si>
  <si>
    <t>Processing</t>
  </si>
  <si>
    <t>Cold Storage</t>
  </si>
  <si>
    <t>%</t>
  </si>
  <si>
    <t>sq-m</t>
  </si>
  <si>
    <t>Capex Breakout</t>
  </si>
  <si>
    <t>Grow system</t>
  </si>
  <si>
    <t>Lighting</t>
  </si>
  <si>
    <t>HVAC</t>
  </si>
  <si>
    <t>Seeding</t>
  </si>
  <si>
    <t>Real Estate</t>
  </si>
  <si>
    <t>Building Renovations</t>
  </si>
  <si>
    <t>Harvest weight (kg)</t>
  </si>
  <si>
    <t>No of plants per month harvested</t>
  </si>
  <si>
    <t>Best Case Revenue per Month</t>
  </si>
  <si>
    <t>Adjusted Yield per month (kg)</t>
  </si>
  <si>
    <t>Lettuce (Farm Urban Mix)</t>
  </si>
  <si>
    <t xml:space="preserve">Unit of Packaged Yield </t>
  </si>
  <si>
    <t>kg</t>
  </si>
  <si>
    <t>CO2e emitted kg/kg</t>
  </si>
  <si>
    <t>CO2e omitted kg/kg</t>
  </si>
  <si>
    <t>Price 1 (rename to customer market)</t>
  </si>
  <si>
    <t>Price 2 (rename to customer market 2)</t>
  </si>
  <si>
    <t>Customer segment ratio</t>
  </si>
  <si>
    <t>% to Customer (Price 1)</t>
  </si>
  <si>
    <t>Biosecurity Level</t>
  </si>
  <si>
    <t>Net CO2e kg/kg</t>
  </si>
  <si>
    <t>Germination Rate</t>
  </si>
  <si>
    <t>Annual Values</t>
  </si>
  <si>
    <t>Full scale farm</t>
  </si>
  <si>
    <t>Yield (kg)</t>
  </si>
  <si>
    <t>Direct labour (man-hours)</t>
  </si>
  <si>
    <t>Water use (L)</t>
  </si>
  <si>
    <t>Nutrient use (kg)</t>
  </si>
  <si>
    <t>Growing volume (m3)</t>
  </si>
  <si>
    <t>Net CO2e (tonnes of CO2e)</t>
  </si>
  <si>
    <t>Targets</t>
  </si>
  <si>
    <t>Product Weight (not inc. pack)</t>
  </si>
  <si>
    <t>Racks to Harvest each week</t>
  </si>
  <si>
    <t>Full-scale</t>
  </si>
  <si>
    <t>Adjustment Factors</t>
  </si>
  <si>
    <t>Crop types</t>
  </si>
  <si>
    <t>System Values</t>
  </si>
  <si>
    <t>Crop requirements</t>
  </si>
  <si>
    <t>Product attributes</t>
  </si>
  <si>
    <t>Sowing (hours)</t>
  </si>
  <si>
    <t>Transplanting (hours)</t>
  </si>
  <si>
    <t>Harvesting (hours)</t>
  </si>
  <si>
    <t>Packaging (hours)</t>
  </si>
  <si>
    <t>Maintenance (hours)</t>
  </si>
  <si>
    <t>Delivery (hours)</t>
  </si>
  <si>
    <t>Total man hours</t>
  </si>
  <si>
    <t>Labour  (people)</t>
  </si>
  <si>
    <t>Hours on Farm</t>
  </si>
  <si>
    <t>Wages</t>
  </si>
  <si>
    <t>Per month</t>
  </si>
  <si>
    <t>Pilot Per week</t>
  </si>
  <si>
    <t>Full-Scale Per week</t>
  </si>
  <si>
    <t>Reserve Fund</t>
  </si>
  <si>
    <t>DLC Technical Requirements</t>
  </si>
  <si>
    <t>Photosynthetic Photon Efficacy</t>
  </si>
  <si>
    <t>Photosynthetic Photon Flux Maintenance</t>
  </si>
  <si>
    <t>Driver Lifetime</t>
  </si>
  <si>
    <t>Fan Lifetime</t>
  </si>
  <si>
    <t>Power Factor</t>
  </si>
  <si>
    <t>Total Harmonic Distortion, Current (THDi)</t>
  </si>
  <si>
    <t>Safety certification</t>
  </si>
  <si>
    <t>≥2.1 +5% μmol/J</t>
  </si>
  <si>
    <t>Q90≥36000 hours</t>
  </si>
  <si>
    <t>≥50000 hours</t>
  </si>
  <si>
    <t>≥5 years</t>
  </si>
  <si>
    <t>≥0.9</t>
  </si>
  <si>
    <t>≤20%</t>
  </si>
  <si>
    <t>Appropiate horticultural lightng designation by OSHA NRTL OR SCC-recognised body</t>
  </si>
  <si>
    <t>≥1.9 +5% μmol/J</t>
  </si>
  <si>
    <t>≥0.10</t>
  </si>
  <si>
    <t>Fluence RAZR3 PhysioSpec LED, W+R</t>
  </si>
  <si>
    <t>Fluence SPYDR2x 40", W+R (6-fixture array)</t>
  </si>
  <si>
    <t>Fluence SPYDR2i 40", W+R (6-fixture array)</t>
  </si>
  <si>
    <t>GE Current Ariza Lynk GEHL48HPKB1, R+W</t>
  </si>
  <si>
    <t>Lumigrow Barlight, hybrid spec. W+R+B (8-fixture array)</t>
  </si>
  <si>
    <t>MaxiLite PhotonMAX Horticulture LED LI200UBPBX, W+B+R</t>
  </si>
  <si>
    <t>MaxiLite PhotonMAX Horticulture LED LI200UFSRX, R+W</t>
  </si>
  <si>
    <t>To Date</t>
  </si>
  <si>
    <t>Philips GreenPower LED Production Module 3.0, R+Blow</t>
  </si>
  <si>
    <t>Philips GreenPower LED Production Module 3.0, R+Blow+FR</t>
  </si>
  <si>
    <t>Philips GreenPower LED Production Module 3.0, R+Bhigh</t>
  </si>
  <si>
    <t>Philips GreenPower LED Production Module 3.0, R+Wlow</t>
  </si>
  <si>
    <t>White, Red</t>
  </si>
  <si>
    <t>Red, Blue</t>
  </si>
  <si>
    <t>White, Red Blue,</t>
  </si>
  <si>
    <t>Red, White</t>
  </si>
  <si>
    <t>Red, Low Blue</t>
  </si>
  <si>
    <t>Red, Low Blue, FR</t>
  </si>
  <si>
    <t>Red, High Blue</t>
  </si>
  <si>
    <t>Red, Low White</t>
  </si>
  <si>
    <t>DLC Approved</t>
  </si>
  <si>
    <t>YES</t>
  </si>
  <si>
    <t>NO</t>
  </si>
  <si>
    <t>5 years</t>
  </si>
  <si>
    <t>6 years</t>
  </si>
  <si>
    <t>Montel Racking Systems</t>
  </si>
  <si>
    <t>LettusGrow Aeroponics</t>
  </si>
  <si>
    <t>Urban Crop Solutions</t>
  </si>
  <si>
    <t>Intravision Gravity Flow</t>
  </si>
  <si>
    <t>Freight Farms</t>
  </si>
  <si>
    <t>Mirai</t>
  </si>
  <si>
    <t>Vera by Netled</t>
  </si>
  <si>
    <t>Bespoke (add your own)</t>
  </si>
  <si>
    <t>Illumitex</t>
  </si>
  <si>
    <t>Normalised to target</t>
  </si>
  <si>
    <t>Normal</t>
  </si>
  <si>
    <t>No. of Plants per sq-m</t>
  </si>
  <si>
    <t>No. of Plants</t>
  </si>
  <si>
    <t>N/A</t>
  </si>
  <si>
    <t>Typical percentages of working hour components for PFAL for lettuce production In Japan</t>
  </si>
  <si>
    <t>First transplanting</t>
  </si>
  <si>
    <t>Second transplanting</t>
  </si>
  <si>
    <t>Harvesting and trimming</t>
  </si>
  <si>
    <t>Packaging into bags</t>
  </si>
  <si>
    <t>Packing the bags in boxes</t>
  </si>
  <si>
    <t>Cultivation panel cleaning</t>
  </si>
  <si>
    <t>Cultivation room cleaning</t>
  </si>
  <si>
    <t>Component</t>
  </si>
  <si>
    <t>https://fluence.science/products/razr-series/</t>
  </si>
  <si>
    <t>https://fluence.science/products/spydr-series/</t>
  </si>
  <si>
    <t>https://products.gecurrent.com/eu/horticulture-led-grow-lights?src=homepage-tile-eu</t>
  </si>
  <si>
    <t>https://illumitex.com/</t>
  </si>
  <si>
    <t>https://www.intravisiongroup.com/spectra-blades</t>
  </si>
  <si>
    <t>https://www.lumigrow.com/</t>
  </si>
  <si>
    <t>https://www.maxlite.com/products/led-solutions/list/</t>
  </si>
  <si>
    <t>https://www.lighting.philips.co.uk/products/horticulture/products/greenpower-led-production-module</t>
  </si>
  <si>
    <t>https://zipgrow.com/</t>
  </si>
  <si>
    <t>https://v-farm.co.uk/</t>
  </si>
  <si>
    <t>https://www.intravisiongroup.com/gravity-flow</t>
  </si>
  <si>
    <t>https://www.montel.com/en/markets/vertical-farming-systems</t>
  </si>
  <si>
    <t>https://www.lettusgrow.com/</t>
  </si>
  <si>
    <t>https://urbancropsolutions.com/</t>
  </si>
  <si>
    <t>https://www.freightfarms.com/</t>
  </si>
  <si>
    <t>https://miraigroup.jp/en/</t>
  </si>
  <si>
    <t>https://netled.fi/vertical-farming-vera/</t>
  </si>
  <si>
    <t>Max number of trays/towers</t>
  </si>
  <si>
    <t>Number of levels</t>
  </si>
  <si>
    <t>facility_size_pilot</t>
  </si>
  <si>
    <t>percent_production_area_pilot</t>
  </si>
  <si>
    <t>growing_levels_pilot</t>
  </si>
  <si>
    <t>weight_unit</t>
  </si>
  <si>
    <t>growing_area_mulitplier</t>
  </si>
  <si>
    <t>no_lights_pilot</t>
  </si>
  <si>
    <t>packaging_cost_pilot</t>
  </si>
  <si>
    <t>other_costs_pilot</t>
  </si>
  <si>
    <t>farm_type</t>
  </si>
  <si>
    <t>business_model</t>
  </si>
  <si>
    <t>grower_exp</t>
  </si>
  <si>
    <t>automation_level</t>
  </si>
  <si>
    <t>lighting_control</t>
  </si>
  <si>
    <t>nutrient_control</t>
  </si>
  <si>
    <t>system_type</t>
  </si>
  <si>
    <t>system_quantity</t>
  </si>
  <si>
    <t>light_system</t>
  </si>
  <si>
    <t>growing_media</t>
  </si>
  <si>
    <t>ceiling_height</t>
  </si>
  <si>
    <t>roof_type</t>
  </si>
  <si>
    <t>co2_enrichment</t>
  </si>
  <si>
    <t>structure_type</t>
  </si>
  <si>
    <t>water_price</t>
  </si>
  <si>
    <t>electricity_price</t>
  </si>
  <si>
    <t>labour_improvement</t>
  </si>
  <si>
    <t>percentage_renewable_energy</t>
  </si>
  <si>
    <t>biosecurity_level</t>
  </si>
  <si>
    <t>loan_amount</t>
  </si>
  <si>
    <t>tax_rate</t>
  </si>
  <si>
    <t>loan_interest</t>
  </si>
  <si>
    <t>loan_tenure</t>
  </si>
  <si>
    <t>loan_type</t>
  </si>
  <si>
    <t>crop_typ1</t>
  </si>
  <si>
    <t>crop1_percent</t>
  </si>
  <si>
    <t>crop1_system</t>
  </si>
  <si>
    <t>crop1_harvest_weight</t>
  </si>
  <si>
    <t>crop1_product_weight</t>
  </si>
  <si>
    <t>crop1_customer_percent</t>
  </si>
  <si>
    <t>crop1_price1</t>
  </si>
  <si>
    <t>crop1_price2</t>
  </si>
  <si>
    <t>crop_typ2</t>
  </si>
  <si>
    <t>crop2_percent</t>
  </si>
  <si>
    <t>crop2_system</t>
  </si>
  <si>
    <t>crop2_harvest_weight</t>
  </si>
  <si>
    <t>crop2_product_weight</t>
  </si>
  <si>
    <t>crop2_customer_percent</t>
  </si>
  <si>
    <t>crop2_price1</t>
  </si>
  <si>
    <t>crop2_price2</t>
  </si>
  <si>
    <t>crop_typ3</t>
  </si>
  <si>
    <t>crop3_percent</t>
  </si>
  <si>
    <t>crop3_system</t>
  </si>
  <si>
    <t>crop3_harvest_weight</t>
  </si>
  <si>
    <t>crop3_product_weight</t>
  </si>
  <si>
    <t>crop3_customer_percent</t>
  </si>
  <si>
    <t>crop3_price1</t>
  </si>
  <si>
    <t>crop3_price2</t>
  </si>
  <si>
    <t>crop_typ4</t>
  </si>
  <si>
    <t>crop4_percent</t>
  </si>
  <si>
    <t>crop4_system</t>
  </si>
  <si>
    <t>crop4_harvest_weight</t>
  </si>
  <si>
    <t>crop4_product_weight</t>
  </si>
  <si>
    <t>crop4_customer_percent</t>
  </si>
  <si>
    <t>crop4_price1</t>
  </si>
  <si>
    <t>crop4_price2</t>
  </si>
  <si>
    <t>vadded_products_multiplier</t>
  </si>
  <si>
    <t>education_multiplier</t>
  </si>
  <si>
    <t>tourism_multiplier</t>
  </si>
  <si>
    <t>hospitality_multiplier</t>
  </si>
  <si>
    <t>vadded_avg_revenue_y1</t>
  </si>
  <si>
    <t>education_avg_revenue_y1</t>
  </si>
  <si>
    <t>tourism_avg_revenue_y1</t>
  </si>
  <si>
    <t>hospitality_avg_revenue_y1</t>
  </si>
  <si>
    <t>monthly_rent_y1</t>
  </si>
  <si>
    <t>monthly_distribution_y1</t>
  </si>
  <si>
    <t>monthly_rent_y2</t>
  </si>
  <si>
    <t>monthly_distribution_y2</t>
  </si>
  <si>
    <t>delivery_msalary</t>
  </si>
  <si>
    <t>farmhand_msalary</t>
  </si>
  <si>
    <t>parttime_wage</t>
  </si>
  <si>
    <t>ceo_msalary</t>
  </si>
  <si>
    <t>hgrower_msalary</t>
  </si>
  <si>
    <t>marketer_msalary</t>
  </si>
  <si>
    <t>scientist_msalary</t>
  </si>
  <si>
    <t>salesperson_msalary</t>
  </si>
  <si>
    <t>manager_msalary</t>
  </si>
  <si>
    <t>admin_msalary</t>
  </si>
  <si>
    <t>ceo_count_y1</t>
  </si>
  <si>
    <t>hgrower_count_y1</t>
  </si>
  <si>
    <t>marketer_count_y1</t>
  </si>
  <si>
    <t>scientist_count_y1</t>
  </si>
  <si>
    <t>salesperson_count_y1</t>
  </si>
  <si>
    <t>manager_count_y1</t>
  </si>
  <si>
    <t>delivery_count_y1</t>
  </si>
  <si>
    <t>farmhand_count_y1</t>
  </si>
  <si>
    <t>admin_count_y1</t>
  </si>
  <si>
    <t>parttime_count_y1</t>
  </si>
  <si>
    <t>ceo_count_y2</t>
  </si>
  <si>
    <t>hgrower_count_y2</t>
  </si>
  <si>
    <t>marketer_count_y2</t>
  </si>
  <si>
    <t>scientist_count_y2</t>
  </si>
  <si>
    <t>salesperson_count_y2</t>
  </si>
  <si>
    <t>manager_count_y2</t>
  </si>
  <si>
    <t>delivery_count_y2</t>
  </si>
  <si>
    <t>farmhand_count_y2</t>
  </si>
  <si>
    <t>admin_count_y2</t>
  </si>
  <si>
    <t>parttime_count_y2</t>
  </si>
  <si>
    <t>Inputs</t>
  </si>
  <si>
    <t>climate_control</t>
  </si>
  <si>
    <t>start_date</t>
  </si>
  <si>
    <t>Start Date:</t>
  </si>
  <si>
    <t>insurance_pilot</t>
  </si>
  <si>
    <t>insurance_full</t>
  </si>
  <si>
    <t>packaging_cost_full</t>
  </si>
  <si>
    <t>capex_pilot</t>
  </si>
  <si>
    <t>capex_lights</t>
  </si>
  <si>
    <t>capex_facilities</t>
  </si>
  <si>
    <t>capex_building</t>
  </si>
  <si>
    <t>capex_full</t>
  </si>
  <si>
    <t>target_productivity_space</t>
  </si>
  <si>
    <t>target_productivity_energy</t>
  </si>
  <si>
    <t>target_productivity_labour</t>
  </si>
  <si>
    <t>target_productivity_water</t>
  </si>
  <si>
    <t>target_productivity_nutrients</t>
  </si>
  <si>
    <t>target_productivity_volume</t>
  </si>
  <si>
    <t>target_productivity_CO2_net</t>
  </si>
  <si>
    <t>target_productivity_plants</t>
  </si>
  <si>
    <t>target_productivity_CO2_emit</t>
  </si>
  <si>
    <t>target_productivity_CO2_miti</t>
  </si>
  <si>
    <t>Integrated Pest Management</t>
  </si>
  <si>
    <t>Pest Detection Technology</t>
  </si>
  <si>
    <t>ipm</t>
  </si>
  <si>
    <t>pest_detection</t>
  </si>
  <si>
    <t>electrical_backup</t>
  </si>
  <si>
    <t>insulation_level</t>
  </si>
  <si>
    <t>Growth Factors</t>
  </si>
  <si>
    <t>Predicted wastage rates</t>
  </si>
  <si>
    <t>Grower experience (years)</t>
  </si>
  <si>
    <t>Typical Values</t>
  </si>
  <si>
    <t>currency</t>
  </si>
  <si>
    <t>Currency</t>
  </si>
  <si>
    <t>AUD</t>
  </si>
  <si>
    <t>Reference Values</t>
  </si>
  <si>
    <t>% with processing and cold storage</t>
  </si>
  <si>
    <t>Total systems costs</t>
  </si>
  <si>
    <t>£</t>
  </si>
  <si>
    <t>€</t>
  </si>
  <si>
    <t>Currencies</t>
  </si>
  <si>
    <t>Exchange Rate</t>
  </si>
  <si>
    <t>Estimated CAPEX</t>
  </si>
  <si>
    <t>JPY</t>
  </si>
  <si>
    <t>$</t>
  </si>
  <si>
    <t>Define</t>
  </si>
  <si>
    <t>Impact Detail</t>
  </si>
  <si>
    <t>Prevent</t>
  </si>
  <si>
    <t>Risk Scores</t>
  </si>
  <si>
    <t>Risk No.</t>
  </si>
  <si>
    <t>Risk Title</t>
  </si>
  <si>
    <t>Description of Risk</t>
  </si>
  <si>
    <t>Impact (1-5)</t>
  </si>
  <si>
    <t>Probability (1-5)</t>
  </si>
  <si>
    <t>Cost Impact</t>
  </si>
  <si>
    <t>Schedule Impact</t>
  </si>
  <si>
    <t>Mitigation</t>
  </si>
  <si>
    <t>Probability after Mitigation</t>
  </si>
  <si>
    <t>Risk Score (before)</t>
  </si>
  <si>
    <t>Pest outbreak</t>
  </si>
  <si>
    <t>Management</t>
  </si>
  <si>
    <t>Date:</t>
  </si>
  <si>
    <t>Cost Impact Detail</t>
  </si>
  <si>
    <t>Risk Score (after)</t>
  </si>
  <si>
    <t>Sales and marketing</t>
  </si>
  <si>
    <t>Process and packaging</t>
  </si>
  <si>
    <t>Biosecurity and food safety</t>
  </si>
  <si>
    <t>Climate control systems</t>
  </si>
  <si>
    <t>Team risk</t>
  </si>
  <si>
    <t>Growing systems</t>
  </si>
  <si>
    <t>Pathogen outbreak</t>
  </si>
  <si>
    <t>Contract lost</t>
  </si>
  <si>
    <t>Supermarket cancels contract</t>
  </si>
  <si>
    <t>Labour challenges</t>
  </si>
  <si>
    <t>Power outage</t>
  </si>
  <si>
    <t xml:space="preserve">Damage to crops or equipment </t>
  </si>
  <si>
    <t>Underestimated labour</t>
  </si>
  <si>
    <t xml:space="preserve">Increased labour costs </t>
  </si>
  <si>
    <t>Head grower poached</t>
  </si>
  <si>
    <t>Poor ventilation</t>
  </si>
  <si>
    <t>Small repair</t>
  </si>
  <si>
    <t>Large repair</t>
  </si>
  <si>
    <t>Losing head grower to another company resulting in lost talent</t>
  </si>
  <si>
    <t>Pest outbreak results in reduced yields and more waste</t>
  </si>
  <si>
    <t>Pathogen outbreak results in deep clean and lost harvest</t>
  </si>
  <si>
    <t>Power outage affects aeroponic system and slowed yield cycle</t>
  </si>
  <si>
    <t>Equipment breaks on farm and requires repair</t>
  </si>
  <si>
    <t>Expensive piece of equipment requires repair or servicing</t>
  </si>
  <si>
    <t>HVAC system does not properly ventilate the area</t>
  </si>
  <si>
    <t>All yield lost for 1 month cycle</t>
  </si>
  <si>
    <t>0.2% to 1% Capex of equipment</t>
  </si>
  <si>
    <t>Up to 20% if equipment</t>
  </si>
  <si>
    <t>reduced yield for given month</t>
  </si>
  <si>
    <t>higher labour costs</t>
  </si>
  <si>
    <t>reduced yield or higher repairs</t>
  </si>
  <si>
    <t>loss of sales</t>
  </si>
  <si>
    <t>reduced yield, higher labour costs</t>
  </si>
  <si>
    <t>reduced yield and higher chance of pests</t>
  </si>
  <si>
    <t>Opportunity No.</t>
  </si>
  <si>
    <t>Opportunity Title</t>
  </si>
  <si>
    <t>Description of Opportunity</t>
  </si>
  <si>
    <t>Labour efficency improvements</t>
  </si>
  <si>
    <t xml:space="preserve">Team </t>
  </si>
  <si>
    <t>New customer contract</t>
  </si>
  <si>
    <t>Increased number of sales</t>
  </si>
  <si>
    <t>Time to harvest days in system)</t>
  </si>
  <si>
    <t>Facility Area (m^2)</t>
  </si>
  <si>
    <t>Growing Area (m^2)</t>
  </si>
  <si>
    <t>percent_production_area_full</t>
  </si>
  <si>
    <t>Uncertain Parameter</t>
  </si>
  <si>
    <t>DEPENDANT ON GROWTH PLANS (OVERIDE IF EXACT VALUES KNOWN)</t>
  </si>
  <si>
    <t>Energy type</t>
  </si>
  <si>
    <t>Nuclear</t>
  </si>
  <si>
    <t>Wind</t>
  </si>
  <si>
    <t>Geothermal</t>
  </si>
  <si>
    <t>Natural Gas</t>
  </si>
  <si>
    <t>Coal</t>
  </si>
  <si>
    <t>675-1689</t>
  </si>
  <si>
    <t>510-1170</t>
  </si>
  <si>
    <t>Oil</t>
  </si>
  <si>
    <t>290-930</t>
  </si>
  <si>
    <t>18-180</t>
  </si>
  <si>
    <t>9-63</t>
  </si>
  <si>
    <t>4-110</t>
  </si>
  <si>
    <t>7-56</t>
  </si>
  <si>
    <t>GBP</t>
  </si>
  <si>
    <t>Energy Sources:</t>
  </si>
  <si>
    <t>Information about carbon emissions from different power sources has been generated from a 2018 IPCC lifecycle analysis</t>
  </si>
  <si>
    <t>https://www.ipcc.ch/site/assets/uploads/2018/02/ipcc_wg3_ar5_chapter7.pdf</t>
  </si>
  <si>
    <t xml:space="preserve">Generally, the ranges are quite
wide reflecting differences in local resource conditions, technology,
and methodological choices of the assessment. The lower end of estimates often reflects incomplete systems while the higher end reflects
poor local conditions or outdated technology. </t>
  </si>
  <si>
    <t>The literature reviewed in this section shows that a range of technologies can provide electricity with less than 5% of the lifecycle GHG emissions of coal power: wind, solar, nuclear, and hydropower in suitable locations. I</t>
  </si>
  <si>
    <t>CCS Coal</t>
  </si>
  <si>
    <t>CCS Gas</t>
  </si>
  <si>
    <t>Biopower</t>
  </si>
  <si>
    <t>Hydropower</t>
  </si>
  <si>
    <t>Solar Power</t>
  </si>
  <si>
    <t>Solar PV</t>
  </si>
  <si>
    <t>Hydrogen - SMR</t>
  </si>
  <si>
    <t>Green Hydrogen</t>
  </si>
  <si>
    <t>Blue Hydrogen</t>
  </si>
  <si>
    <t>Ocean energy</t>
  </si>
  <si>
    <t>Emissions gCO2eq/kWh</t>
  </si>
  <si>
    <t>Range</t>
  </si>
  <si>
    <t>98-396</t>
  </si>
  <si>
    <t>90-370</t>
  </si>
  <si>
    <t>(-)625-400</t>
  </si>
  <si>
    <t>9-79</t>
  </si>
  <si>
    <t>0-80</t>
  </si>
  <si>
    <t>2-23</t>
  </si>
  <si>
    <t>SRREN</t>
  </si>
  <si>
    <t>Median</t>
  </si>
  <si>
    <t>30</t>
  </si>
  <si>
    <t>710–950</t>
  </si>
  <si>
    <t>70-290</t>
  </si>
  <si>
    <t xml:space="preserve"> 410–650</t>
  </si>
  <si>
    <t>120-170</t>
  </si>
  <si>
    <t>10-60</t>
  </si>
  <si>
    <t>0-2200</t>
  </si>
  <si>
    <t>0-100</t>
  </si>
  <si>
    <t>30-140</t>
  </si>
  <si>
    <t>20-70</t>
  </si>
  <si>
    <t>15-25</t>
  </si>
  <si>
    <t>AR5</t>
  </si>
  <si>
    <t>25</t>
  </si>
  <si>
    <t>25-178</t>
  </si>
  <si>
    <t>23-150</t>
  </si>
  <si>
    <t>Imperial</t>
  </si>
  <si>
    <t>Value</t>
  </si>
  <si>
    <t>Other</t>
  </si>
  <si>
    <t>Average Median</t>
  </si>
  <si>
    <t>Aggregated</t>
  </si>
  <si>
    <t>You have selected:</t>
  </si>
  <si>
    <t>Energy CO2 emitted (tonnes CO2e)</t>
  </si>
  <si>
    <t>Average UK energy mix</t>
  </si>
  <si>
    <t>Your grams CO2e/kWh:</t>
  </si>
  <si>
    <t>energy_type</t>
  </si>
  <si>
    <t>Growing area per unit</t>
  </si>
  <si>
    <t>5.02x2.4384</t>
  </si>
  <si>
    <t>Basement</t>
  </si>
  <si>
    <t>Rockwool</t>
  </si>
  <si>
    <t>Days in propogation system</t>
  </si>
  <si>
    <t>Units (per month)</t>
  </si>
  <si>
    <t>Delivery cost per unit</t>
  </si>
  <si>
    <t>Working Capital</t>
  </si>
  <si>
    <t>Part-time Farm hand (wages/hour)</t>
  </si>
  <si>
    <t>Software and sensors</t>
  </si>
  <si>
    <t>Initial grant amount</t>
  </si>
  <si>
    <t>grants_rev_y1</t>
  </si>
  <si>
    <t>grants_rev_y2</t>
  </si>
  <si>
    <t>grants_rev_y3</t>
  </si>
  <si>
    <t>grants_rev_y4</t>
  </si>
  <si>
    <t>grants_rev_y5</t>
  </si>
  <si>
    <t>grants_rev_y6</t>
  </si>
  <si>
    <t>grants_rev_y0</t>
  </si>
  <si>
    <t>grants_rev_y7</t>
  </si>
  <si>
    <t>grants_rev_y8</t>
  </si>
  <si>
    <t>grants_rev_y9</t>
  </si>
  <si>
    <t>grants_rev_y10</t>
  </si>
  <si>
    <t>grants_rev_y11</t>
  </si>
  <si>
    <t>Part-time hours (monthly)</t>
  </si>
  <si>
    <t>Equipment</t>
  </si>
  <si>
    <t>Location</t>
  </si>
  <si>
    <t>Item</t>
  </si>
  <si>
    <t>Model Number</t>
  </si>
  <si>
    <t>URL</t>
  </si>
  <si>
    <t>Number</t>
  </si>
  <si>
    <t>Watts</t>
  </si>
  <si>
    <t>Total Watts</t>
  </si>
  <si>
    <t>Total Daily Use (hours)</t>
  </si>
  <si>
    <t>Daily Power</t>
  </si>
  <si>
    <t>Times</t>
  </si>
  <si>
    <t>Peak</t>
  </si>
  <si>
    <t>Off-Peak</t>
  </si>
  <si>
    <t>Farm</t>
  </si>
  <si>
    <t>Atom Integrated Controller</t>
  </si>
  <si>
    <t>Atom</t>
  </si>
  <si>
    <t>Farm - Atom Controller</t>
  </si>
  <si>
    <t>Voltage Controller</t>
  </si>
  <si>
    <t>Bronson++</t>
  </si>
  <si>
    <t>Bronson</t>
  </si>
  <si>
    <t>Used to drive Atom</t>
  </si>
  <si>
    <t>ZipFarm</t>
  </si>
  <si>
    <t>LED lights1</t>
  </si>
  <si>
    <t>SB-785-1251B-L09</t>
  </si>
  <si>
    <t>1pm -7am</t>
  </si>
  <si>
    <t>LED lights2</t>
  </si>
  <si>
    <t>ZPGLW-075</t>
  </si>
  <si>
    <t>Intertek</t>
  </si>
  <si>
    <t>LED driver</t>
  </si>
  <si>
    <t>EUD-600S12ADT</t>
  </si>
  <si>
    <t>https://www.inventronics-co.com/product/eud-600sxxxdt/</t>
  </si>
  <si>
    <t>Used to drive lights so wattage included there</t>
  </si>
  <si>
    <t>Main sump</t>
  </si>
  <si>
    <t>Pentair Aquatic Eco-Systems Smart UV Sterilizer</t>
  </si>
  <si>
    <t>EU25-U</t>
  </si>
  <si>
    <t>https://pentairaes.com/smart-uv-sterilizers-31295.html</t>
  </si>
  <si>
    <t>780W/29000L pump</t>
  </si>
  <si>
    <t>JSWm 1AX</t>
  </si>
  <si>
    <t>https://pumpexpress.co.uk/shop/jsw1-self-priming-jet-pumps/</t>
  </si>
  <si>
    <t>Secondary sump</t>
  </si>
  <si>
    <t>Jecod DC Pump1</t>
  </si>
  <si>
    <t>DCP-2500</t>
  </si>
  <si>
    <t>Jecod</t>
  </si>
  <si>
    <t>Jecod DC Pump2</t>
  </si>
  <si>
    <t>Overflow so rarely used</t>
  </si>
  <si>
    <t>Seed Starting Rack 1</t>
  </si>
  <si>
    <t>Water pump</t>
  </si>
  <si>
    <t>Seed Starting Rack 2</t>
  </si>
  <si>
    <t>Air pump</t>
  </si>
  <si>
    <t>S-1000</t>
  </si>
  <si>
    <t>Boyu</t>
  </si>
  <si>
    <t>Valoya L28 LED Lights</t>
  </si>
  <si>
    <t>AP673L</t>
  </si>
  <si>
    <t>Sunblaster LED lights</t>
  </si>
  <si>
    <t>EDFT5-154AH</t>
  </si>
  <si>
    <t>Farm walls</t>
  </si>
  <si>
    <t>FLC Circulation Fan</t>
  </si>
  <si>
    <t>T18 No4</t>
  </si>
  <si>
    <t>http://www.bflc.com.cn</t>
  </si>
  <si>
    <t>Outside farm</t>
  </si>
  <si>
    <t>Ariston unvented water heater</t>
  </si>
  <si>
    <t>https://www.ariston.com/uk/Electric_Water_Heaters/andrislux</t>
  </si>
  <si>
    <t>Just inside farm</t>
  </si>
  <si>
    <t>Water unheated</t>
  </si>
  <si>
    <t>Far inside farm</t>
  </si>
  <si>
    <t>Far end of farm</t>
  </si>
  <si>
    <t>Sololift2 C-3 sink pump1</t>
  </si>
  <si>
    <t>Grundfos</t>
  </si>
  <si>
    <t>Near end of farm</t>
  </si>
  <si>
    <t>Sololift2 C-3 sink pump2</t>
  </si>
  <si>
    <t>Wall next to seed rack</t>
  </si>
  <si>
    <t>Fly zapper</t>
  </si>
  <si>
    <t>Y724</t>
  </si>
  <si>
    <t>Easyzap</t>
  </si>
  <si>
    <t>Inside farm RH wall</t>
  </si>
  <si>
    <t>Total W</t>
  </si>
  <si>
    <t>Total (Wh)</t>
  </si>
  <si>
    <t>Total Kw</t>
  </si>
  <si>
    <t>Total (kWh)</t>
  </si>
  <si>
    <t>Total kWh - lights</t>
  </si>
  <si>
    <t>Initial Working Capital</t>
  </si>
  <si>
    <t>Daily energy consumption (exc. lights)</t>
  </si>
  <si>
    <t>daily_energy_consumption</t>
  </si>
  <si>
    <t>other_costs_full</t>
  </si>
  <si>
    <t>Certain</t>
  </si>
  <si>
    <t>Uncertain</t>
  </si>
  <si>
    <t>EDIT ORANGE CELLS</t>
  </si>
  <si>
    <t>Packaging cost per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</si>
</sst>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6" formatCode="&quot;£&quot;#,##0_);[Red]\(&quot;£&quot;#,##0\)"/>
    <numFmt numFmtId="8" formatCode="&quot;£&quot;#,##0.00_);[Red]\(&quot;£&quot;#,##0.00\)"/>
    <numFmt numFmtId="44" formatCode="_(&quot;£&quot;* #,##0.00_);_(&quot;£&quot;* \(#,##0.00\);_(&quot;£&quot;* &quot;-&quot;??_);_(@_)"/>
    <numFmt numFmtId="167" formatCode="_([$€-2]\ * #,##0.00_);_([$€-2]\ * \(#,##0.00\);_([$€-2]\ * &quot;-&quot;??_);_(@_)"/>
    <numFmt numFmtId="168" formatCode="_(&quot;$&quot;* #,##0.00_);_(&quot;$&quot;* \(#,##0.00\);_(&quot;$&quot;* &quot;-&quot;??_);_(@_)"/>
    <numFmt numFmtId="169" formatCode="0.0"/>
    <numFmt numFmtId="170" formatCode="0.0%"/>
    <numFmt numFmtId="171" formatCode="&quot;$&quot;#,##0"/>
    <numFmt numFmtId="172" formatCode="_-[$£-809]* #,##0.00_-;\-[$£-809]* #,##0.00_-;_-[$£-809]* &quot;-&quot;??_-;_-@_-"/>
    <numFmt numFmtId="173" formatCode="&quot;£&quot;#,##0.000_);[Red]\(&quot;£&quot;#,##0.000\)"/>
    <numFmt numFmtId="174" formatCode="_([$AUD]\ * #,##0.00_);_([$AUD]\ * \(#,##0.00\);_([$AUD]\ * &quot;-&quot;??_);_(@_)"/>
    <numFmt numFmtId="175" formatCode="_([$$-409]* #,##0.00_);_([$$-409]* \(#,##0.00\);_([$$-409]* &quot;-&quot;??_);_(@_)"/>
    <numFmt numFmtId="176" formatCode="_([$JPY]\ * #,##0.00_);_([$JPY]\ * \(#,##0.00\);_([$JPY]\ * &quot;-&quot;??_);_(@_)"/>
    <numFmt numFmtId="177" formatCode="_([$AUD]\ * #,##0.0000_);_([$AUD]\ * \(#,##0.0000\);_([$AUD]\ * &quot;-&quot;????_);_(@_)"/>
  </numFmts>
  <fonts count="70" x14ac:knownFonts="1">
    <font>
      <sz val="10"/>
      <color rgb="FF000000"/>
      <name val="Arial"/>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0"/>
      <name val="Arial"/>
      <family val="2"/>
    </font>
    <font>
      <b/>
      <sz val="18"/>
      <name val="Arial"/>
      <family val="2"/>
    </font>
    <font>
      <sz val="10"/>
      <name val="Arial"/>
      <family val="2"/>
    </font>
    <font>
      <b/>
      <sz val="12"/>
      <name val="Arial"/>
      <family val="2"/>
    </font>
    <font>
      <b/>
      <sz val="10"/>
      <name val="Arial"/>
      <family val="2"/>
    </font>
    <font>
      <b/>
      <sz val="10"/>
      <name val="Arial"/>
      <family val="2"/>
    </font>
    <font>
      <sz val="10"/>
      <color rgb="FFCCCCCC"/>
      <name val="Arial"/>
      <family val="2"/>
    </font>
    <font>
      <b/>
      <sz val="10"/>
      <color rgb="FFCCCCCC"/>
      <name val="Arial"/>
      <family val="2"/>
    </font>
    <font>
      <i/>
      <sz val="9"/>
      <color rgb="FF666666"/>
      <name val="Arial"/>
      <family val="2"/>
    </font>
    <font>
      <sz val="10"/>
      <color rgb="FFFFFFFF"/>
      <name val="Arial"/>
      <family val="2"/>
    </font>
    <font>
      <b/>
      <sz val="10"/>
      <color rgb="FFFFFFFF"/>
      <name val="Arial"/>
      <family val="2"/>
    </font>
    <font>
      <sz val="10"/>
      <color rgb="FFFFFFFF"/>
      <name val="Arial"/>
      <family val="2"/>
    </font>
    <font>
      <sz val="10"/>
      <color rgb="FF000000"/>
      <name val="Arial"/>
      <family val="2"/>
    </font>
    <font>
      <b/>
      <sz val="12"/>
      <color theme="1"/>
      <name val="Calibri"/>
      <family val="2"/>
      <scheme val="minor"/>
    </font>
    <font>
      <sz val="10"/>
      <color theme="1"/>
      <name val="Arial"/>
      <family val="2"/>
    </font>
    <font>
      <sz val="12"/>
      <color rgb="FF000000"/>
      <name val="Calibri"/>
      <family val="2"/>
      <scheme val="minor"/>
    </font>
    <font>
      <sz val="8"/>
      <name val="Arial"/>
      <family val="2"/>
    </font>
    <font>
      <b/>
      <sz val="10"/>
      <color rgb="FF000000"/>
      <name val="Arial"/>
      <family val="2"/>
    </font>
    <font>
      <sz val="10"/>
      <color theme="1" tint="0.499984740745262"/>
      <name val="Arial"/>
      <family val="2"/>
    </font>
    <font>
      <sz val="12"/>
      <color theme="1" tint="0.499984740745262"/>
      <name val="Calibri"/>
      <family val="2"/>
      <scheme val="minor"/>
    </font>
    <font>
      <sz val="12"/>
      <name val="Arial"/>
      <family val="2"/>
    </font>
    <font>
      <b/>
      <u/>
      <sz val="10"/>
      <color rgb="FF000000"/>
      <name val="Arial"/>
      <family val="2"/>
    </font>
    <font>
      <sz val="7"/>
      <color rgb="FF000000"/>
      <name val="STIXGeneral"/>
    </font>
    <font>
      <sz val="12"/>
      <color rgb="FF000000"/>
      <name val="Arial"/>
      <family val="2"/>
    </font>
    <font>
      <sz val="12"/>
      <color theme="1"/>
      <name val="Arial"/>
      <family val="2"/>
    </font>
    <font>
      <b/>
      <sz val="12"/>
      <color rgb="FF000000"/>
      <name val="Arial"/>
      <family val="2"/>
    </font>
    <font>
      <sz val="10"/>
      <color theme="2" tint="-0.499984740745262"/>
      <name val="Arial"/>
      <family val="2"/>
    </font>
    <font>
      <sz val="10"/>
      <color theme="2" tint="-0.249977111117893"/>
      <name val="Arial"/>
      <family val="2"/>
    </font>
    <font>
      <sz val="10"/>
      <color rgb="FFC00000"/>
      <name val="Arial"/>
      <family val="2"/>
    </font>
    <font>
      <sz val="10"/>
      <color rgb="FF000000"/>
      <name val="Tahoma"/>
      <family val="2"/>
    </font>
    <font>
      <sz val="12"/>
      <name val="Calibri"/>
      <family val="2"/>
      <scheme val="minor"/>
    </font>
    <font>
      <sz val="10"/>
      <color rgb="FF000000"/>
      <name val="Cambria Math"/>
      <family val="1"/>
    </font>
    <font>
      <sz val="10"/>
      <color rgb="FFFF0000"/>
      <name val="Arial"/>
      <family val="2"/>
    </font>
    <font>
      <b/>
      <sz val="10"/>
      <color theme="1"/>
      <name val="Arial"/>
      <family val="2"/>
    </font>
    <font>
      <i/>
      <sz val="10"/>
      <color rgb="FF000000"/>
      <name val="Arial"/>
      <family val="2"/>
    </font>
    <font>
      <b/>
      <sz val="10"/>
      <color rgb="FF000000"/>
      <name val="Tahoma"/>
      <family val="2"/>
    </font>
    <font>
      <u/>
      <sz val="10"/>
      <color theme="10"/>
      <name val="Arial"/>
      <family val="2"/>
    </font>
    <font>
      <sz val="10"/>
      <color theme="1"/>
      <name val="Calibri"/>
      <family val="2"/>
      <scheme val="minor"/>
    </font>
    <font>
      <sz val="12"/>
      <color rgb="FFFF0000"/>
      <name val="Arial"/>
      <family val="2"/>
    </font>
    <font>
      <sz val="12"/>
      <color rgb="FFFF0000"/>
      <name val="Calibri"/>
      <family val="2"/>
      <scheme val="minor"/>
    </font>
    <font>
      <sz val="10"/>
      <color theme="6"/>
      <name val="Arial"/>
      <family val="2"/>
    </font>
    <font>
      <sz val="12"/>
      <color rgb="FF000000"/>
      <name val="Calibri"/>
      <family val="2"/>
    </font>
    <font>
      <b/>
      <sz val="12"/>
      <color theme="1"/>
      <name val="Arial"/>
      <family val="2"/>
    </font>
    <font>
      <sz val="12"/>
      <color rgb="FF222222"/>
      <name val="Arial"/>
      <family val="2"/>
    </font>
    <font>
      <sz val="9"/>
      <color rgb="FF000000"/>
      <name val="Arial"/>
      <family val="2"/>
    </font>
    <font>
      <sz val="10"/>
      <color theme="1"/>
      <name val="Arial"/>
      <family val="2"/>
    </font>
    <font>
      <b/>
      <u/>
      <sz val="12"/>
      <color rgb="FF000000"/>
      <name val="Arial"/>
      <family val="2"/>
    </font>
    <font>
      <sz val="12"/>
      <color theme="0" tint="-0.499984740745262"/>
      <name val="Arial"/>
      <family val="2"/>
    </font>
    <font>
      <sz val="10"/>
      <color theme="0"/>
      <name val="Arial"/>
      <family val="2"/>
    </font>
    <font>
      <b/>
      <sz val="11"/>
      <color rgb="FF000000"/>
      <name val="Calibri"/>
      <family val="2"/>
    </font>
    <font>
      <sz val="11"/>
      <color rgb="FF000000"/>
      <name val="Calibri"/>
      <family val="2"/>
    </font>
    <font>
      <u/>
      <sz val="11"/>
      <color rgb="FF0563C1"/>
      <name val="Calibri"/>
      <family val="2"/>
    </font>
    <font>
      <sz val="10"/>
      <color rgb="FF222222"/>
      <name val="Arial"/>
      <family val="2"/>
    </font>
  </fonts>
  <fills count="36">
    <fill>
      <patternFill patternType="none"/>
    </fill>
    <fill>
      <patternFill patternType="gray125"/>
    </fill>
    <fill>
      <patternFill patternType="solid">
        <fgColor rgb="FFFFFFFF"/>
        <bgColor rgb="FFFFFFFF"/>
      </patternFill>
    </fill>
    <fill>
      <patternFill patternType="solid">
        <fgColor rgb="FFD5A6BD"/>
        <bgColor rgb="FFD5A6BD"/>
      </patternFill>
    </fill>
    <fill>
      <patternFill patternType="solid">
        <fgColor rgb="FFB6D7A8"/>
        <bgColor rgb="FFB6D7A8"/>
      </patternFill>
    </fill>
    <fill>
      <patternFill patternType="solid">
        <fgColor rgb="FF000000"/>
        <bgColor rgb="FF000000"/>
      </patternFill>
    </fill>
    <fill>
      <patternFill patternType="solid">
        <fgColor theme="5"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7" tint="0.59999389629810485"/>
        <bgColor rgb="FFA4C2F4"/>
      </patternFill>
    </fill>
    <fill>
      <patternFill patternType="solid">
        <fgColor theme="7" tint="0.59999389629810485"/>
        <bgColor indexed="64"/>
      </patternFill>
    </fill>
    <fill>
      <patternFill patternType="solid">
        <fgColor rgb="FFFFD6FD"/>
        <bgColor rgb="FFB6D7A8"/>
      </patternFill>
    </fill>
    <fill>
      <patternFill patternType="solid">
        <fgColor rgb="FFFFD6FD"/>
        <bgColor indexed="64"/>
      </patternFill>
    </fill>
    <fill>
      <patternFill patternType="solid">
        <fgColor rgb="FFFCE4D6"/>
        <bgColor rgb="FF000000"/>
      </patternFill>
    </fill>
    <fill>
      <patternFill patternType="solid">
        <fgColor theme="1"/>
        <bgColor indexed="64"/>
      </patternFill>
    </fill>
    <fill>
      <patternFill patternType="solid">
        <fgColor theme="9" tint="0.39997558519241921"/>
        <bgColor indexed="64"/>
      </patternFill>
    </fill>
    <fill>
      <patternFill patternType="solid">
        <fgColor theme="9" tint="0.39997558519241921"/>
        <bgColor rgb="FFB6D7A8"/>
      </patternFill>
    </fill>
    <fill>
      <patternFill patternType="solid">
        <fgColor theme="5" tint="0.39997558519241921"/>
        <bgColor indexed="64"/>
      </patternFill>
    </fill>
    <fill>
      <patternFill patternType="solid">
        <fgColor theme="1"/>
        <bgColor rgb="FFB6D7A8"/>
      </patternFill>
    </fill>
    <fill>
      <patternFill patternType="solid">
        <fgColor theme="7" tint="0.39997558519241921"/>
        <bgColor indexed="64"/>
      </patternFill>
    </fill>
    <fill>
      <patternFill patternType="solid">
        <fgColor rgb="FFD5A7BE"/>
        <bgColor indexed="64"/>
      </patternFill>
    </fill>
    <fill>
      <patternFill patternType="solid">
        <fgColor theme="7" tint="0.59999389629810485"/>
        <bgColor rgb="FFD5A6BD"/>
      </patternFill>
    </fill>
    <fill>
      <patternFill patternType="solid">
        <fgColor theme="9" tint="0.59999389629810485"/>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rgb="FFACAEFF"/>
        <bgColor indexed="64"/>
      </patternFill>
    </fill>
    <fill>
      <patternFill patternType="solid">
        <fgColor rgb="FF7030A0"/>
        <bgColor indexed="64"/>
      </patternFill>
    </fill>
    <fill>
      <patternFill patternType="solid">
        <fgColor rgb="FFFFFF00"/>
        <bgColor rgb="FFFFFF00"/>
      </patternFill>
    </fill>
    <fill>
      <patternFill patternType="solid">
        <fgColor rgb="FFF7CAAC"/>
        <bgColor rgb="FFF7CAAC"/>
      </patternFill>
    </fill>
    <fill>
      <patternFill patternType="solid">
        <fgColor rgb="FFFFC000"/>
        <bgColor indexed="64"/>
      </patternFill>
    </fill>
    <fill>
      <patternFill patternType="solid">
        <fgColor theme="7"/>
        <bgColor indexed="64"/>
      </patternFill>
    </fill>
    <fill>
      <patternFill patternType="solid">
        <fgColor theme="5" tint="0.59999389629810485"/>
        <bgColor rgb="FFA4C2F4"/>
      </patternFill>
    </fill>
    <fill>
      <patternFill patternType="solid">
        <fgColor theme="5" tint="0.59999389629810485"/>
        <bgColor rgb="FFB6D7A8"/>
      </patternFill>
    </fill>
    <fill>
      <patternFill patternType="solid">
        <fgColor theme="5" tint="0.59999389629810485"/>
        <bgColor rgb="FFD5A6BD"/>
      </patternFill>
    </fill>
  </fills>
  <borders count="16">
    <border>
      <left/>
      <right/>
      <top/>
      <bottom/>
      <diagonal/>
    </border>
    <border>
      <left/>
      <right/>
      <top style="thin">
        <color rgb="FF000000"/>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s>
  <cellStyleXfs count="5">
    <xf numFmtId="0" fontId="0" fillId="0" borderId="0"/>
    <xf numFmtId="44" fontId="29" fillId="0" borderId="0" applyFont="0" applyFill="0" applyBorder="0" applyAlignment="0" applyProtection="0"/>
    <xf numFmtId="9" fontId="29" fillId="0" borderId="0" applyFont="0" applyFill="0" applyBorder="0" applyAlignment="0" applyProtection="0"/>
    <xf numFmtId="0" fontId="16" fillId="0" borderId="0"/>
    <xf numFmtId="0" fontId="53" fillId="0" borderId="0" applyNumberFormat="0" applyFill="0" applyBorder="0" applyAlignment="0" applyProtection="0"/>
  </cellStyleXfs>
  <cellXfs count="483">
    <xf numFmtId="0" fontId="0" fillId="0" borderId="0" xfId="0" applyFont="1" applyAlignment="1"/>
    <xf numFmtId="0" fontId="17" fillId="0" borderId="0" xfId="0" applyFont="1"/>
    <xf numFmtId="0" fontId="20" fillId="0" borderId="0" xfId="0" applyFont="1" applyAlignment="1"/>
    <xf numFmtId="0" fontId="22" fillId="0" borderId="0" xfId="0" applyFont="1" applyAlignment="1"/>
    <xf numFmtId="0" fontId="19" fillId="0" borderId="0" xfId="0" applyFont="1" applyAlignment="1"/>
    <xf numFmtId="0" fontId="21" fillId="0" borderId="0" xfId="0" applyFont="1" applyAlignment="1">
      <alignment horizontal="right"/>
    </xf>
    <xf numFmtId="0" fontId="22" fillId="0" borderId="0" xfId="0" applyFont="1" applyAlignment="1"/>
    <xf numFmtId="171" fontId="17" fillId="0" borderId="0" xfId="0" applyNumberFormat="1" applyFont="1"/>
    <xf numFmtId="0" fontId="22" fillId="0" borderId="0" xfId="0" applyFont="1" applyAlignment="1">
      <alignment horizontal="right"/>
    </xf>
    <xf numFmtId="0" fontId="22" fillId="0" borderId="0" xfId="0" applyFont="1" applyAlignment="1">
      <alignment horizontal="right"/>
    </xf>
    <xf numFmtId="0" fontId="17" fillId="0" borderId="0" xfId="0" applyFont="1" applyAlignment="1"/>
    <xf numFmtId="0" fontId="17" fillId="0" borderId="0" xfId="0" applyFont="1" applyAlignment="1"/>
    <xf numFmtId="0" fontId="17" fillId="0" borderId="1" xfId="0" applyFont="1" applyBorder="1" applyAlignment="1"/>
    <xf numFmtId="0" fontId="23" fillId="0" borderId="0" xfId="0" applyFont="1"/>
    <xf numFmtId="0" fontId="24" fillId="0" borderId="0" xfId="0" applyFont="1" applyAlignment="1"/>
    <xf numFmtId="169" fontId="24" fillId="0" borderId="0" xfId="0" applyNumberFormat="1" applyFont="1"/>
    <xf numFmtId="0" fontId="23" fillId="0" borderId="0" xfId="0" applyFont="1" applyAlignment="1"/>
    <xf numFmtId="169" fontId="22" fillId="0" borderId="0" xfId="0" applyNumberFormat="1" applyFont="1"/>
    <xf numFmtId="0" fontId="25" fillId="0" borderId="0" xfId="0" applyFont="1" applyAlignment="1">
      <alignment vertical="top"/>
    </xf>
    <xf numFmtId="0" fontId="26" fillId="0" borderId="0" xfId="0" applyFont="1" applyAlignment="1">
      <alignment horizontal="center" vertical="center"/>
    </xf>
    <xf numFmtId="0" fontId="21" fillId="0" borderId="1" xfId="0" applyFont="1" applyBorder="1" applyAlignment="1"/>
    <xf numFmtId="0" fontId="21" fillId="0" borderId="1" xfId="0" applyFont="1" applyBorder="1"/>
    <xf numFmtId="168" fontId="21" fillId="0" borderId="0" xfId="0" applyNumberFormat="1" applyFont="1" applyAlignment="1"/>
    <xf numFmtId="0" fontId="27" fillId="5" borderId="0" xfId="0" applyFont="1" applyFill="1" applyAlignment="1"/>
    <xf numFmtId="0" fontId="28" fillId="5" borderId="0" xfId="0" applyFont="1" applyFill="1"/>
    <xf numFmtId="0" fontId="19" fillId="4" borderId="1" xfId="0" applyFont="1" applyFill="1" applyBorder="1"/>
    <xf numFmtId="0" fontId="0" fillId="0" borderId="0" xfId="0" applyFont="1" applyAlignment="1"/>
    <xf numFmtId="0" fontId="19" fillId="4" borderId="0" xfId="0" applyFont="1" applyFill="1" applyAlignment="1"/>
    <xf numFmtId="0" fontId="0" fillId="0" borderId="0" xfId="0" applyFont="1" applyAlignment="1"/>
    <xf numFmtId="0" fontId="21" fillId="0" borderId="0" xfId="0" applyFont="1" applyAlignment="1"/>
    <xf numFmtId="0" fontId="16" fillId="0" borderId="0" xfId="3"/>
    <xf numFmtId="0" fontId="30" fillId="0" borderId="0" xfId="3" applyFont="1"/>
    <xf numFmtId="0" fontId="32" fillId="0" borderId="0" xfId="3" applyFont="1"/>
    <xf numFmtId="0" fontId="32" fillId="0" borderId="0" xfId="3" applyFont="1" applyAlignment="1">
      <alignment wrapText="1"/>
    </xf>
    <xf numFmtId="0" fontId="16" fillId="0" borderId="0" xfId="3" applyAlignment="1">
      <alignment wrapText="1"/>
    </xf>
    <xf numFmtId="172" fontId="19" fillId="0" borderId="0" xfId="0" applyNumberFormat="1" applyFont="1"/>
    <xf numFmtId="172" fontId="21" fillId="0" borderId="0" xfId="0" applyNumberFormat="1" applyFont="1" applyAlignment="1"/>
    <xf numFmtId="172" fontId="19" fillId="0" borderId="1" xfId="0" applyNumberFormat="1" applyFont="1" applyBorder="1"/>
    <xf numFmtId="0" fontId="29" fillId="0" borderId="0" xfId="0" applyFont="1" applyAlignment="1"/>
    <xf numFmtId="44" fontId="17" fillId="0" borderId="0" xfId="1" applyFont="1" applyAlignment="1"/>
    <xf numFmtId="44" fontId="17" fillId="0" borderId="0" xfId="1" applyFont="1"/>
    <xf numFmtId="44" fontId="17" fillId="0" borderId="1" xfId="1" applyFont="1" applyBorder="1" applyAlignment="1"/>
    <xf numFmtId="44" fontId="23" fillId="0" borderId="0" xfId="1" applyFont="1"/>
    <xf numFmtId="0" fontId="21" fillId="0" borderId="0" xfId="0" applyFont="1"/>
    <xf numFmtId="0" fontId="34" fillId="0" borderId="0" xfId="0" applyFont="1" applyAlignment="1"/>
    <xf numFmtId="170" fontId="19" fillId="0" borderId="0" xfId="0" applyNumberFormat="1" applyFont="1" applyFill="1" applyAlignment="1"/>
    <xf numFmtId="0" fontId="0" fillId="0" borderId="0" xfId="0" applyFont="1" applyFill="1" applyAlignment="1"/>
    <xf numFmtId="0" fontId="35" fillId="0" borderId="0" xfId="0" applyFont="1" applyFill="1" applyAlignment="1"/>
    <xf numFmtId="0" fontId="37" fillId="0" borderId="0" xfId="0" applyFont="1" applyAlignment="1"/>
    <xf numFmtId="0" fontId="17" fillId="7" borderId="0" xfId="0" applyFont="1" applyFill="1" applyAlignment="1"/>
    <xf numFmtId="0" fontId="38" fillId="0" borderId="0" xfId="0" applyFont="1" applyAlignment="1"/>
    <xf numFmtId="0" fontId="21" fillId="0" borderId="0" xfId="0" applyFont="1" applyFill="1" applyAlignment="1"/>
    <xf numFmtId="0" fontId="0" fillId="8" borderId="0" xfId="0" applyFont="1" applyFill="1" applyAlignment="1"/>
    <xf numFmtId="0" fontId="17" fillId="6" borderId="0" xfId="0" applyFont="1" applyFill="1" applyAlignment="1"/>
    <xf numFmtId="0" fontId="0" fillId="6" borderId="0" xfId="0" applyFont="1" applyFill="1" applyAlignment="1"/>
    <xf numFmtId="0" fontId="17" fillId="9" borderId="0" xfId="0" applyFont="1" applyFill="1" applyAlignment="1"/>
    <xf numFmtId="0" fontId="0" fillId="9" borderId="0" xfId="0" applyFont="1" applyFill="1" applyAlignment="1"/>
    <xf numFmtId="0" fontId="39" fillId="0" borderId="0" xfId="0" applyFont="1" applyAlignment="1"/>
    <xf numFmtId="0" fontId="40" fillId="0" borderId="0" xfId="0" applyFont="1" applyAlignment="1"/>
    <xf numFmtId="0" fontId="41" fillId="0" borderId="0" xfId="3" applyFont="1"/>
    <xf numFmtId="0" fontId="42" fillId="0" borderId="0" xfId="0" applyFont="1" applyAlignment="1"/>
    <xf numFmtId="0" fontId="17" fillId="10" borderId="0" xfId="0" applyFont="1" applyFill="1" applyAlignment="1"/>
    <xf numFmtId="0" fontId="0" fillId="10" borderId="0" xfId="0" applyFont="1" applyFill="1" applyAlignment="1"/>
    <xf numFmtId="0" fontId="29" fillId="10" borderId="0" xfId="0" applyFont="1" applyFill="1" applyAlignment="1"/>
    <xf numFmtId="0" fontId="31" fillId="0" borderId="0" xfId="0" applyFont="1" applyAlignment="1"/>
    <xf numFmtId="9" fontId="23" fillId="0" borderId="0" xfId="2" applyFont="1" applyAlignment="1"/>
    <xf numFmtId="0" fontId="17" fillId="0" borderId="0" xfId="0" applyFont="1" applyBorder="1" applyAlignment="1"/>
    <xf numFmtId="44" fontId="17" fillId="0" borderId="0" xfId="1" applyFont="1" applyBorder="1" applyAlignment="1"/>
    <xf numFmtId="0" fontId="43" fillId="10" borderId="0" xfId="0" applyFont="1" applyFill="1"/>
    <xf numFmtId="0" fontId="44" fillId="0" borderId="0" xfId="0" applyFont="1" applyBorder="1" applyAlignment="1"/>
    <xf numFmtId="44" fontId="44" fillId="0" borderId="0" xfId="1" applyFont="1" applyBorder="1" applyAlignment="1"/>
    <xf numFmtId="0" fontId="19" fillId="0" borderId="1" xfId="0" applyFont="1" applyFill="1" applyBorder="1"/>
    <xf numFmtId="0" fontId="45" fillId="0" borderId="0" xfId="0" applyFont="1" applyFill="1" applyAlignment="1"/>
    <xf numFmtId="0" fontId="45" fillId="0" borderId="0" xfId="0" applyFont="1"/>
    <xf numFmtId="0" fontId="31" fillId="0" borderId="0" xfId="0" applyFont="1" applyBorder="1" applyAlignment="1"/>
    <xf numFmtId="44" fontId="31" fillId="0" borderId="0" xfId="1" applyFont="1" applyBorder="1" applyAlignment="1"/>
    <xf numFmtId="44" fontId="19" fillId="0" borderId="0" xfId="1" applyFont="1" applyFill="1" applyAlignment="1"/>
    <xf numFmtId="0" fontId="17" fillId="11" borderId="0" xfId="0" applyFont="1" applyFill="1" applyAlignment="1"/>
    <xf numFmtId="0" fontId="0" fillId="12" borderId="0" xfId="0" applyFont="1" applyFill="1" applyAlignment="1"/>
    <xf numFmtId="0" fontId="17" fillId="13" borderId="0" xfId="0" applyFont="1" applyFill="1" applyAlignment="1"/>
    <xf numFmtId="0" fontId="0" fillId="14" borderId="0" xfId="0" applyFont="1" applyFill="1" applyAlignment="1"/>
    <xf numFmtId="0" fontId="0" fillId="0" borderId="0" xfId="0" applyFont="1" applyAlignment="1"/>
    <xf numFmtId="0" fontId="19" fillId="0" borderId="0" xfId="0" applyFont="1" applyAlignment="1"/>
    <xf numFmtId="0" fontId="21" fillId="0" borderId="0" xfId="0" applyFont="1" applyAlignment="1"/>
    <xf numFmtId="0" fontId="0" fillId="0" borderId="0" xfId="0" applyFont="1" applyAlignment="1"/>
    <xf numFmtId="9" fontId="0" fillId="0" borderId="0" xfId="2" applyFont="1" applyAlignment="1"/>
    <xf numFmtId="44" fontId="0" fillId="0" borderId="0" xfId="0" applyNumberFormat="1" applyFont="1" applyAlignment="1"/>
    <xf numFmtId="0" fontId="0" fillId="0" borderId="0" xfId="0" applyNumberFormat="1" applyFont="1" applyAlignment="1"/>
    <xf numFmtId="0" fontId="19" fillId="0" borderId="0" xfId="1" applyNumberFormat="1" applyFont="1" applyAlignment="1"/>
    <xf numFmtId="168" fontId="17" fillId="15" borderId="0" xfId="0" applyNumberFormat="1" applyFont="1" applyFill="1" applyAlignment="1">
      <alignment horizontal="right"/>
    </xf>
    <xf numFmtId="172" fontId="17" fillId="15" borderId="0" xfId="0" applyNumberFormat="1" applyFont="1" applyFill="1" applyAlignment="1">
      <alignment horizontal="right"/>
    </xf>
    <xf numFmtId="0" fontId="0" fillId="0" borderId="0" xfId="0" applyFont="1" applyAlignment="1"/>
    <xf numFmtId="0" fontId="49" fillId="0" borderId="0" xfId="0" applyFont="1" applyAlignment="1"/>
    <xf numFmtId="172" fontId="50" fillId="0" borderId="0" xfId="0" applyNumberFormat="1" applyFont="1" applyAlignment="1"/>
    <xf numFmtId="44" fontId="17" fillId="0" borderId="0" xfId="1" applyFont="1" applyFill="1" applyAlignment="1"/>
    <xf numFmtId="0" fontId="0" fillId="0" borderId="0" xfId="0" applyFont="1" applyAlignment="1"/>
    <xf numFmtId="0" fontId="17" fillId="0" borderId="0" xfId="0" applyFont="1" applyAlignment="1"/>
    <xf numFmtId="0" fontId="0" fillId="0" borderId="0" xfId="0" applyFont="1" applyAlignment="1"/>
    <xf numFmtId="0" fontId="21" fillId="0" borderId="0" xfId="0" applyFont="1" applyAlignment="1"/>
    <xf numFmtId="8" fontId="0" fillId="0" borderId="0" xfId="0" applyNumberFormat="1" applyFont="1" applyAlignment="1"/>
    <xf numFmtId="1" fontId="17" fillId="0" borderId="0" xfId="0" applyNumberFormat="1" applyFont="1" applyAlignment="1"/>
    <xf numFmtId="0" fontId="16" fillId="19" borderId="0" xfId="3" applyFill="1"/>
    <xf numFmtId="6" fontId="0" fillId="0" borderId="0" xfId="0" applyNumberFormat="1" applyFont="1" applyAlignment="1"/>
    <xf numFmtId="0" fontId="31" fillId="0" borderId="0" xfId="0" applyFont="1" applyAlignment="1">
      <alignment horizontal="center" vertical="center"/>
    </xf>
    <xf numFmtId="0" fontId="17" fillId="0" borderId="0" xfId="0" applyFont="1" applyAlignment="1">
      <alignment horizontal="center"/>
    </xf>
    <xf numFmtId="0" fontId="17" fillId="0" borderId="0" xfId="0" applyFont="1" applyFill="1" applyAlignment="1"/>
    <xf numFmtId="0" fontId="29" fillId="0" borderId="0" xfId="0" applyFont="1" applyFill="1" applyAlignment="1"/>
    <xf numFmtId="0" fontId="16" fillId="0" borderId="0" xfId="3" applyFill="1"/>
    <xf numFmtId="0" fontId="0" fillId="0" borderId="0" xfId="0" applyFont="1" applyAlignment="1"/>
    <xf numFmtId="0" fontId="41" fillId="0" borderId="0" xfId="3" applyFont="1" applyAlignment="1">
      <alignment horizontal="center" wrapText="1"/>
    </xf>
    <xf numFmtId="0" fontId="21" fillId="0" borderId="0" xfId="0" applyFont="1" applyAlignment="1"/>
    <xf numFmtId="0" fontId="0" fillId="0" borderId="0" xfId="0" applyFont="1" applyAlignment="1"/>
    <xf numFmtId="0" fontId="17" fillId="0" borderId="0" xfId="0" applyFont="1" applyAlignment="1"/>
    <xf numFmtId="0" fontId="49" fillId="19" borderId="0" xfId="0" applyFont="1" applyFill="1" applyAlignment="1"/>
    <xf numFmtId="170" fontId="17" fillId="0" borderId="0" xfId="0" applyNumberFormat="1" applyFont="1" applyFill="1" applyAlignment="1"/>
    <xf numFmtId="0" fontId="17" fillId="0" borderId="3" xfId="0" applyFont="1" applyBorder="1" applyAlignment="1"/>
    <xf numFmtId="0" fontId="0" fillId="21" borderId="3" xfId="0" applyNumberFormat="1" applyFont="1" applyFill="1" applyBorder="1" applyAlignment="1"/>
    <xf numFmtId="1" fontId="0" fillId="12" borderId="3" xfId="0" applyNumberFormat="1" applyFont="1" applyFill="1" applyBorder="1" applyAlignment="1"/>
    <xf numFmtId="1" fontId="0" fillId="17" borderId="3" xfId="0" applyNumberFormat="1" applyFont="1" applyFill="1" applyBorder="1" applyAlignment="1"/>
    <xf numFmtId="0" fontId="0" fillId="12" borderId="3" xfId="0" applyFont="1" applyFill="1" applyBorder="1" applyAlignment="1"/>
    <xf numFmtId="0" fontId="29" fillId="0" borderId="3" xfId="0" applyFont="1" applyBorder="1" applyAlignment="1"/>
    <xf numFmtId="0" fontId="0" fillId="0" borderId="0" xfId="0" applyFont="1" applyAlignment="1"/>
    <xf numFmtId="0" fontId="17" fillId="24" borderId="0" xfId="0" applyFont="1" applyFill="1" applyAlignment="1"/>
    <xf numFmtId="0" fontId="19" fillId="16" borderId="0" xfId="0" applyFont="1" applyFill="1" applyAlignment="1"/>
    <xf numFmtId="172" fontId="17" fillId="0" borderId="0" xfId="0" applyNumberFormat="1" applyFont="1"/>
    <xf numFmtId="0" fontId="19" fillId="0" borderId="1" xfId="0" applyFont="1" applyBorder="1" applyAlignment="1"/>
    <xf numFmtId="0" fontId="19" fillId="0" borderId="1" xfId="0" applyFont="1" applyBorder="1"/>
    <xf numFmtId="0" fontId="19" fillId="0" borderId="0" xfId="0" applyFont="1" applyAlignment="1"/>
    <xf numFmtId="0" fontId="0" fillId="0" borderId="0" xfId="0" applyFont="1" applyAlignment="1"/>
    <xf numFmtId="0" fontId="17" fillId="0" borderId="0" xfId="0" applyFont="1" applyAlignment="1"/>
    <xf numFmtId="0" fontId="0" fillId="22" borderId="3" xfId="0" applyFont="1" applyFill="1" applyBorder="1" applyAlignment="1"/>
    <xf numFmtId="0" fontId="20" fillId="0" borderId="0" xfId="0" applyFont="1" applyFill="1" applyBorder="1" applyAlignment="1"/>
    <xf numFmtId="0" fontId="0" fillId="0" borderId="0" xfId="0" applyFont="1" applyFill="1" applyBorder="1" applyAlignment="1"/>
    <xf numFmtId="0" fontId="0" fillId="0" borderId="0" xfId="0" applyFont="1" applyAlignment="1"/>
    <xf numFmtId="0" fontId="29" fillId="0" borderId="3" xfId="0" applyFont="1" applyFill="1" applyBorder="1" applyAlignment="1"/>
    <xf numFmtId="0" fontId="29" fillId="0" borderId="0" xfId="0" applyFont="1" applyFill="1" applyBorder="1" applyAlignment="1"/>
    <xf numFmtId="0" fontId="0" fillId="0" borderId="0" xfId="0" applyNumberFormat="1" applyFont="1" applyFill="1" applyBorder="1" applyAlignment="1"/>
    <xf numFmtId="8" fontId="0" fillId="0" borderId="0" xfId="0" applyNumberFormat="1" applyFont="1" applyFill="1" applyBorder="1" applyAlignment="1"/>
    <xf numFmtId="1" fontId="0" fillId="0" borderId="0" xfId="0" applyNumberFormat="1" applyFont="1" applyFill="1" applyBorder="1" applyAlignment="1"/>
    <xf numFmtId="0" fontId="51" fillId="0" borderId="0" xfId="0" applyFont="1" applyBorder="1" applyAlignment="1"/>
    <xf numFmtId="0" fontId="29" fillId="0" borderId="0" xfId="0" applyFont="1" applyBorder="1" applyAlignment="1"/>
    <xf numFmtId="0" fontId="0" fillId="0" borderId="0" xfId="0" applyFont="1" applyBorder="1" applyAlignment="1"/>
    <xf numFmtId="0" fontId="21" fillId="0" borderId="3" xfId="0" applyFont="1" applyBorder="1" applyAlignment="1"/>
    <xf numFmtId="0" fontId="17" fillId="17" borderId="3" xfId="0" applyFont="1" applyFill="1" applyBorder="1" applyAlignment="1"/>
    <xf numFmtId="3" fontId="19" fillId="11" borderId="3" xfId="0" applyNumberFormat="1" applyFont="1" applyFill="1" applyBorder="1" applyAlignment="1">
      <alignment horizontal="right"/>
    </xf>
    <xf numFmtId="3" fontId="19" fillId="18" borderId="3" xfId="0" applyNumberFormat="1" applyFont="1" applyFill="1" applyBorder="1" applyAlignment="1">
      <alignment horizontal="right"/>
    </xf>
    <xf numFmtId="0" fontId="15" fillId="17" borderId="3" xfId="3" applyFont="1" applyFill="1" applyBorder="1" applyAlignment="1">
      <alignment horizontal="right"/>
    </xf>
    <xf numFmtId="2" fontId="17" fillId="18" borderId="3" xfId="0" applyNumberFormat="1" applyFont="1" applyFill="1" applyBorder="1" applyAlignment="1">
      <alignment horizontal="right"/>
    </xf>
    <xf numFmtId="0" fontId="17" fillId="20" borderId="3" xfId="0" applyFont="1" applyFill="1" applyBorder="1" applyAlignment="1">
      <alignment horizontal="right"/>
    </xf>
    <xf numFmtId="0" fontId="17" fillId="18" borderId="3" xfId="0" applyFont="1" applyFill="1" applyBorder="1" applyAlignment="1">
      <alignment horizontal="right"/>
    </xf>
    <xf numFmtId="0" fontId="17" fillId="11" borderId="3" xfId="0" applyFont="1" applyFill="1" applyBorder="1" applyAlignment="1">
      <alignment horizontal="right"/>
    </xf>
    <xf numFmtId="170" fontId="19" fillId="18" borderId="3" xfId="0" applyNumberFormat="1" applyFont="1" applyFill="1" applyBorder="1" applyAlignment="1"/>
    <xf numFmtId="0" fontId="19" fillId="12" borderId="6" xfId="0" applyNumberFormat="1" applyFont="1" applyFill="1" applyBorder="1" applyAlignment="1"/>
    <xf numFmtId="9" fontId="31" fillId="12" borderId="3" xfId="2" applyFont="1" applyFill="1" applyBorder="1" applyAlignment="1">
      <alignment horizontal="right"/>
    </xf>
    <xf numFmtId="0" fontId="40" fillId="0" borderId="3" xfId="0" applyFont="1" applyBorder="1" applyAlignment="1"/>
    <xf numFmtId="0" fontId="37" fillId="0" borderId="3" xfId="0" applyFont="1" applyBorder="1" applyAlignment="1"/>
    <xf numFmtId="0" fontId="16" fillId="0" borderId="3" xfId="3" applyBorder="1"/>
    <xf numFmtId="0" fontId="14" fillId="0" borderId="3" xfId="3" applyFont="1" applyBorder="1"/>
    <xf numFmtId="0" fontId="15" fillId="0" borderId="3" xfId="3" applyFont="1" applyBorder="1"/>
    <xf numFmtId="170" fontId="17" fillId="0" borderId="6" xfId="0" applyNumberFormat="1" applyFont="1" applyFill="1" applyBorder="1" applyAlignment="1">
      <alignment horizontal="center"/>
    </xf>
    <xf numFmtId="0" fontId="17" fillId="0" borderId="2" xfId="0" applyFont="1" applyBorder="1" applyAlignment="1"/>
    <xf numFmtId="172" fontId="17" fillId="0" borderId="0" xfId="0" applyNumberFormat="1" applyFont="1" applyFill="1" applyAlignment="1">
      <alignment horizontal="right"/>
    </xf>
    <xf numFmtId="172" fontId="29" fillId="0" borderId="0" xfId="0" applyNumberFormat="1" applyFont="1" applyFill="1" applyAlignment="1"/>
    <xf numFmtId="0" fontId="10" fillId="0" borderId="7" xfId="3" applyFont="1" applyFill="1" applyBorder="1"/>
    <xf numFmtId="0" fontId="19" fillId="16" borderId="2" xfId="0" applyFont="1" applyFill="1" applyBorder="1" applyAlignment="1"/>
    <xf numFmtId="0" fontId="0" fillId="0" borderId="3" xfId="0" applyFont="1" applyBorder="1" applyAlignment="1"/>
    <xf numFmtId="172" fontId="0" fillId="0" borderId="3" xfId="0" applyNumberFormat="1" applyFont="1" applyBorder="1" applyAlignment="1"/>
    <xf numFmtId="0" fontId="29" fillId="12" borderId="3" xfId="0" applyFont="1" applyFill="1" applyBorder="1" applyAlignment="1"/>
    <xf numFmtId="0" fontId="34" fillId="0" borderId="3" xfId="0" applyFont="1" applyBorder="1" applyAlignment="1"/>
    <xf numFmtId="0" fontId="29" fillId="0" borderId="3" xfId="0" applyFont="1" applyBorder="1" applyAlignment="1">
      <alignment horizontal="center"/>
    </xf>
    <xf numFmtId="0" fontId="49" fillId="21" borderId="3" xfId="0" applyNumberFormat="1" applyFont="1" applyFill="1" applyBorder="1" applyAlignment="1"/>
    <xf numFmtId="0" fontId="0" fillId="0" borderId="0" xfId="0" applyFont="1" applyAlignment="1"/>
    <xf numFmtId="9" fontId="0" fillId="0" borderId="0" xfId="0" applyNumberFormat="1" applyFont="1" applyAlignment="1"/>
    <xf numFmtId="10" fontId="0" fillId="0" borderId="0" xfId="0" applyNumberFormat="1" applyFont="1" applyAlignment="1"/>
    <xf numFmtId="39" fontId="34" fillId="12" borderId="3" xfId="1" applyNumberFormat="1" applyFont="1" applyFill="1" applyBorder="1" applyAlignment="1"/>
    <xf numFmtId="0" fontId="17" fillId="0" borderId="3" xfId="0" applyFont="1" applyFill="1" applyBorder="1" applyAlignment="1"/>
    <xf numFmtId="0" fontId="34" fillId="0" borderId="0" xfId="0" applyFont="1" applyFill="1" applyAlignment="1"/>
    <xf numFmtId="0" fontId="29" fillId="0" borderId="6" xfId="0" applyFont="1" applyFill="1" applyBorder="1" applyAlignment="1"/>
    <xf numFmtId="0" fontId="34" fillId="17" borderId="3" xfId="0" applyFont="1" applyFill="1" applyBorder="1" applyAlignment="1"/>
    <xf numFmtId="0" fontId="9" fillId="0" borderId="3" xfId="3" applyFont="1" applyFill="1" applyBorder="1"/>
    <xf numFmtId="0" fontId="10" fillId="0" borderId="3" xfId="3" applyFont="1" applyFill="1" applyBorder="1"/>
    <xf numFmtId="0" fontId="49" fillId="12" borderId="3" xfId="0" applyFont="1" applyFill="1" applyBorder="1" applyAlignment="1"/>
    <xf numFmtId="0" fontId="17" fillId="12" borderId="3" xfId="0" applyFont="1" applyFill="1" applyBorder="1" applyAlignment="1"/>
    <xf numFmtId="0" fontId="29" fillId="0" borderId="6" xfId="0" applyFont="1" applyBorder="1" applyAlignment="1"/>
    <xf numFmtId="0" fontId="29" fillId="0" borderId="9" xfId="0" applyFont="1" applyBorder="1" applyAlignment="1"/>
    <xf numFmtId="0" fontId="29" fillId="0" borderId="10" xfId="0" applyFont="1" applyFill="1" applyBorder="1" applyAlignment="1"/>
    <xf numFmtId="0" fontId="29" fillId="0" borderId="6" xfId="0" applyFont="1" applyBorder="1" applyAlignment="1">
      <alignment wrapText="1"/>
    </xf>
    <xf numFmtId="0" fontId="42" fillId="0" borderId="3" xfId="0" applyFont="1" applyBorder="1" applyAlignment="1"/>
    <xf numFmtId="0" fontId="31" fillId="0" borderId="3" xfId="0" applyFont="1" applyFill="1" applyBorder="1" applyAlignment="1">
      <alignment horizontal="left"/>
    </xf>
    <xf numFmtId="0" fontId="6" fillId="0" borderId="3" xfId="3" applyFont="1" applyFill="1" applyBorder="1" applyAlignment="1">
      <alignment horizontal="left"/>
    </xf>
    <xf numFmtId="2" fontId="31" fillId="0" borderId="3" xfId="0" applyNumberFormat="1" applyFont="1" applyFill="1" applyBorder="1" applyAlignment="1">
      <alignment horizontal="left"/>
    </xf>
    <xf numFmtId="172" fontId="31" fillId="0" borderId="3" xfId="1" applyNumberFormat="1" applyFont="1" applyFill="1" applyBorder="1" applyAlignment="1">
      <alignment horizontal="left"/>
    </xf>
    <xf numFmtId="170" fontId="31" fillId="0" borderId="3" xfId="0" applyNumberFormat="1" applyFont="1" applyFill="1" applyBorder="1" applyAlignment="1">
      <alignment horizontal="left"/>
    </xf>
    <xf numFmtId="0" fontId="31" fillId="0" borderId="3" xfId="2" applyNumberFormat="1" applyFont="1" applyFill="1" applyBorder="1" applyAlignment="1">
      <alignment horizontal="left"/>
    </xf>
    <xf numFmtId="0" fontId="62" fillId="0" borderId="3" xfId="0" applyFont="1" applyFill="1" applyBorder="1" applyAlignment="1">
      <alignment horizontal="left"/>
    </xf>
    <xf numFmtId="1" fontId="31" fillId="0" borderId="3" xfId="2" applyNumberFormat="1" applyFont="1" applyFill="1" applyBorder="1" applyAlignment="1">
      <alignment horizontal="left"/>
    </xf>
    <xf numFmtId="173" fontId="31" fillId="0" borderId="3" xfId="1" applyNumberFormat="1" applyFont="1" applyFill="1" applyBorder="1" applyAlignment="1">
      <alignment horizontal="left"/>
    </xf>
    <xf numFmtId="44" fontId="31" fillId="0" borderId="3" xfId="1" applyFont="1" applyFill="1" applyBorder="1" applyAlignment="1">
      <alignment horizontal="left"/>
    </xf>
    <xf numFmtId="9" fontId="31" fillId="0" borderId="3" xfId="2" applyFont="1" applyFill="1" applyBorder="1" applyAlignment="1">
      <alignment horizontal="left"/>
    </xf>
    <xf numFmtId="44" fontId="62" fillId="0" borderId="3" xfId="1" applyFont="1" applyFill="1" applyBorder="1" applyAlignment="1">
      <alignment horizontal="left"/>
    </xf>
    <xf numFmtId="0" fontId="50" fillId="0" borderId="3" xfId="0" applyFont="1" applyFill="1" applyBorder="1" applyAlignment="1">
      <alignment horizontal="left"/>
    </xf>
    <xf numFmtId="9" fontId="62" fillId="0" borderId="3" xfId="0" applyNumberFormat="1" applyFont="1" applyFill="1" applyBorder="1" applyAlignment="1">
      <alignment horizontal="left"/>
    </xf>
    <xf numFmtId="8" fontId="62" fillId="0" borderId="3" xfId="0" applyNumberFormat="1" applyFont="1" applyFill="1" applyBorder="1" applyAlignment="1">
      <alignment horizontal="left"/>
    </xf>
    <xf numFmtId="170" fontId="31" fillId="0" borderId="3" xfId="2" applyNumberFormat="1" applyFont="1" applyFill="1" applyBorder="1" applyAlignment="1">
      <alignment horizontal="left"/>
    </xf>
    <xf numFmtId="172" fontId="31" fillId="0" borderId="3" xfId="0" applyNumberFormat="1" applyFont="1" applyFill="1" applyBorder="1" applyAlignment="1">
      <alignment horizontal="left"/>
    </xf>
    <xf numFmtId="172" fontId="62" fillId="0" borderId="3" xfId="0" applyNumberFormat="1" applyFont="1" applyFill="1" applyBorder="1" applyAlignment="1">
      <alignment horizontal="left"/>
    </xf>
    <xf numFmtId="6" fontId="62" fillId="0" borderId="3" xfId="0" applyNumberFormat="1" applyFont="1" applyFill="1" applyBorder="1" applyAlignment="1">
      <alignment horizontal="left"/>
    </xf>
    <xf numFmtId="0" fontId="0" fillId="0" borderId="0" xfId="0" applyFont="1" applyAlignment="1"/>
    <xf numFmtId="0" fontId="31" fillId="0" borderId="0" xfId="0" applyFont="1" applyFill="1" applyAlignment="1"/>
    <xf numFmtId="14" fontId="0" fillId="0" borderId="3" xfId="0" applyNumberFormat="1" applyFont="1" applyBorder="1" applyAlignment="1"/>
    <xf numFmtId="0" fontId="0" fillId="0" borderId="0" xfId="0" applyFont="1" applyAlignment="1"/>
    <xf numFmtId="0" fontId="34" fillId="17" borderId="7" xfId="0" applyFont="1" applyFill="1" applyBorder="1" applyAlignment="1"/>
    <xf numFmtId="44" fontId="0" fillId="0" borderId="0" xfId="0" applyNumberFormat="1"/>
    <xf numFmtId="0" fontId="0" fillId="0" borderId="0" xfId="0" applyFont="1" applyAlignment="1"/>
    <xf numFmtId="0" fontId="59" fillId="0" borderId="3" xfId="3" applyFont="1" applyBorder="1"/>
    <xf numFmtId="0" fontId="41" fillId="0" borderId="12" xfId="3" applyFont="1" applyBorder="1"/>
    <xf numFmtId="0" fontId="41" fillId="9" borderId="3" xfId="3" applyFont="1" applyFill="1" applyBorder="1"/>
    <xf numFmtId="0" fontId="41" fillId="9" borderId="5" xfId="3" applyFont="1" applyFill="1" applyBorder="1"/>
    <xf numFmtId="0" fontId="41" fillId="0" borderId="3" xfId="3" applyFont="1" applyBorder="1"/>
    <xf numFmtId="0" fontId="0" fillId="0" borderId="7" xfId="0" applyFont="1" applyBorder="1" applyAlignment="1"/>
    <xf numFmtId="0" fontId="34" fillId="0" borderId="3" xfId="0" applyFont="1" applyFill="1" applyBorder="1" applyAlignment="1"/>
    <xf numFmtId="9" fontId="0" fillId="12" borderId="3" xfId="2" applyFont="1" applyFill="1" applyBorder="1"/>
    <xf numFmtId="0" fontId="20" fillId="0" borderId="3" xfId="0" applyFont="1" applyBorder="1" applyAlignment="1"/>
    <xf numFmtId="0" fontId="37" fillId="0" borderId="3" xfId="0" applyFont="1" applyBorder="1" applyAlignment="1">
      <alignment wrapText="1"/>
    </xf>
    <xf numFmtId="0" fontId="40" fillId="0" borderId="3" xfId="0" applyFont="1" applyBorder="1" applyAlignment="1">
      <alignment wrapText="1"/>
    </xf>
    <xf numFmtId="44" fontId="37" fillId="0" borderId="3" xfId="1" applyFont="1" applyBorder="1" applyAlignment="1"/>
    <xf numFmtId="9" fontId="37" fillId="0" borderId="3" xfId="2" applyFont="1" applyBorder="1" applyAlignment="1"/>
    <xf numFmtId="44" fontId="37" fillId="16" borderId="3" xfId="1" applyFont="1" applyFill="1" applyBorder="1" applyAlignment="1"/>
    <xf numFmtId="9" fontId="40" fillId="0" borderId="3" xfId="2" applyFont="1" applyBorder="1" applyAlignment="1"/>
    <xf numFmtId="0" fontId="40" fillId="16" borderId="3" xfId="0" applyFont="1" applyFill="1" applyBorder="1" applyAlignment="1"/>
    <xf numFmtId="9" fontId="40" fillId="16" borderId="3" xfId="2" applyFont="1" applyFill="1" applyBorder="1" applyAlignment="1"/>
    <xf numFmtId="0" fontId="41" fillId="0" borderId="3" xfId="3" applyFont="1" applyBorder="1" applyAlignment="1">
      <alignment wrapText="1"/>
    </xf>
    <xf numFmtId="0" fontId="13" fillId="0" borderId="3" xfId="3" applyFont="1" applyBorder="1"/>
    <xf numFmtId="0" fontId="55" fillId="10" borderId="3" xfId="3" applyNumberFormat="1" applyFont="1" applyFill="1" applyBorder="1"/>
    <xf numFmtId="0" fontId="41" fillId="19" borderId="3" xfId="3" applyNumberFormat="1" applyFont="1" applyFill="1" applyBorder="1"/>
    <xf numFmtId="0" fontId="47" fillId="10" borderId="3" xfId="3" applyFont="1" applyFill="1" applyBorder="1"/>
    <xf numFmtId="0" fontId="56" fillId="10" borderId="3" xfId="3" applyFont="1" applyFill="1" applyBorder="1"/>
    <xf numFmtId="0" fontId="16" fillId="10" borderId="3" xfId="3" applyFill="1" applyBorder="1"/>
    <xf numFmtId="0" fontId="41" fillId="10" borderId="3" xfId="3" applyNumberFormat="1" applyFont="1" applyFill="1" applyBorder="1"/>
    <xf numFmtId="0" fontId="9" fillId="10" borderId="3" xfId="3" applyFont="1" applyFill="1" applyBorder="1"/>
    <xf numFmtId="0" fontId="12" fillId="10" borderId="3" xfId="3" applyFont="1" applyFill="1" applyBorder="1"/>
    <xf numFmtId="0" fontId="41" fillId="10" borderId="3" xfId="3" applyFont="1" applyFill="1" applyBorder="1"/>
    <xf numFmtId="0" fontId="12" fillId="0" borderId="3" xfId="3" applyFont="1" applyBorder="1"/>
    <xf numFmtId="0" fontId="11" fillId="0" borderId="3" xfId="3" applyFont="1" applyFill="1" applyBorder="1"/>
    <xf numFmtId="0" fontId="7" fillId="10" borderId="3" xfId="3" applyFont="1" applyFill="1" applyBorder="1"/>
    <xf numFmtId="0" fontId="11" fillId="0" borderId="3" xfId="3" applyFont="1" applyBorder="1"/>
    <xf numFmtId="0" fontId="16" fillId="10" borderId="3" xfId="3" applyNumberFormat="1" applyFill="1" applyBorder="1"/>
    <xf numFmtId="0" fontId="9" fillId="0" borderId="3" xfId="3" applyFont="1" applyBorder="1"/>
    <xf numFmtId="0" fontId="41" fillId="0" borderId="3" xfId="3" applyNumberFormat="1" applyFont="1" applyBorder="1"/>
    <xf numFmtId="0" fontId="55" fillId="0" borderId="3" xfId="3" applyNumberFormat="1" applyFont="1" applyBorder="1"/>
    <xf numFmtId="0" fontId="7" fillId="0" borderId="3" xfId="3" applyFont="1" applyBorder="1"/>
    <xf numFmtId="0" fontId="55" fillId="0" borderId="3" xfId="3" applyFont="1" applyBorder="1"/>
    <xf numFmtId="0" fontId="53" fillId="0" borderId="3" xfId="4" applyBorder="1" applyAlignment="1"/>
    <xf numFmtId="0" fontId="8" fillId="0" borderId="3" xfId="3" applyFont="1" applyBorder="1"/>
    <xf numFmtId="0" fontId="56" fillId="0" borderId="3" xfId="3" applyFont="1" applyBorder="1"/>
    <xf numFmtId="0" fontId="53" fillId="0" borderId="3" xfId="4" applyBorder="1"/>
    <xf numFmtId="0" fontId="54" fillId="0" borderId="3" xfId="3" applyFont="1" applyBorder="1"/>
    <xf numFmtId="0" fontId="60" fillId="0" borderId="3" xfId="0" applyFont="1" applyBorder="1" applyAlignment="1"/>
    <xf numFmtId="17" fontId="16" fillId="0" borderId="3" xfId="3" applyNumberFormat="1" applyBorder="1"/>
    <xf numFmtId="0" fontId="58" fillId="0" borderId="3" xfId="0" applyFont="1" applyBorder="1" applyAlignment="1"/>
    <xf numFmtId="174" fontId="0" fillId="12" borderId="3" xfId="0" applyNumberFormat="1" applyFont="1" applyFill="1" applyBorder="1" applyAlignment="1"/>
    <xf numFmtId="174" fontId="19" fillId="18" borderId="3" xfId="1" applyNumberFormat="1" applyFont="1" applyFill="1" applyBorder="1" applyAlignment="1"/>
    <xf numFmtId="174" fontId="19" fillId="11" borderId="3" xfId="1" applyNumberFormat="1" applyFont="1" applyFill="1" applyBorder="1" applyAlignment="1">
      <alignment horizontal="right"/>
    </xf>
    <xf numFmtId="174" fontId="19" fillId="18" borderId="3" xfId="1" applyNumberFormat="1" applyFont="1" applyFill="1" applyBorder="1" applyAlignment="1">
      <alignment horizontal="right"/>
    </xf>
    <xf numFmtId="174" fontId="19" fillId="0" borderId="0" xfId="0" applyNumberFormat="1" applyFont="1"/>
    <xf numFmtId="174" fontId="19" fillId="24" borderId="0" xfId="0" applyNumberFormat="1" applyFont="1" applyFill="1"/>
    <xf numFmtId="174" fontId="19" fillId="4" borderId="0" xfId="0" applyNumberFormat="1" applyFont="1" applyFill="1"/>
    <xf numFmtId="174" fontId="0" fillId="0" borderId="0" xfId="0" applyNumberFormat="1" applyFont="1" applyAlignment="1"/>
    <xf numFmtId="174" fontId="21" fillId="0" borderId="1" xfId="0" applyNumberFormat="1" applyFont="1" applyBorder="1"/>
    <xf numFmtId="174" fontId="21" fillId="4" borderId="1" xfId="0" applyNumberFormat="1" applyFont="1" applyFill="1" applyBorder="1"/>
    <xf numFmtId="174" fontId="21" fillId="0" borderId="1" xfId="0" applyNumberFormat="1" applyFont="1" applyFill="1" applyBorder="1"/>
    <xf numFmtId="174" fontId="21" fillId="0" borderId="0" xfId="0" applyNumberFormat="1" applyFont="1" applyAlignment="1"/>
    <xf numFmtId="174" fontId="17" fillId="0" borderId="0" xfId="1" applyNumberFormat="1" applyFont="1" applyBorder="1" applyAlignment="1"/>
    <xf numFmtId="174" fontId="44" fillId="0" borderId="0" xfId="1" applyNumberFormat="1" applyFont="1" applyBorder="1" applyAlignment="1"/>
    <xf numFmtId="174" fontId="57" fillId="0" borderId="0" xfId="0" applyNumberFormat="1" applyFont="1" applyAlignment="1"/>
    <xf numFmtId="174" fontId="19" fillId="12" borderId="0" xfId="0" applyNumberFormat="1" applyFont="1" applyFill="1"/>
    <xf numFmtId="174" fontId="0" fillId="24" borderId="0" xfId="0" applyNumberFormat="1" applyFont="1" applyFill="1" applyAlignment="1"/>
    <xf numFmtId="174" fontId="19" fillId="0" borderId="0" xfId="1" applyNumberFormat="1" applyFont="1"/>
    <xf numFmtId="174" fontId="21" fillId="0" borderId="1" xfId="0" applyNumberFormat="1" applyFont="1" applyBorder="1" applyAlignment="1"/>
    <xf numFmtId="174" fontId="34" fillId="0" borderId="0" xfId="0" applyNumberFormat="1" applyFont="1" applyAlignment="1"/>
    <xf numFmtId="174" fontId="50" fillId="0" borderId="0" xfId="0" applyNumberFormat="1" applyFont="1" applyAlignment="1"/>
    <xf numFmtId="174" fontId="31" fillId="0" borderId="0" xfId="1" applyNumberFormat="1" applyFont="1" applyBorder="1" applyAlignment="1"/>
    <xf numFmtId="174" fontId="17" fillId="0" borderId="0" xfId="0" applyNumberFormat="1" applyFont="1" applyFill="1" applyAlignment="1"/>
    <xf numFmtId="174" fontId="17" fillId="24" borderId="0" xfId="0" applyNumberFormat="1" applyFont="1" applyFill="1" applyAlignment="1"/>
    <xf numFmtId="174" fontId="19" fillId="3" borderId="0" xfId="0" applyNumberFormat="1" applyFont="1" applyFill="1" applyAlignment="1"/>
    <xf numFmtId="174" fontId="19" fillId="0" borderId="0" xfId="0" applyNumberFormat="1" applyFont="1" applyFill="1"/>
    <xf numFmtId="174" fontId="19" fillId="23" borderId="0" xfId="0" applyNumberFormat="1" applyFont="1" applyFill="1" applyAlignment="1"/>
    <xf numFmtId="174" fontId="34" fillId="0" borderId="4" xfId="0" applyNumberFormat="1" applyFont="1" applyBorder="1" applyAlignment="1"/>
    <xf numFmtId="174" fontId="21" fillId="0" borderId="1" xfId="1" applyNumberFormat="1" applyFont="1" applyBorder="1" applyAlignment="1"/>
    <xf numFmtId="174" fontId="29" fillId="24" borderId="0" xfId="1" applyNumberFormat="1" applyFont="1" applyFill="1" applyAlignment="1"/>
    <xf numFmtId="174" fontId="17" fillId="4" borderId="0" xfId="0" applyNumberFormat="1" applyFont="1" applyFill="1"/>
    <xf numFmtId="174" fontId="0" fillId="17" borderId="3" xfId="0" applyNumberFormat="1" applyFont="1" applyFill="1" applyBorder="1" applyAlignment="1"/>
    <xf numFmtId="174" fontId="40" fillId="0" borderId="3" xfId="0" applyNumberFormat="1" applyFont="1" applyBorder="1" applyAlignment="1"/>
    <xf numFmtId="174" fontId="40" fillId="0" borderId="3" xfId="1" applyNumberFormat="1" applyFont="1" applyBorder="1" applyAlignment="1"/>
    <xf numFmtId="174" fontId="0" fillId="0" borderId="3" xfId="0" applyNumberFormat="1" applyFont="1" applyBorder="1" applyAlignment="1"/>
    <xf numFmtId="174" fontId="37" fillId="12" borderId="3" xfId="1" applyNumberFormat="1" applyFont="1" applyFill="1" applyBorder="1" applyAlignment="1"/>
    <xf numFmtId="174" fontId="19" fillId="12" borderId="3" xfId="1" applyNumberFormat="1" applyFont="1" applyFill="1" applyBorder="1" applyAlignment="1"/>
    <xf numFmtId="0" fontId="63" fillId="0" borderId="3" xfId="0" applyFont="1" applyBorder="1" applyAlignment="1"/>
    <xf numFmtId="10" fontId="40" fillId="0" borderId="3" xfId="2" applyNumberFormat="1" applyFont="1" applyBorder="1" applyAlignment="1"/>
    <xf numFmtId="9" fontId="40" fillId="0" borderId="3" xfId="0" applyNumberFormat="1" applyFont="1" applyBorder="1" applyAlignment="1"/>
    <xf numFmtId="0" fontId="40" fillId="0" borderId="3" xfId="0" applyFont="1" applyBorder="1" applyAlignment="1">
      <alignment horizontal="center"/>
    </xf>
    <xf numFmtId="10" fontId="40" fillId="0" borderId="3" xfId="0" applyNumberFormat="1" applyFont="1" applyBorder="1" applyAlignment="1"/>
    <xf numFmtId="0" fontId="40" fillId="0" borderId="7" xfId="0" applyFont="1" applyFill="1" applyBorder="1" applyAlignment="1"/>
    <xf numFmtId="1" fontId="37" fillId="22" borderId="3" xfId="1" applyNumberFormat="1" applyFont="1" applyFill="1" applyBorder="1" applyAlignment="1"/>
    <xf numFmtId="1" fontId="37" fillId="0" borderId="3" xfId="1" applyNumberFormat="1" applyFont="1" applyFill="1" applyBorder="1" applyAlignment="1"/>
    <xf numFmtId="0" fontId="20" fillId="0" borderId="1" xfId="0" applyFont="1" applyBorder="1" applyAlignment="1"/>
    <xf numFmtId="174" fontId="37" fillId="0" borderId="1" xfId="0" applyNumberFormat="1" applyFont="1" applyBorder="1"/>
    <xf numFmtId="0" fontId="37" fillId="0" borderId="1" xfId="0" applyFont="1" applyBorder="1"/>
    <xf numFmtId="10" fontId="40" fillId="0" borderId="0" xfId="2" applyNumberFormat="1" applyFont="1" applyBorder="1" applyAlignment="1"/>
    <xf numFmtId="0" fontId="40" fillId="0" borderId="3" xfId="0" applyFont="1" applyFill="1" applyBorder="1" applyAlignment="1"/>
    <xf numFmtId="175" fontId="40" fillId="0" borderId="3" xfId="0" applyNumberFormat="1" applyFont="1" applyBorder="1" applyAlignment="1"/>
    <xf numFmtId="167" fontId="0" fillId="0" borderId="3" xfId="0" applyNumberFormat="1" applyFont="1" applyBorder="1" applyAlignment="1"/>
    <xf numFmtId="176" fontId="0" fillId="0" borderId="3" xfId="0" applyNumberFormat="1" applyFont="1" applyBorder="1" applyAlignment="1"/>
    <xf numFmtId="172" fontId="40" fillId="0" borderId="3" xfId="0" applyNumberFormat="1" applyFont="1" applyBorder="1" applyAlignment="1"/>
    <xf numFmtId="167" fontId="40" fillId="0" borderId="3" xfId="0" applyNumberFormat="1" applyFont="1" applyBorder="1" applyAlignment="1"/>
    <xf numFmtId="176" fontId="40" fillId="0" borderId="3" xfId="0" applyNumberFormat="1" applyFont="1" applyBorder="1" applyAlignment="1"/>
    <xf numFmtId="174" fontId="37" fillId="12" borderId="1" xfId="0" applyNumberFormat="1" applyFont="1" applyFill="1" applyBorder="1"/>
    <xf numFmtId="0" fontId="64" fillId="0" borderId="0" xfId="0" applyFont="1" applyAlignment="1"/>
    <xf numFmtId="174" fontId="64" fillId="0" borderId="0" xfId="0" applyNumberFormat="1" applyFont="1" applyAlignment="1"/>
    <xf numFmtId="174" fontId="37" fillId="12" borderId="3" xfId="0" applyNumberFormat="1" applyFont="1" applyFill="1" applyBorder="1" applyAlignment="1"/>
    <xf numFmtId="174" fontId="20" fillId="12" borderId="3" xfId="1" applyNumberFormat="1" applyFont="1" applyFill="1" applyBorder="1" applyAlignment="1"/>
    <xf numFmtId="0" fontId="37" fillId="12" borderId="3" xfId="0" applyFont="1" applyFill="1" applyBorder="1" applyAlignment="1"/>
    <xf numFmtId="14" fontId="0" fillId="0" borderId="0" xfId="0" applyNumberFormat="1" applyFont="1" applyAlignment="1"/>
    <xf numFmtId="6" fontId="29" fillId="0" borderId="0" xfId="0" applyNumberFormat="1" applyFont="1" applyAlignment="1"/>
    <xf numFmtId="14" fontId="42" fillId="0" borderId="3" xfId="0" applyNumberFormat="1" applyFont="1" applyBorder="1" applyAlignment="1"/>
    <xf numFmtId="0" fontId="40" fillId="9" borderId="3" xfId="0" applyFont="1" applyFill="1" applyBorder="1" applyAlignment="1"/>
    <xf numFmtId="0" fontId="42" fillId="9" borderId="3" xfId="0" applyFont="1" applyFill="1" applyBorder="1" applyAlignment="1"/>
    <xf numFmtId="0" fontId="40" fillId="10" borderId="3" xfId="0" applyFont="1" applyFill="1" applyBorder="1" applyAlignment="1"/>
    <xf numFmtId="0" fontId="40" fillId="25" borderId="3" xfId="0" applyFont="1" applyFill="1" applyBorder="1" applyAlignment="1"/>
    <xf numFmtId="6" fontId="40" fillId="25" borderId="3" xfId="0" applyNumberFormat="1" applyFont="1" applyFill="1" applyBorder="1" applyAlignment="1"/>
    <xf numFmtId="0" fontId="40" fillId="26" borderId="3" xfId="0" applyFont="1" applyFill="1" applyBorder="1" applyAlignment="1"/>
    <xf numFmtId="0" fontId="42" fillId="10" borderId="3" xfId="0" applyFont="1" applyFill="1" applyBorder="1" applyAlignment="1"/>
    <xf numFmtId="9" fontId="17" fillId="17" borderId="3" xfId="2" applyFont="1" applyFill="1" applyBorder="1" applyAlignment="1"/>
    <xf numFmtId="0" fontId="21" fillId="12" borderId="3" xfId="0" applyFont="1" applyFill="1" applyBorder="1" applyAlignment="1"/>
    <xf numFmtId="0" fontId="22" fillId="0" borderId="3" xfId="0" applyFont="1" applyBorder="1" applyAlignment="1"/>
    <xf numFmtId="174" fontId="17" fillId="12" borderId="3" xfId="1" applyNumberFormat="1" applyFont="1" applyFill="1" applyBorder="1" applyAlignment="1"/>
    <xf numFmtId="174" fontId="0" fillId="12" borderId="3" xfId="1" applyNumberFormat="1" applyFont="1" applyFill="1" applyBorder="1" applyAlignment="1"/>
    <xf numFmtId="0" fontId="65" fillId="28" borderId="0" xfId="0" applyFont="1" applyFill="1" applyAlignment="1"/>
    <xf numFmtId="0" fontId="17" fillId="0" borderId="10" xfId="0" applyFont="1" applyFill="1" applyBorder="1" applyAlignment="1"/>
    <xf numFmtId="9" fontId="41" fillId="0" borderId="3" xfId="2" applyFont="1" applyBorder="1" applyAlignment="1"/>
    <xf numFmtId="9" fontId="41" fillId="9" borderId="3" xfId="2" applyFont="1" applyFill="1" applyBorder="1" applyAlignment="1"/>
    <xf numFmtId="0" fontId="66" fillId="29" borderId="0" xfId="0" applyFont="1" applyFill="1"/>
    <xf numFmtId="0" fontId="67" fillId="0" borderId="0" xfId="0" applyFont="1"/>
    <xf numFmtId="0" fontId="53" fillId="0" borderId="0" xfId="4" applyAlignment="1"/>
    <xf numFmtId="0" fontId="68" fillId="0" borderId="0" xfId="0" applyFont="1"/>
    <xf numFmtId="0" fontId="67" fillId="0" borderId="3" xfId="0" applyFont="1" applyBorder="1"/>
    <xf numFmtId="0" fontId="67" fillId="10" borderId="3" xfId="0" applyFont="1" applyFill="1" applyBorder="1"/>
    <xf numFmtId="49" fontId="67" fillId="10" borderId="3" xfId="0" applyNumberFormat="1" applyFont="1" applyFill="1" applyBorder="1"/>
    <xf numFmtId="49" fontId="67" fillId="0" borderId="3" xfId="0" applyNumberFormat="1" applyFont="1" applyBorder="1"/>
    <xf numFmtId="0" fontId="0" fillId="10" borderId="3" xfId="0" applyFill="1" applyBorder="1"/>
    <xf numFmtId="0" fontId="0" fillId="0" borderId="3" xfId="0" applyBorder="1"/>
    <xf numFmtId="0" fontId="67" fillId="0" borderId="3" xfId="0" applyFont="1" applyBorder="1" applyAlignment="1">
      <alignment horizontal="center"/>
    </xf>
    <xf numFmtId="0" fontId="67" fillId="10" borderId="3" xfId="0" applyFont="1" applyFill="1" applyBorder="1" applyAlignment="1">
      <alignment horizontal="center"/>
    </xf>
    <xf numFmtId="0" fontId="0" fillId="0" borderId="0" xfId="0"/>
    <xf numFmtId="0" fontId="67" fillId="0" borderId="0" xfId="0" applyFont="1" applyAlignment="1">
      <alignment horizontal="center"/>
    </xf>
    <xf numFmtId="0" fontId="67" fillId="30" borderId="0" xfId="0" applyFont="1" applyFill="1"/>
    <xf numFmtId="0" fontId="67" fillId="10" borderId="3" xfId="0" applyFont="1" applyFill="1" applyBorder="1" applyAlignment="1">
      <alignment horizontal="center" vertical="center"/>
    </xf>
    <xf numFmtId="0" fontId="67" fillId="10" borderId="13" xfId="0" applyFont="1" applyFill="1" applyBorder="1"/>
    <xf numFmtId="0" fontId="67" fillId="0" borderId="13" xfId="0" applyFont="1" applyBorder="1"/>
    <xf numFmtId="0" fontId="67" fillId="0" borderId="14" xfId="0" applyFont="1" applyBorder="1"/>
    <xf numFmtId="0" fontId="67" fillId="0" borderId="15" xfId="0" applyFont="1" applyBorder="1"/>
    <xf numFmtId="0" fontId="3" fillId="0" borderId="3" xfId="3" applyFont="1" applyBorder="1"/>
    <xf numFmtId="0" fontId="3" fillId="0" borderId="3" xfId="3" applyFont="1" applyBorder="1" applyAlignment="1">
      <alignment wrapText="1"/>
    </xf>
    <xf numFmtId="0" fontId="17" fillId="0" borderId="3" xfId="4" applyFont="1" applyBorder="1"/>
    <xf numFmtId="0" fontId="0" fillId="0" borderId="0" xfId="0" applyFont="1" applyAlignment="1"/>
    <xf numFmtId="8" fontId="29" fillId="0" borderId="0" xfId="0" applyNumberFormat="1" applyFont="1" applyAlignment="1"/>
    <xf numFmtId="0" fontId="2" fillId="0" borderId="0" xfId="3" applyFont="1" applyAlignment="1">
      <alignment wrapText="1"/>
    </xf>
    <xf numFmtId="0" fontId="56" fillId="0" borderId="0" xfId="3" applyFont="1"/>
    <xf numFmtId="0" fontId="37" fillId="10" borderId="3" xfId="3" applyNumberFormat="1" applyFont="1" applyFill="1" applyBorder="1"/>
    <xf numFmtId="0" fontId="17" fillId="21" borderId="3" xfId="0" applyNumberFormat="1" applyFont="1" applyFill="1" applyBorder="1" applyAlignment="1"/>
    <xf numFmtId="0" fontId="0" fillId="0" borderId="0" xfId="0" applyFont="1" applyAlignment="1"/>
    <xf numFmtId="0" fontId="17" fillId="0" borderId="7" xfId="0" applyFont="1" applyFill="1" applyBorder="1" applyAlignment="1"/>
    <xf numFmtId="172" fontId="19" fillId="18" borderId="3" xfId="1" applyNumberFormat="1" applyFont="1" applyFill="1" applyBorder="1" applyAlignment="1"/>
    <xf numFmtId="174" fontId="19" fillId="12" borderId="0" xfId="1" applyNumberFormat="1" applyFont="1" applyFill="1"/>
    <xf numFmtId="174" fontId="0" fillId="12" borderId="0" xfId="0" applyNumberFormat="1" applyFont="1" applyFill="1" applyAlignment="1"/>
    <xf numFmtId="44" fontId="17" fillId="0" borderId="0" xfId="0" applyNumberFormat="1" applyFont="1" applyAlignment="1">
      <alignment horizontal="right"/>
    </xf>
    <xf numFmtId="0" fontId="69" fillId="0" borderId="0" xfId="0" applyFont="1" applyAlignment="1"/>
    <xf numFmtId="44" fontId="21" fillId="0" borderId="0" xfId="1" applyFont="1" applyAlignment="1"/>
    <xf numFmtId="0" fontId="0" fillId="0" borderId="5" xfId="0" applyFont="1" applyFill="1" applyBorder="1" applyAlignment="1">
      <alignment horizontal="center"/>
    </xf>
    <xf numFmtId="2" fontId="0" fillId="12" borderId="3" xfId="0" applyNumberFormat="1" applyFont="1" applyFill="1" applyBorder="1" applyAlignment="1"/>
    <xf numFmtId="2" fontId="0" fillId="17" borderId="3" xfId="0" applyNumberFormat="1" applyFont="1" applyFill="1" applyBorder="1" applyAlignment="1"/>
    <xf numFmtId="0" fontId="0" fillId="32" borderId="0" xfId="0" applyFont="1" applyFill="1" applyAlignment="1"/>
    <xf numFmtId="0" fontId="0" fillId="19" borderId="0" xfId="0" applyFont="1" applyFill="1" applyAlignment="1"/>
    <xf numFmtId="0" fontId="31" fillId="32" borderId="3" xfId="0" applyFont="1" applyFill="1" applyBorder="1" applyAlignment="1">
      <alignment horizontal="left"/>
    </xf>
    <xf numFmtId="2" fontId="31" fillId="32" borderId="3" xfId="0" applyNumberFormat="1" applyFont="1" applyFill="1" applyBorder="1" applyAlignment="1">
      <alignment horizontal="left"/>
    </xf>
    <xf numFmtId="172" fontId="31" fillId="19" borderId="3" xfId="1" applyNumberFormat="1" applyFont="1" applyFill="1" applyBorder="1" applyAlignment="1">
      <alignment horizontal="left"/>
    </xf>
    <xf numFmtId="170" fontId="31" fillId="19" borderId="3" xfId="0" applyNumberFormat="1" applyFont="1" applyFill="1" applyBorder="1" applyAlignment="1">
      <alignment horizontal="left"/>
    </xf>
    <xf numFmtId="0" fontId="31" fillId="19" borderId="3" xfId="0" applyFont="1" applyFill="1" applyBorder="1" applyAlignment="1">
      <alignment horizontal="left"/>
    </xf>
    <xf numFmtId="0" fontId="29" fillId="32" borderId="0" xfId="0" applyFont="1" applyFill="1" applyAlignment="1"/>
    <xf numFmtId="0" fontId="31" fillId="25" borderId="7" xfId="0" applyFont="1" applyFill="1" applyBorder="1" applyAlignment="1">
      <alignment horizontal="left"/>
    </xf>
    <xf numFmtId="0" fontId="29" fillId="25" borderId="0" xfId="0" applyFont="1" applyFill="1" applyAlignment="1"/>
    <xf numFmtId="0" fontId="31" fillId="25" borderId="3" xfId="0" applyFont="1" applyFill="1" applyBorder="1" applyAlignment="1">
      <alignment horizontal="left"/>
    </xf>
    <xf numFmtId="172" fontId="31" fillId="25" borderId="3" xfId="0" applyNumberFormat="1" applyFont="1" applyFill="1" applyBorder="1" applyAlignment="1">
      <alignment horizontal="left"/>
    </xf>
    <xf numFmtId="173" fontId="31" fillId="25" borderId="3" xfId="1" applyNumberFormat="1" applyFont="1" applyFill="1" applyBorder="1" applyAlignment="1">
      <alignment horizontal="left"/>
    </xf>
    <xf numFmtId="44" fontId="31" fillId="25" borderId="3" xfId="1" applyFont="1" applyFill="1" applyBorder="1" applyAlignment="1">
      <alignment horizontal="left"/>
    </xf>
    <xf numFmtId="9" fontId="31" fillId="25" borderId="3" xfId="2" applyFont="1" applyFill="1" applyBorder="1" applyAlignment="1">
      <alignment horizontal="left"/>
    </xf>
    <xf numFmtId="9" fontId="31" fillId="32" borderId="3" xfId="2" applyFont="1" applyFill="1" applyBorder="1" applyAlignment="1">
      <alignment horizontal="left"/>
    </xf>
    <xf numFmtId="170" fontId="31" fillId="32" borderId="3" xfId="2" applyNumberFormat="1" applyFont="1" applyFill="1" applyBorder="1" applyAlignment="1">
      <alignment horizontal="left"/>
    </xf>
    <xf numFmtId="44" fontId="31" fillId="32" borderId="3" xfId="1" applyFont="1" applyFill="1" applyBorder="1" applyAlignment="1">
      <alignment horizontal="left"/>
    </xf>
    <xf numFmtId="0" fontId="31" fillId="32" borderId="3" xfId="2" applyNumberFormat="1" applyFont="1" applyFill="1" applyBorder="1" applyAlignment="1">
      <alignment horizontal="left"/>
    </xf>
    <xf numFmtId="170" fontId="31" fillId="32" borderId="3" xfId="0" applyNumberFormat="1" applyFont="1" applyFill="1" applyBorder="1" applyAlignment="1">
      <alignment horizontal="left"/>
    </xf>
    <xf numFmtId="1" fontId="31" fillId="32" borderId="3" xfId="2" applyNumberFormat="1" applyFont="1" applyFill="1" applyBorder="1" applyAlignment="1">
      <alignment horizontal="left"/>
    </xf>
    <xf numFmtId="0" fontId="29" fillId="32" borderId="3" xfId="0" applyFont="1" applyFill="1" applyBorder="1" applyAlignment="1"/>
    <xf numFmtId="0" fontId="31" fillId="31" borderId="3" xfId="0" applyFont="1" applyFill="1" applyBorder="1" applyAlignment="1">
      <alignment horizontal="left"/>
    </xf>
    <xf numFmtId="9" fontId="31" fillId="32" borderId="3" xfId="0" applyNumberFormat="1" applyFont="1" applyFill="1" applyBorder="1" applyAlignment="1">
      <alignment horizontal="left"/>
    </xf>
    <xf numFmtId="8" fontId="31" fillId="25" borderId="3" xfId="0" applyNumberFormat="1" applyFont="1" applyFill="1" applyBorder="1" applyAlignment="1">
      <alignment horizontal="left"/>
    </xf>
    <xf numFmtId="6" fontId="31" fillId="25" borderId="3" xfId="0" applyNumberFormat="1" applyFont="1" applyFill="1" applyBorder="1" applyAlignment="1">
      <alignment horizontal="left"/>
    </xf>
    <xf numFmtId="0" fontId="31" fillId="32" borderId="3" xfId="3" applyFont="1" applyFill="1" applyBorder="1" applyAlignment="1">
      <alignment horizontal="left"/>
    </xf>
    <xf numFmtId="0" fontId="31" fillId="31" borderId="3" xfId="3" applyFont="1" applyFill="1" applyBorder="1" applyAlignment="1">
      <alignment horizontal="left"/>
    </xf>
    <xf numFmtId="172" fontId="31" fillId="32" borderId="3" xfId="0" applyNumberFormat="1" applyFont="1" applyFill="1" applyBorder="1" applyAlignment="1">
      <alignment horizontal="left"/>
    </xf>
    <xf numFmtId="0" fontId="29" fillId="0" borderId="0" xfId="0" applyFont="1" applyFill="1" applyBorder="1" applyAlignment="1">
      <alignment horizontal="center"/>
    </xf>
    <xf numFmtId="0" fontId="18" fillId="2" borderId="0" xfId="0" applyFont="1" applyFill="1" applyAlignment="1">
      <alignment horizontal="left"/>
    </xf>
    <xf numFmtId="0" fontId="0" fillId="0" borderId="0" xfId="0" applyFont="1" applyAlignment="1"/>
    <xf numFmtId="0" fontId="17" fillId="3" borderId="0" xfId="0" applyFont="1" applyFill="1" applyAlignment="1"/>
    <xf numFmtId="0" fontId="17" fillId="4" borderId="0" xfId="0" applyFont="1" applyFill="1" applyAlignment="1"/>
    <xf numFmtId="0" fontId="0" fillId="0" borderId="5" xfId="0" applyFont="1" applyFill="1" applyBorder="1" applyAlignment="1">
      <alignment horizontal="center"/>
    </xf>
    <xf numFmtId="0" fontId="29" fillId="0" borderId="3" xfId="0" applyFont="1" applyBorder="1" applyAlignment="1">
      <alignment horizontal="center"/>
    </xf>
    <xf numFmtId="0" fontId="29" fillId="0" borderId="3" xfId="0" applyFont="1" applyBorder="1" applyAlignment="1">
      <alignment horizontal="center" vertical="center"/>
    </xf>
    <xf numFmtId="0" fontId="29" fillId="0" borderId="8" xfId="0" applyFont="1" applyFill="1" applyBorder="1" applyAlignment="1">
      <alignment horizontal="center" wrapText="1"/>
    </xf>
    <xf numFmtId="0" fontId="29" fillId="0" borderId="5" xfId="0" applyFont="1" applyFill="1" applyBorder="1" applyAlignment="1">
      <alignment horizontal="center" wrapText="1"/>
    </xf>
    <xf numFmtId="0" fontId="29" fillId="0" borderId="8" xfId="0" applyFont="1" applyBorder="1" applyAlignment="1">
      <alignment horizontal="center" vertical="center"/>
    </xf>
    <xf numFmtId="0" fontId="29" fillId="0" borderId="5" xfId="0" applyFont="1" applyBorder="1" applyAlignment="1">
      <alignment horizontal="center" vertical="center"/>
    </xf>
    <xf numFmtId="0" fontId="29" fillId="0" borderId="7" xfId="0" applyFont="1" applyBorder="1" applyAlignment="1">
      <alignment horizontal="center" wrapText="1"/>
    </xf>
    <xf numFmtId="0" fontId="29" fillId="0" borderId="5" xfId="0" applyFont="1" applyBorder="1" applyAlignment="1">
      <alignment horizontal="center" wrapText="1"/>
    </xf>
    <xf numFmtId="0" fontId="29" fillId="0" borderId="3" xfId="0" applyFont="1" applyBorder="1" applyAlignment="1">
      <alignment horizontal="center" wrapText="1"/>
    </xf>
    <xf numFmtId="0" fontId="51" fillId="0" borderId="3" xfId="0" applyFont="1" applyBorder="1" applyAlignment="1">
      <alignment horizontal="center" wrapText="1"/>
    </xf>
    <xf numFmtId="0" fontId="29" fillId="0" borderId="8" xfId="0" applyFont="1" applyBorder="1" applyAlignment="1">
      <alignment horizontal="center" wrapText="1"/>
    </xf>
    <xf numFmtId="0" fontId="0" fillId="0" borderId="3" xfId="0" applyFont="1" applyBorder="1" applyAlignment="1">
      <alignment horizontal="center" vertical="center"/>
    </xf>
    <xf numFmtId="0" fontId="20" fillId="0" borderId="0" xfId="0" applyFont="1" applyAlignment="1">
      <alignment horizontal="center"/>
    </xf>
    <xf numFmtId="0" fontId="34" fillId="0" borderId="0" xfId="0" applyFont="1" applyFill="1" applyAlignment="1">
      <alignment horizontal="center" wrapText="1"/>
    </xf>
    <xf numFmtId="0" fontId="41" fillId="0" borderId="0" xfId="3" applyFont="1" applyAlignment="1">
      <alignment horizontal="center" wrapText="1"/>
    </xf>
    <xf numFmtId="0" fontId="67" fillId="0" borderId="0" xfId="0" applyFont="1" applyAlignment="1">
      <alignment horizontal="center" vertical="center"/>
    </xf>
    <xf numFmtId="0" fontId="42" fillId="25" borderId="3" xfId="0" applyFont="1" applyFill="1" applyBorder="1" applyAlignment="1">
      <alignment horizontal="center"/>
    </xf>
    <xf numFmtId="0" fontId="42" fillId="26" borderId="3" xfId="0" applyFont="1" applyFill="1" applyBorder="1" applyAlignment="1">
      <alignment horizontal="center"/>
    </xf>
    <xf numFmtId="0" fontId="42" fillId="27" borderId="3" xfId="0" applyFont="1" applyFill="1" applyBorder="1" applyAlignment="1">
      <alignment horizontal="center" wrapText="1"/>
    </xf>
    <xf numFmtId="0" fontId="42" fillId="10" borderId="3" xfId="0" applyFont="1" applyFill="1" applyBorder="1" applyAlignment="1">
      <alignment horizontal="center"/>
    </xf>
    <xf numFmtId="0" fontId="16" fillId="0" borderId="0" xfId="3" applyAlignment="1">
      <alignment horizontal="center"/>
    </xf>
    <xf numFmtId="0" fontId="0" fillId="0" borderId="3" xfId="0" applyFont="1" applyBorder="1" applyAlignment="1">
      <alignment horizontal="center"/>
    </xf>
    <xf numFmtId="0" fontId="17" fillId="33" borderId="0" xfId="0" applyFont="1" applyFill="1" applyAlignment="1"/>
    <xf numFmtId="0" fontId="0" fillId="25" borderId="0" xfId="0" applyFont="1" applyFill="1" applyAlignment="1"/>
    <xf numFmtId="14" fontId="31" fillId="25" borderId="11" xfId="0" applyNumberFormat="1" applyFont="1" applyFill="1" applyBorder="1" applyAlignment="1"/>
    <xf numFmtId="0" fontId="17" fillId="25" borderId="3" xfId="0" applyFont="1" applyFill="1" applyBorder="1" applyAlignment="1"/>
    <xf numFmtId="9" fontId="17" fillId="25" borderId="3" xfId="2" applyFont="1" applyFill="1" applyBorder="1" applyAlignment="1"/>
    <xf numFmtId="0" fontId="15" fillId="25" borderId="3" xfId="3" applyFont="1" applyFill="1" applyBorder="1" applyAlignment="1">
      <alignment horizontal="right"/>
    </xf>
    <xf numFmtId="2" fontId="17" fillId="33" borderId="3" xfId="0" applyNumberFormat="1" applyFont="1" applyFill="1" applyBorder="1" applyAlignment="1">
      <alignment horizontal="right"/>
    </xf>
    <xf numFmtId="0" fontId="17" fillId="33" borderId="3" xfId="0" applyFont="1" applyFill="1" applyBorder="1" applyAlignment="1">
      <alignment horizontal="right"/>
    </xf>
    <xf numFmtId="174" fontId="19" fillId="25" borderId="3" xfId="1" applyNumberFormat="1" applyFont="1" applyFill="1" applyBorder="1"/>
    <xf numFmtId="172" fontId="0" fillId="25" borderId="0" xfId="0" applyNumberFormat="1" applyFont="1" applyFill="1" applyAlignment="1"/>
    <xf numFmtId="170" fontId="19" fillId="33" borderId="3" xfId="0" applyNumberFormat="1" applyFont="1" applyFill="1" applyBorder="1" applyAlignment="1"/>
    <xf numFmtId="0" fontId="29" fillId="25" borderId="6" xfId="0" applyFont="1" applyFill="1" applyBorder="1" applyAlignment="1"/>
    <xf numFmtId="0" fontId="0" fillId="25" borderId="3" xfId="0" applyFont="1" applyFill="1" applyBorder="1" applyAlignment="1"/>
    <xf numFmtId="9" fontId="17" fillId="34" borderId="3" xfId="2" applyFont="1" applyFill="1" applyBorder="1" applyAlignment="1">
      <alignment horizontal="right"/>
    </xf>
    <xf numFmtId="170" fontId="17" fillId="34" borderId="3" xfId="2" applyNumberFormat="1" applyFont="1" applyFill="1" applyBorder="1" applyAlignment="1">
      <alignment horizontal="right"/>
    </xf>
    <xf numFmtId="9" fontId="0" fillId="25" borderId="3" xfId="0" applyNumberFormat="1" applyFont="1" applyFill="1" applyBorder="1" applyAlignment="1"/>
    <xf numFmtId="174" fontId="0" fillId="25" borderId="3" xfId="0" applyNumberFormat="1" applyFont="1" applyFill="1" applyBorder="1" applyAlignment="1"/>
    <xf numFmtId="0" fontId="36" fillId="25" borderId="3" xfId="3" applyFont="1" applyFill="1" applyBorder="1" applyAlignment="1">
      <alignment horizontal="right"/>
    </xf>
    <xf numFmtId="0" fontId="4" fillId="25" borderId="3" xfId="3" applyFont="1" applyFill="1" applyBorder="1" applyAlignment="1">
      <alignment horizontal="right"/>
    </xf>
    <xf numFmtId="0" fontId="47" fillId="25" borderId="3" xfId="3" applyFont="1" applyFill="1" applyBorder="1" applyAlignment="1">
      <alignment horizontal="right"/>
    </xf>
    <xf numFmtId="0" fontId="5" fillId="25" borderId="3" xfId="3" applyFont="1" applyFill="1" applyBorder="1" applyAlignment="1">
      <alignment horizontal="right"/>
    </xf>
    <xf numFmtId="0" fontId="10" fillId="25" borderId="3" xfId="3" applyFont="1" applyFill="1" applyBorder="1" applyAlignment="1">
      <alignment horizontal="right"/>
    </xf>
    <xf numFmtId="0" fontId="1" fillId="25" borderId="3" xfId="3" applyFont="1" applyFill="1" applyBorder="1" applyAlignment="1">
      <alignment horizontal="right"/>
    </xf>
    <xf numFmtId="0" fontId="19" fillId="25" borderId="6" xfId="2" applyNumberFormat="1" applyFont="1" applyFill="1" applyBorder="1" applyAlignment="1"/>
    <xf numFmtId="0" fontId="11" fillId="25" borderId="3" xfId="3" applyFont="1" applyFill="1" applyBorder="1" applyAlignment="1">
      <alignment horizontal="right"/>
    </xf>
    <xf numFmtId="170" fontId="31" fillId="25" borderId="3" xfId="0" applyNumberFormat="1" applyFont="1" applyFill="1" applyBorder="1" applyAlignment="1">
      <alignment horizontal="right"/>
    </xf>
    <xf numFmtId="1" fontId="31" fillId="25" borderId="3" xfId="2" applyNumberFormat="1" applyFont="1" applyFill="1" applyBorder="1" applyAlignment="1">
      <alignment horizontal="right"/>
    </xf>
    <xf numFmtId="177" fontId="31" fillId="25" borderId="3" xfId="1" applyNumberFormat="1" applyFont="1" applyFill="1" applyBorder="1" applyAlignment="1">
      <alignment horizontal="right"/>
    </xf>
    <xf numFmtId="2" fontId="31" fillId="25" borderId="3" xfId="1" applyNumberFormat="1" applyFont="1" applyFill="1" applyBorder="1" applyAlignment="1">
      <alignment horizontal="right"/>
    </xf>
    <xf numFmtId="174" fontId="31" fillId="25" borderId="3" xfId="1" applyNumberFormat="1" applyFont="1" applyFill="1" applyBorder="1" applyAlignment="1">
      <alignment horizontal="right"/>
    </xf>
    <xf numFmtId="9" fontId="31" fillId="25" borderId="3" xfId="2" applyFont="1" applyFill="1" applyBorder="1" applyAlignment="1">
      <alignment horizontal="right"/>
    </xf>
    <xf numFmtId="0" fontId="31" fillId="25" borderId="3" xfId="0" applyFont="1" applyFill="1" applyBorder="1" applyAlignment="1">
      <alignment horizontal="right"/>
    </xf>
    <xf numFmtId="174" fontId="0" fillId="25" borderId="3" xfId="1" applyNumberFormat="1" applyFont="1" applyFill="1" applyBorder="1" applyAlignment="1"/>
    <xf numFmtId="0" fontId="21" fillId="25" borderId="3" xfId="0" applyFont="1" applyFill="1" applyBorder="1" applyAlignment="1"/>
    <xf numFmtId="172" fontId="21" fillId="25" borderId="3" xfId="0" applyNumberFormat="1" applyFont="1" applyFill="1" applyBorder="1" applyAlignment="1"/>
    <xf numFmtId="0" fontId="19" fillId="25" borderId="0" xfId="0" applyFont="1" applyFill="1" applyAlignment="1"/>
    <xf numFmtId="174" fontId="19" fillId="33" borderId="0" xfId="0" applyNumberFormat="1" applyFont="1" applyFill="1" applyAlignment="1">
      <alignment horizontal="right"/>
    </xf>
    <xf numFmtId="174" fontId="17" fillId="25" borderId="0" xfId="0" applyNumberFormat="1" applyFont="1" applyFill="1"/>
    <xf numFmtId="174" fontId="17" fillId="34" borderId="0" xfId="0" applyNumberFormat="1" applyFont="1" applyFill="1"/>
    <xf numFmtId="174" fontId="29" fillId="25" borderId="0" xfId="0" applyNumberFormat="1" applyFont="1" applyFill="1" applyAlignment="1"/>
    <xf numFmtId="174" fontId="19" fillId="35" borderId="0" xfId="0" applyNumberFormat="1" applyFont="1" applyFill="1" applyAlignment="1"/>
    <xf numFmtId="174" fontId="0" fillId="25" borderId="0" xfId="0" applyNumberFormat="1" applyFont="1" applyFill="1" applyAlignment="1"/>
    <xf numFmtId="174" fontId="19" fillId="25" borderId="0" xfId="0" applyNumberFormat="1" applyFont="1" applyFill="1" applyAlignment="1">
      <alignment horizontal="right"/>
    </xf>
    <xf numFmtId="174" fontId="19" fillId="33" borderId="0" xfId="0" applyNumberFormat="1" applyFont="1" applyFill="1" applyAlignment="1"/>
    <xf numFmtId="174" fontId="19" fillId="25" borderId="0" xfId="0" applyNumberFormat="1" applyFont="1" applyFill="1" applyAlignment="1"/>
  </cellXfs>
  <cellStyles count="5">
    <cellStyle name="Currency" xfId="1" builtinId="4"/>
    <cellStyle name="Hyperlink" xfId="4" builtinId="8"/>
    <cellStyle name="Normal" xfId="0" builtinId="0"/>
    <cellStyle name="Normal 2" xfId="3" xr:uid="{2B5CE715-C6C2-B34B-BB50-CCC04B523993}"/>
    <cellStyle name="Per cent" xfId="2" builtinId="5"/>
  </cellStyles>
  <dxfs count="37">
    <dxf>
      <font>
        <color rgb="FF9C0006"/>
      </font>
      <fill>
        <patternFill>
          <bgColor rgb="FFFFC7CE"/>
        </patternFill>
      </fill>
    </dxf>
    <dxf>
      <fill>
        <patternFill>
          <bgColor theme="5" tint="0.39994506668294322"/>
        </patternFill>
      </fill>
    </dxf>
    <dxf>
      <fill>
        <patternFill>
          <bgColor theme="7" tint="0.59996337778862885"/>
        </patternFill>
      </fill>
    </dxf>
    <dxf>
      <font>
        <color rgb="FF006100"/>
      </font>
      <fill>
        <patternFill>
          <bgColor rgb="FFC6EFCE"/>
        </patternFill>
      </fill>
    </dxf>
    <dxf>
      <numFmt numFmtId="178" formatCode="[$$-409]#,##0.00"/>
    </dxf>
    <dxf>
      <numFmt numFmtId="179" formatCode="&quot;£&quot;#,##0.00"/>
    </dxf>
    <dxf>
      <numFmt numFmtId="180" formatCode="[$€-2]\ #,##0.00"/>
    </dxf>
    <dxf>
      <numFmt numFmtId="181" formatCode="[$¥-411]#,##0.00"/>
    </dxf>
    <dxf>
      <numFmt numFmtId="182" formatCode="[$$-C09]#,##0.00"/>
    </dxf>
    <dxf>
      <numFmt numFmtId="179" formatCode="&quot;£&quot;#,##0.00"/>
    </dxf>
    <dxf>
      <numFmt numFmtId="180" formatCode="[$€-2]\ #,##0.00"/>
    </dxf>
    <dxf>
      <numFmt numFmtId="182" formatCode="[$$-C09]#,##0.00"/>
    </dxf>
    <dxf>
      <numFmt numFmtId="178" formatCode="[$$-409]#,##0.00"/>
    </dxf>
    <dxf>
      <numFmt numFmtId="183" formatCode="_-[$¥-411]* #,##0.00_-;\-[$¥-411]* #,##0.00_-;_-[$¥-411]* &quot;-&quot;??_-;_-@_-"/>
    </dxf>
    <dxf>
      <numFmt numFmtId="34" formatCode="_(&quot;£&quot;* #,##0.00_);_(&quot;£&quot;* \(#,##0.00\);_(&quot;£&quot;* &quot;-&quot;??_);_(@_)"/>
    </dxf>
    <dxf>
      <numFmt numFmtId="167" formatCode="_([$€-2]\ * #,##0.00_);_([$€-2]\ * \(#,##0.00\);_([$€-2]\ * &quot;-&quot;??_);_(@_)"/>
    </dxf>
    <dxf>
      <numFmt numFmtId="184" formatCode="_-[$$-C09]* #,##0.00_-;\-[$$-C09]* #,##0.00_-;_-[$$-C09]* &quot;-&quot;??_-;_-@_-"/>
    </dxf>
    <dxf>
      <numFmt numFmtId="183" formatCode="_-[$¥-411]* #,##0.00_-;\-[$¥-411]* #,##0.00_-;_-[$¥-411]* &quot;-&quot;??_-;_-@_-"/>
    </dxf>
    <dxf>
      <numFmt numFmtId="179" formatCode="&quot;£&quot;#,##0.00"/>
    </dxf>
    <dxf>
      <numFmt numFmtId="182" formatCode="[$$-C09]#,##0.00"/>
    </dxf>
    <dxf>
      <numFmt numFmtId="178" formatCode="[$$-409]#,##0.00"/>
    </dxf>
    <dxf>
      <numFmt numFmtId="181" formatCode="[$¥-411]#,##0.00"/>
    </dxf>
    <dxf>
      <numFmt numFmtId="180" formatCode="[$€-2]\ #,##0.00"/>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181" formatCode="[$¥-411]#,##0.00"/>
    </dxf>
    <dxf>
      <numFmt numFmtId="180" formatCode="[$€-2]\ #,##0.00"/>
    </dxf>
    <dxf>
      <numFmt numFmtId="179" formatCode="&quot;£&quot;#,##0.00"/>
    </dxf>
    <dxf>
      <numFmt numFmtId="180" formatCode="[$€-2]\ #,##0.00"/>
    </dxf>
    <dxf>
      <numFmt numFmtId="178" formatCode="[$$-409]#,##0.00"/>
    </dxf>
    <dxf>
      <numFmt numFmtId="182" formatCode="[$$-C09]#,##0.00"/>
    </dxf>
    <dxf>
      <numFmt numFmtId="181" formatCode="[$¥-411]#,##0.00"/>
    </dxf>
    <dxf>
      <font>
        <color rgb="FF9C0006"/>
      </font>
      <fill>
        <patternFill>
          <bgColor rgb="FFFFC7CE"/>
        </patternFill>
      </fill>
    </dxf>
  </dxfs>
  <tableStyles count="0" defaultTableStyle="TableStyleMedium2" defaultPivotStyle="PivotStyleLight16"/>
  <colors>
    <mruColors>
      <color rgb="FF9BC2E6"/>
      <color rgb="FFA4C2F5"/>
      <color rgb="FFACAEFF"/>
      <color rgb="FFFFD6FD"/>
      <color rgb="FFB4C6E8"/>
      <color rgb="FFA4C2F4"/>
      <color rgb="FFD5A7B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06/relationships/rdRichValue" Target="richData/rdrichvalue.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tyles" Target="style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charts/_rels/chart6.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7.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8.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9.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Return on Investment of Vertical Farming Operation</a:t>
            </a:r>
          </a:p>
        </c:rich>
      </c:tx>
      <c:overlay val="0"/>
      <c:spPr>
        <a:noFill/>
        <a:ln>
          <a:noFill/>
        </a:ln>
        <a:effectLst/>
      </c:spPr>
    </c:title>
    <c:autoTitleDeleted val="0"/>
    <c:plotArea>
      <c:layout/>
      <c:lineChart>
        <c:grouping val="standard"/>
        <c:varyColors val="0"/>
        <c:ser>
          <c:idx val="4"/>
          <c:order val="0"/>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Summary!$D$23:$R$23</c:f>
              <c:numCache>
                <c:formatCode>0%</c:formatCode>
                <c:ptCount val="15"/>
                <c:pt idx="0">
                  <c:v>-0.32353293139276668</c:v>
                </c:pt>
                <c:pt idx="1">
                  <c:v>-0.28343329154350488</c:v>
                </c:pt>
                <c:pt idx="2">
                  <c:v>-0.26668012419507303</c:v>
                </c:pt>
                <c:pt idx="3">
                  <c:v>-0.25273093693950882</c:v>
                </c:pt>
                <c:pt idx="4">
                  <c:v>-0.23965192649557943</c:v>
                </c:pt>
                <c:pt idx="5">
                  <c:v>-0.22742349874639151</c:v>
                </c:pt>
                <c:pt idx="6">
                  <c:v>-0.21592075162006025</c:v>
                </c:pt>
                <c:pt idx="7">
                  <c:v>-5.4234699632888739E-2</c:v>
                </c:pt>
                <c:pt idx="8">
                  <c:v>-4.5087735812820384E-2</c:v>
                </c:pt>
                <c:pt idx="9">
                  <c:v>-3.6403434566797434E-2</c:v>
                </c:pt>
                <c:pt idx="10">
                  <c:v>-2.8219778171097377E-2</c:v>
                </c:pt>
                <c:pt idx="11">
                  <c:v>-2.0469219318870205E-2</c:v>
                </c:pt>
                <c:pt idx="12">
                  <c:v>-1.3084930877087193E-2</c:v>
                </c:pt>
                <c:pt idx="13">
                  <c:v>-6.1070575386857374E-3</c:v>
                </c:pt>
                <c:pt idx="14">
                  <c:v>4.7674987694064022E-4</c:v>
                </c:pt>
              </c:numCache>
            </c:numRef>
          </c:val>
          <c:smooth val="0"/>
          <c:extLst>
            <c:ext xmlns:c16="http://schemas.microsoft.com/office/drawing/2014/chart" uri="{C3380CC4-5D6E-409C-BE32-E72D297353CC}">
              <c16:uniqueId val="{00000013-DF73-164C-A7FE-B1615E4BEABD}"/>
            </c:ext>
          </c:extLst>
        </c:ser>
        <c:ser>
          <c:idx val="5"/>
          <c:order val="1"/>
          <c:spPr>
            <a:ln w="28575" cap="rnd">
              <a:solidFill>
                <a:schemeClr val="accent1"/>
              </a:solidFill>
              <a:round/>
            </a:ln>
            <a:effectLst/>
          </c:spPr>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Summary!$D$23:$R$23</c:f>
              <c:numCache>
                <c:formatCode>0%</c:formatCode>
                <c:ptCount val="15"/>
                <c:pt idx="0">
                  <c:v>-0.32353293139276668</c:v>
                </c:pt>
                <c:pt idx="1">
                  <c:v>-0.28343329154350488</c:v>
                </c:pt>
                <c:pt idx="2">
                  <c:v>-0.26668012419507303</c:v>
                </c:pt>
                <c:pt idx="3">
                  <c:v>-0.25273093693950882</c:v>
                </c:pt>
                <c:pt idx="4">
                  <c:v>-0.23965192649557943</c:v>
                </c:pt>
                <c:pt idx="5">
                  <c:v>-0.22742349874639151</c:v>
                </c:pt>
                <c:pt idx="6">
                  <c:v>-0.21592075162006025</c:v>
                </c:pt>
                <c:pt idx="7">
                  <c:v>-5.4234699632888739E-2</c:v>
                </c:pt>
                <c:pt idx="8">
                  <c:v>-4.5087735812820384E-2</c:v>
                </c:pt>
                <c:pt idx="9">
                  <c:v>-3.6403434566797434E-2</c:v>
                </c:pt>
                <c:pt idx="10">
                  <c:v>-2.8219778171097377E-2</c:v>
                </c:pt>
                <c:pt idx="11">
                  <c:v>-2.0469219318870205E-2</c:v>
                </c:pt>
                <c:pt idx="12">
                  <c:v>-1.3084930877087193E-2</c:v>
                </c:pt>
                <c:pt idx="13">
                  <c:v>-6.1070575386857374E-3</c:v>
                </c:pt>
                <c:pt idx="14">
                  <c:v>4.7674987694064022E-4</c:v>
                </c:pt>
              </c:numCache>
            </c:numRef>
          </c:val>
          <c:smooth val="0"/>
          <c:extLst>
            <c:ext xmlns:c16="http://schemas.microsoft.com/office/drawing/2014/chart" uri="{C3380CC4-5D6E-409C-BE32-E72D297353CC}">
              <c16:uniqueId val="{00000014-DF73-164C-A7FE-B1615E4BEABD}"/>
            </c:ext>
          </c:extLst>
        </c:ser>
        <c:ser>
          <c:idx val="6"/>
          <c:order val="2"/>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Summary!$D$23:$R$23</c:f>
              <c:numCache>
                <c:formatCode>0%</c:formatCode>
                <c:ptCount val="15"/>
                <c:pt idx="0">
                  <c:v>-0.32353293139276668</c:v>
                </c:pt>
                <c:pt idx="1">
                  <c:v>-0.28343329154350488</c:v>
                </c:pt>
                <c:pt idx="2">
                  <c:v>-0.26668012419507303</c:v>
                </c:pt>
                <c:pt idx="3">
                  <c:v>-0.25273093693950882</c:v>
                </c:pt>
                <c:pt idx="4">
                  <c:v>-0.23965192649557943</c:v>
                </c:pt>
                <c:pt idx="5">
                  <c:v>-0.22742349874639151</c:v>
                </c:pt>
                <c:pt idx="6">
                  <c:v>-0.21592075162006025</c:v>
                </c:pt>
                <c:pt idx="7">
                  <c:v>-5.4234699632888739E-2</c:v>
                </c:pt>
                <c:pt idx="8">
                  <c:v>-4.5087735812820384E-2</c:v>
                </c:pt>
                <c:pt idx="9">
                  <c:v>-3.6403434566797434E-2</c:v>
                </c:pt>
                <c:pt idx="10">
                  <c:v>-2.8219778171097377E-2</c:v>
                </c:pt>
                <c:pt idx="11">
                  <c:v>-2.0469219318870205E-2</c:v>
                </c:pt>
                <c:pt idx="12">
                  <c:v>-1.3084930877087193E-2</c:v>
                </c:pt>
                <c:pt idx="13">
                  <c:v>-6.1070575386857374E-3</c:v>
                </c:pt>
                <c:pt idx="14">
                  <c:v>4.7674987694064022E-4</c:v>
                </c:pt>
              </c:numCache>
            </c:numRef>
          </c:val>
          <c:smooth val="0"/>
          <c:extLst>
            <c:ext xmlns:c16="http://schemas.microsoft.com/office/drawing/2014/chart" uri="{C3380CC4-5D6E-409C-BE32-E72D297353CC}">
              <c16:uniqueId val="{00000015-DF73-164C-A7FE-B1615E4BEABD}"/>
            </c:ext>
          </c:extLst>
        </c:ser>
        <c:ser>
          <c:idx val="7"/>
          <c:order val="3"/>
          <c:spPr>
            <a:ln w="28575" cap="rnd">
              <a:solidFill>
                <a:schemeClr val="accent1"/>
              </a:solidFill>
              <a:round/>
            </a:ln>
            <a:effectLst/>
          </c:spPr>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Summary!$D$23:$R$23</c:f>
              <c:numCache>
                <c:formatCode>0%</c:formatCode>
                <c:ptCount val="15"/>
                <c:pt idx="0">
                  <c:v>-0.32353293139276668</c:v>
                </c:pt>
                <c:pt idx="1">
                  <c:v>-0.28343329154350488</c:v>
                </c:pt>
                <c:pt idx="2">
                  <c:v>-0.26668012419507303</c:v>
                </c:pt>
                <c:pt idx="3">
                  <c:v>-0.25273093693950882</c:v>
                </c:pt>
                <c:pt idx="4">
                  <c:v>-0.23965192649557943</c:v>
                </c:pt>
                <c:pt idx="5">
                  <c:v>-0.22742349874639151</c:v>
                </c:pt>
                <c:pt idx="6">
                  <c:v>-0.21592075162006025</c:v>
                </c:pt>
                <c:pt idx="7">
                  <c:v>-5.4234699632888739E-2</c:v>
                </c:pt>
                <c:pt idx="8">
                  <c:v>-4.5087735812820384E-2</c:v>
                </c:pt>
                <c:pt idx="9">
                  <c:v>-3.6403434566797434E-2</c:v>
                </c:pt>
                <c:pt idx="10">
                  <c:v>-2.8219778171097377E-2</c:v>
                </c:pt>
                <c:pt idx="11">
                  <c:v>-2.0469219318870205E-2</c:v>
                </c:pt>
                <c:pt idx="12">
                  <c:v>-1.3084930877087193E-2</c:v>
                </c:pt>
                <c:pt idx="13">
                  <c:v>-6.1070575386857374E-3</c:v>
                </c:pt>
                <c:pt idx="14">
                  <c:v>4.7674987694064022E-4</c:v>
                </c:pt>
              </c:numCache>
            </c:numRef>
          </c:val>
          <c:smooth val="0"/>
          <c:extLst>
            <c:ext xmlns:c16="http://schemas.microsoft.com/office/drawing/2014/chart" uri="{C3380CC4-5D6E-409C-BE32-E72D297353CC}">
              <c16:uniqueId val="{00000016-DF73-164C-A7FE-B1615E4BEABD}"/>
            </c:ext>
          </c:extLst>
        </c:ser>
        <c:ser>
          <c:idx val="2"/>
          <c:order val="4"/>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Summary!$D$23:$R$23</c:f>
              <c:numCache>
                <c:formatCode>0%</c:formatCode>
                <c:ptCount val="15"/>
                <c:pt idx="0">
                  <c:v>-0.32353293139276668</c:v>
                </c:pt>
                <c:pt idx="1">
                  <c:v>-0.28343329154350488</c:v>
                </c:pt>
                <c:pt idx="2">
                  <c:v>-0.26668012419507303</c:v>
                </c:pt>
                <c:pt idx="3">
                  <c:v>-0.25273093693950882</c:v>
                </c:pt>
                <c:pt idx="4">
                  <c:v>-0.23965192649557943</c:v>
                </c:pt>
                <c:pt idx="5">
                  <c:v>-0.22742349874639151</c:v>
                </c:pt>
                <c:pt idx="6">
                  <c:v>-0.21592075162006025</c:v>
                </c:pt>
                <c:pt idx="7">
                  <c:v>-5.4234699632888739E-2</c:v>
                </c:pt>
                <c:pt idx="8">
                  <c:v>-4.5087735812820384E-2</c:v>
                </c:pt>
                <c:pt idx="9">
                  <c:v>-3.6403434566797434E-2</c:v>
                </c:pt>
                <c:pt idx="10">
                  <c:v>-2.8219778171097377E-2</c:v>
                </c:pt>
                <c:pt idx="11">
                  <c:v>-2.0469219318870205E-2</c:v>
                </c:pt>
                <c:pt idx="12">
                  <c:v>-1.3084930877087193E-2</c:v>
                </c:pt>
                <c:pt idx="13">
                  <c:v>-6.1070575386857374E-3</c:v>
                </c:pt>
                <c:pt idx="14">
                  <c:v>4.7674987694064022E-4</c:v>
                </c:pt>
              </c:numCache>
            </c:numRef>
          </c:val>
          <c:smooth val="0"/>
          <c:extLst>
            <c:ext xmlns:c16="http://schemas.microsoft.com/office/drawing/2014/chart" uri="{C3380CC4-5D6E-409C-BE32-E72D297353CC}">
              <c16:uniqueId val="{0000000C-DF73-164C-A7FE-B1615E4BEABD}"/>
            </c:ext>
          </c:extLst>
        </c:ser>
        <c:ser>
          <c:idx val="3"/>
          <c:order val="5"/>
          <c:spPr>
            <a:ln w="28575" cap="rnd">
              <a:solidFill>
                <a:schemeClr val="accent1"/>
              </a:solidFill>
              <a:round/>
            </a:ln>
            <a:effectLst/>
          </c:spPr>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Summary!$D$23:$R$23</c:f>
              <c:numCache>
                <c:formatCode>0%</c:formatCode>
                <c:ptCount val="15"/>
                <c:pt idx="0">
                  <c:v>-0.32353293139276668</c:v>
                </c:pt>
                <c:pt idx="1">
                  <c:v>-0.28343329154350488</c:v>
                </c:pt>
                <c:pt idx="2">
                  <c:v>-0.26668012419507303</c:v>
                </c:pt>
                <c:pt idx="3">
                  <c:v>-0.25273093693950882</c:v>
                </c:pt>
                <c:pt idx="4">
                  <c:v>-0.23965192649557943</c:v>
                </c:pt>
                <c:pt idx="5">
                  <c:v>-0.22742349874639151</c:v>
                </c:pt>
                <c:pt idx="6">
                  <c:v>-0.21592075162006025</c:v>
                </c:pt>
                <c:pt idx="7">
                  <c:v>-5.4234699632888739E-2</c:v>
                </c:pt>
                <c:pt idx="8">
                  <c:v>-4.5087735812820384E-2</c:v>
                </c:pt>
                <c:pt idx="9">
                  <c:v>-3.6403434566797434E-2</c:v>
                </c:pt>
                <c:pt idx="10">
                  <c:v>-2.8219778171097377E-2</c:v>
                </c:pt>
                <c:pt idx="11">
                  <c:v>-2.0469219318870205E-2</c:v>
                </c:pt>
                <c:pt idx="12">
                  <c:v>-1.3084930877087193E-2</c:v>
                </c:pt>
                <c:pt idx="13">
                  <c:v>-6.1070575386857374E-3</c:v>
                </c:pt>
                <c:pt idx="14">
                  <c:v>4.7674987694064022E-4</c:v>
                </c:pt>
              </c:numCache>
            </c:numRef>
          </c:val>
          <c:smooth val="0"/>
          <c:extLst>
            <c:ext xmlns:c16="http://schemas.microsoft.com/office/drawing/2014/chart" uri="{C3380CC4-5D6E-409C-BE32-E72D297353CC}">
              <c16:uniqueId val="{0000000E-DF73-164C-A7FE-B1615E4BEABD}"/>
            </c:ext>
          </c:extLst>
        </c:ser>
        <c:ser>
          <c:idx val="1"/>
          <c:order val="6"/>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Summary!$D$23:$R$23</c:f>
              <c:numCache>
                <c:formatCode>0%</c:formatCode>
                <c:ptCount val="15"/>
                <c:pt idx="0">
                  <c:v>-0.32353293139276668</c:v>
                </c:pt>
                <c:pt idx="1">
                  <c:v>-0.28343329154350488</c:v>
                </c:pt>
                <c:pt idx="2">
                  <c:v>-0.26668012419507303</c:v>
                </c:pt>
                <c:pt idx="3">
                  <c:v>-0.25273093693950882</c:v>
                </c:pt>
                <c:pt idx="4">
                  <c:v>-0.23965192649557943</c:v>
                </c:pt>
                <c:pt idx="5">
                  <c:v>-0.22742349874639151</c:v>
                </c:pt>
                <c:pt idx="6">
                  <c:v>-0.21592075162006025</c:v>
                </c:pt>
                <c:pt idx="7">
                  <c:v>-5.4234699632888739E-2</c:v>
                </c:pt>
                <c:pt idx="8">
                  <c:v>-4.5087735812820384E-2</c:v>
                </c:pt>
                <c:pt idx="9">
                  <c:v>-3.6403434566797434E-2</c:v>
                </c:pt>
                <c:pt idx="10">
                  <c:v>-2.8219778171097377E-2</c:v>
                </c:pt>
                <c:pt idx="11">
                  <c:v>-2.0469219318870205E-2</c:v>
                </c:pt>
                <c:pt idx="12">
                  <c:v>-1.3084930877087193E-2</c:v>
                </c:pt>
                <c:pt idx="13">
                  <c:v>-6.1070575386857374E-3</c:v>
                </c:pt>
                <c:pt idx="14">
                  <c:v>4.7674987694064022E-4</c:v>
                </c:pt>
              </c:numCache>
            </c:numRef>
          </c:val>
          <c:smooth val="0"/>
          <c:extLst>
            <c:ext xmlns:c16="http://schemas.microsoft.com/office/drawing/2014/chart" uri="{C3380CC4-5D6E-409C-BE32-E72D297353CC}">
              <c16:uniqueId val="{00000010-DF73-164C-A7FE-B1615E4BEABD}"/>
            </c:ext>
          </c:extLst>
        </c:ser>
        <c:ser>
          <c:idx val="0"/>
          <c:order val="7"/>
          <c:spPr>
            <a:ln w="28575" cap="rnd">
              <a:solidFill>
                <a:schemeClr val="accent1"/>
              </a:solidFill>
              <a:round/>
            </a:ln>
            <a:effectLst/>
          </c:spPr>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Summary!$D$23:$R$23</c:f>
              <c:numCache>
                <c:formatCode>0%</c:formatCode>
                <c:ptCount val="15"/>
                <c:pt idx="0">
                  <c:v>-0.32353293139276668</c:v>
                </c:pt>
                <c:pt idx="1">
                  <c:v>-0.28343329154350488</c:v>
                </c:pt>
                <c:pt idx="2">
                  <c:v>-0.26668012419507303</c:v>
                </c:pt>
                <c:pt idx="3">
                  <c:v>-0.25273093693950882</c:v>
                </c:pt>
                <c:pt idx="4">
                  <c:v>-0.23965192649557943</c:v>
                </c:pt>
                <c:pt idx="5">
                  <c:v>-0.22742349874639151</c:v>
                </c:pt>
                <c:pt idx="6">
                  <c:v>-0.21592075162006025</c:v>
                </c:pt>
                <c:pt idx="7">
                  <c:v>-5.4234699632888739E-2</c:v>
                </c:pt>
                <c:pt idx="8">
                  <c:v>-4.5087735812820384E-2</c:v>
                </c:pt>
                <c:pt idx="9">
                  <c:v>-3.6403434566797434E-2</c:v>
                </c:pt>
                <c:pt idx="10">
                  <c:v>-2.8219778171097377E-2</c:v>
                </c:pt>
                <c:pt idx="11">
                  <c:v>-2.0469219318870205E-2</c:v>
                </c:pt>
                <c:pt idx="12">
                  <c:v>-1.3084930877087193E-2</c:v>
                </c:pt>
                <c:pt idx="13">
                  <c:v>-6.1070575386857374E-3</c:v>
                </c:pt>
                <c:pt idx="14">
                  <c:v>4.7674987694064022E-4</c:v>
                </c:pt>
              </c:numCache>
            </c:numRef>
          </c:val>
          <c:smooth val="0"/>
          <c:extLst>
            <c:ext xmlns:c16="http://schemas.microsoft.com/office/drawing/2014/chart" uri="{C3380CC4-5D6E-409C-BE32-E72D297353CC}">
              <c16:uniqueId val="{00000012-DF73-164C-A7FE-B1615E4BEABD}"/>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Return on Investment</a:t>
                </a:r>
              </a:p>
            </c:rich>
          </c:tx>
          <c:overlay val="0"/>
          <c:spPr>
            <a:noFill/>
            <a:ln>
              <a:noFill/>
            </a:ln>
            <a:effectLst/>
          </c:sp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Annual profit projections </a:t>
            </a:r>
          </a:p>
        </c:rich>
      </c:tx>
      <c:overlay val="0"/>
      <c:spPr>
        <a:noFill/>
        <a:ln>
          <a:noFill/>
        </a:ln>
        <a:effectLst/>
      </c:spPr>
    </c:title>
    <c:autoTitleDeleted val="0"/>
    <c:plotArea>
      <c:layout/>
      <c:lineChart>
        <c:grouping val="standard"/>
        <c:varyColors val="0"/>
        <c:ser>
          <c:idx val="1"/>
          <c:order val="0"/>
          <c:spPr>
            <a:ln w="28575" cap="rnd">
              <a:solidFill>
                <a:schemeClr val="accent1"/>
              </a:solidFill>
              <a:round/>
            </a:ln>
            <a:effectLst/>
          </c:spPr>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Summary!$D$20:$R$20</c:f>
              <c:numCache>
                <c:formatCode>_("£"* #,##0.00_);_("£"* \(#,##0.00\);_("£"* "-"??_);_(@_)</c:formatCode>
                <c:ptCount val="15"/>
                <c:pt idx="0">
                  <c:v>-58117.191064876853</c:v>
                </c:pt>
                <c:pt idx="1">
                  <c:v>-50913.972459834411</c:v>
                </c:pt>
                <c:pt idx="2">
                  <c:v>-47904.550749533555</c:v>
                </c:pt>
                <c:pt idx="3">
                  <c:v>-45398.816395254784</c:v>
                </c:pt>
                <c:pt idx="4">
                  <c:v>-43049.394512180421</c:v>
                </c:pt>
                <c:pt idx="5">
                  <c:v>-40852.765350310547</c:v>
                </c:pt>
                <c:pt idx="6">
                  <c:v>-38786.492375766284</c:v>
                </c:pt>
                <c:pt idx="7">
                  <c:v>-9742.341799154703</c:v>
                </c:pt>
                <c:pt idx="8">
                  <c:v>-8099.2452472643636</c:v>
                </c:pt>
                <c:pt idx="9">
                  <c:v>-6539.2581615375238</c:v>
                </c:pt>
                <c:pt idx="10">
                  <c:v>-5069.2034122087352</c:v>
                </c:pt>
                <c:pt idx="11">
                  <c:v>-3676.9472739066114</c:v>
                </c:pt>
                <c:pt idx="12">
                  <c:v>-2350.4853882438038</c:v>
                </c:pt>
                <c:pt idx="13">
                  <c:v>-1097.0290668467351</c:v>
                </c:pt>
                <c:pt idx="14">
                  <c:v>85.640010644478025</c:v>
                </c:pt>
              </c:numCache>
            </c:numRef>
          </c:val>
          <c:smooth val="0"/>
          <c:extLst>
            <c:ext xmlns:c16="http://schemas.microsoft.com/office/drawing/2014/chart" uri="{C3380CC4-5D6E-409C-BE32-E72D297353CC}">
              <c16:uniqueId val="{00000006-0C28-9F4B-9780-F1E5457B4407}"/>
            </c:ext>
          </c:extLst>
        </c:ser>
        <c:ser>
          <c:idx val="0"/>
          <c:order val="1"/>
          <c:spPr>
            <a:ln w="28575" cap="rnd">
              <a:solidFill>
                <a:schemeClr val="accent1"/>
              </a:solidFill>
              <a:round/>
            </a:ln>
            <a:effectLst/>
          </c:spPr>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Summary!$D$20:$R$20</c:f>
              <c:numCache>
                <c:formatCode>_("£"* #,##0.00_);_("£"* \(#,##0.00\);_("£"* "-"??_);_(@_)</c:formatCode>
                <c:ptCount val="15"/>
                <c:pt idx="0">
                  <c:v>-58117.191064876853</c:v>
                </c:pt>
                <c:pt idx="1">
                  <c:v>-50913.972459834411</c:v>
                </c:pt>
                <c:pt idx="2">
                  <c:v>-47904.550749533555</c:v>
                </c:pt>
                <c:pt idx="3">
                  <c:v>-45398.816395254784</c:v>
                </c:pt>
                <c:pt idx="4">
                  <c:v>-43049.394512180421</c:v>
                </c:pt>
                <c:pt idx="5">
                  <c:v>-40852.765350310547</c:v>
                </c:pt>
                <c:pt idx="6">
                  <c:v>-38786.492375766284</c:v>
                </c:pt>
                <c:pt idx="7">
                  <c:v>-9742.341799154703</c:v>
                </c:pt>
                <c:pt idx="8">
                  <c:v>-8099.2452472643636</c:v>
                </c:pt>
                <c:pt idx="9">
                  <c:v>-6539.2581615375238</c:v>
                </c:pt>
                <c:pt idx="10">
                  <c:v>-5069.2034122087352</c:v>
                </c:pt>
                <c:pt idx="11">
                  <c:v>-3676.9472739066114</c:v>
                </c:pt>
                <c:pt idx="12">
                  <c:v>-2350.4853882438038</c:v>
                </c:pt>
                <c:pt idx="13">
                  <c:v>-1097.0290668467351</c:v>
                </c:pt>
                <c:pt idx="14">
                  <c:v>85.640010644478025</c:v>
                </c:pt>
              </c:numCache>
            </c:numRef>
          </c:val>
          <c:smooth val="0"/>
          <c:extLst>
            <c:ext xmlns:c16="http://schemas.microsoft.com/office/drawing/2014/chart" uri="{C3380CC4-5D6E-409C-BE32-E72D297353CC}">
              <c16:uniqueId val="{00000005-0C28-9F4B-9780-F1E5457B4407}"/>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Net Profit</a:t>
                </a:r>
              </a:p>
            </c:rich>
          </c:tx>
          <c:overlay val="0"/>
          <c:spPr>
            <a:noFill/>
            <a:ln>
              <a:noFill/>
            </a:ln>
            <a:effectLst/>
          </c:sp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Operating</a:t>
            </a:r>
            <a:r>
              <a:rPr lang="en-GB" baseline="0"/>
              <a:t> Cost Projections</a:t>
            </a:r>
            <a:endParaRPr lang="en-GB"/>
          </a:p>
        </c:rich>
      </c:tx>
      <c:overlay val="0"/>
      <c:spPr>
        <a:noFill/>
        <a:ln>
          <a:noFill/>
        </a:ln>
        <a:effectLst/>
      </c:spPr>
    </c:title>
    <c:autoTitleDeleted val="0"/>
    <c:plotArea>
      <c:layout/>
      <c:lineChart>
        <c:grouping val="standard"/>
        <c:varyColors val="0"/>
        <c:ser>
          <c:idx val="0"/>
          <c:order val="0"/>
          <c:spPr>
            <a:ln w="28575" cap="rnd">
              <a:solidFill>
                <a:schemeClr val="accent1"/>
              </a:solidFill>
              <a:round/>
            </a:ln>
            <a:effectLst/>
          </c:spPr>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Summary!$D$12:$R$12</c:f>
              <c:numCache>
                <c:formatCode>_("£"* #,##0.00_);_("£"* \(#,##0.00\);_("£"* "-"??_);_(@_)</c:formatCode>
                <c:ptCount val="15"/>
                <c:pt idx="0">
                  <c:v>65646.625682353915</c:v>
                </c:pt>
                <c:pt idx="1">
                  <c:v>113608.64279141703</c:v>
                </c:pt>
                <c:pt idx="2">
                  <c:v>113608.64279141703</c:v>
                </c:pt>
                <c:pt idx="3">
                  <c:v>113608.64279141703</c:v>
                </c:pt>
                <c:pt idx="4">
                  <c:v>113608.64279141703</c:v>
                </c:pt>
                <c:pt idx="5">
                  <c:v>113608.64279141703</c:v>
                </c:pt>
                <c:pt idx="6">
                  <c:v>113608.64279141703</c:v>
                </c:pt>
                <c:pt idx="7">
                  <c:v>113608.64279141703</c:v>
                </c:pt>
                <c:pt idx="8">
                  <c:v>113608.64279141703</c:v>
                </c:pt>
                <c:pt idx="9">
                  <c:v>113608.64279141703</c:v>
                </c:pt>
                <c:pt idx="10">
                  <c:v>113608.64279141703</c:v>
                </c:pt>
                <c:pt idx="11">
                  <c:v>113608.64279141703</c:v>
                </c:pt>
                <c:pt idx="12">
                  <c:v>113608.64279141703</c:v>
                </c:pt>
                <c:pt idx="13">
                  <c:v>113608.64279141703</c:v>
                </c:pt>
                <c:pt idx="14">
                  <c:v>113608.64279141703</c:v>
                </c:pt>
              </c:numCache>
            </c:numRef>
          </c:val>
          <c:smooth val="0"/>
          <c:extLst>
            <c:ext xmlns:c16="http://schemas.microsoft.com/office/drawing/2014/chart" uri="{C3380CC4-5D6E-409C-BE32-E72D297353CC}">
              <c16:uniqueId val="{00000001-571D-DE4E-AEDB-8612D3C4D7D5}"/>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Operating Costs</a:t>
                </a:r>
              </a:p>
            </c:rich>
          </c:tx>
          <c:overlay val="0"/>
          <c:spPr>
            <a:noFill/>
            <a:ln>
              <a:noFill/>
            </a:ln>
            <a:effectLst/>
          </c:sp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Annual profit projections </a:t>
            </a:r>
          </a:p>
        </c:rich>
      </c:tx>
      <c:overlay val="0"/>
      <c:spPr>
        <a:noFill/>
        <a:ln>
          <a:noFill/>
        </a:ln>
        <a:effectLst/>
      </c:spPr>
    </c:title>
    <c:autoTitleDeleted val="0"/>
    <c:plotArea>
      <c:layout/>
      <c:lineChart>
        <c:grouping val="standard"/>
        <c:varyColors val="0"/>
        <c:ser>
          <c:idx val="0"/>
          <c:order val="0"/>
          <c:tx>
            <c:v>Net Profit</c:v>
          </c:tx>
          <c:spPr>
            <a:ln w="28575" cap="rnd">
              <a:solidFill>
                <a:schemeClr val="accent1"/>
              </a:solidFill>
              <a:round/>
            </a:ln>
            <a:effectLst/>
          </c:spPr>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Summary!$D$20:$R$20</c:f>
              <c:numCache>
                <c:formatCode>_("£"* #,##0.00_);_("£"* \(#,##0.00\);_("£"* "-"??_);_(@_)</c:formatCode>
                <c:ptCount val="15"/>
                <c:pt idx="0">
                  <c:v>-58117.191064876853</c:v>
                </c:pt>
                <c:pt idx="1">
                  <c:v>-50913.972459834411</c:v>
                </c:pt>
                <c:pt idx="2">
                  <c:v>-47904.550749533555</c:v>
                </c:pt>
                <c:pt idx="3">
                  <c:v>-45398.816395254784</c:v>
                </c:pt>
                <c:pt idx="4">
                  <c:v>-43049.394512180421</c:v>
                </c:pt>
                <c:pt idx="5">
                  <c:v>-40852.765350310547</c:v>
                </c:pt>
                <c:pt idx="6">
                  <c:v>-38786.492375766284</c:v>
                </c:pt>
                <c:pt idx="7">
                  <c:v>-9742.341799154703</c:v>
                </c:pt>
                <c:pt idx="8">
                  <c:v>-8099.2452472643636</c:v>
                </c:pt>
                <c:pt idx="9">
                  <c:v>-6539.2581615375238</c:v>
                </c:pt>
                <c:pt idx="10">
                  <c:v>-5069.2034122087352</c:v>
                </c:pt>
                <c:pt idx="11">
                  <c:v>-3676.9472739066114</c:v>
                </c:pt>
                <c:pt idx="12">
                  <c:v>-2350.4853882438038</c:v>
                </c:pt>
                <c:pt idx="13">
                  <c:v>-1097.0290668467351</c:v>
                </c:pt>
                <c:pt idx="14">
                  <c:v>85.640010644478025</c:v>
                </c:pt>
              </c:numCache>
            </c:numRef>
          </c:val>
          <c:smooth val="0"/>
          <c:extLst>
            <c:ext xmlns:c16="http://schemas.microsoft.com/office/drawing/2014/chart" uri="{C3380CC4-5D6E-409C-BE32-E72D297353CC}">
              <c16:uniqueId val="{00000001-90FB-474E-B267-A30C2BC992A3}"/>
            </c:ext>
          </c:extLst>
        </c:ser>
        <c:ser>
          <c:idx val="1"/>
          <c:order val="1"/>
          <c:tx>
            <c:v>Gross Revenue</c:v>
          </c:tx>
          <c:marker>
            <c:symbol val="none"/>
          </c:marker>
          <c:val>
            <c:numRef>
              <c:f>Summary!$D$8:$R$8</c:f>
              <c:numCache>
                <c:formatCode>_("£"* #,##0.00_);_("£"* \(#,##0.00\);_("£"* "-"??_);_(@_)</c:formatCode>
                <c:ptCount val="15"/>
                <c:pt idx="0">
                  <c:v>103992.92376212442</c:v>
                </c:pt>
                <c:pt idx="1">
                  <c:v>210017.42744299531</c:v>
                </c:pt>
                <c:pt idx="2">
                  <c:v>211843.56669580107</c:v>
                </c:pt>
                <c:pt idx="3">
                  <c:v>213156.10428375524</c:v>
                </c:pt>
                <c:pt idx="4">
                  <c:v>214365.92153873909</c:v>
                </c:pt>
                <c:pt idx="5">
                  <c:v>215473.01846075256</c:v>
                </c:pt>
                <c:pt idx="6">
                  <c:v>216500.22179045583</c:v>
                </c:pt>
                <c:pt idx="7">
                  <c:v>217207.85075091809</c:v>
                </c:pt>
                <c:pt idx="8">
                  <c:v>217869.82623006019</c:v>
                </c:pt>
                <c:pt idx="9">
                  <c:v>218497.56159821217</c:v>
                </c:pt>
                <c:pt idx="10">
                  <c:v>219079.64348504401</c:v>
                </c:pt>
                <c:pt idx="11">
                  <c:v>219627.48526088573</c:v>
                </c:pt>
                <c:pt idx="12">
                  <c:v>220152.50029606742</c:v>
                </c:pt>
                <c:pt idx="13">
                  <c:v>220643.27522025895</c:v>
                </c:pt>
                <c:pt idx="14">
                  <c:v>221099.81003346038</c:v>
                </c:pt>
              </c:numCache>
            </c:numRef>
          </c:val>
          <c:smooth val="0"/>
          <c:extLst>
            <c:ext xmlns:c16="http://schemas.microsoft.com/office/drawing/2014/chart" uri="{C3380CC4-5D6E-409C-BE32-E72D297353CC}">
              <c16:uniqueId val="{00000002-90FB-474E-B267-A30C2BC992A3}"/>
            </c:ext>
          </c:extLst>
        </c:ser>
        <c:ser>
          <c:idx val="2"/>
          <c:order val="2"/>
          <c:tx>
            <c:v>OpEx</c:v>
          </c:tx>
          <c:marker>
            <c:symbol val="none"/>
          </c:marker>
          <c:val>
            <c:numRef>
              <c:f>Summary!$D$12:$R$12</c:f>
              <c:numCache>
                <c:formatCode>_("£"* #,##0.00_);_("£"* \(#,##0.00\);_("£"* "-"??_);_(@_)</c:formatCode>
                <c:ptCount val="15"/>
                <c:pt idx="0">
                  <c:v>65646.625682353915</c:v>
                </c:pt>
                <c:pt idx="1">
                  <c:v>113608.64279141703</c:v>
                </c:pt>
                <c:pt idx="2">
                  <c:v>113608.64279141703</c:v>
                </c:pt>
                <c:pt idx="3">
                  <c:v>113608.64279141703</c:v>
                </c:pt>
                <c:pt idx="4">
                  <c:v>113608.64279141703</c:v>
                </c:pt>
                <c:pt idx="5">
                  <c:v>113608.64279141703</c:v>
                </c:pt>
                <c:pt idx="6">
                  <c:v>113608.64279141703</c:v>
                </c:pt>
                <c:pt idx="7">
                  <c:v>113608.64279141703</c:v>
                </c:pt>
                <c:pt idx="8">
                  <c:v>113608.64279141703</c:v>
                </c:pt>
                <c:pt idx="9">
                  <c:v>113608.64279141703</c:v>
                </c:pt>
                <c:pt idx="10">
                  <c:v>113608.64279141703</c:v>
                </c:pt>
                <c:pt idx="11">
                  <c:v>113608.64279141703</c:v>
                </c:pt>
                <c:pt idx="12">
                  <c:v>113608.64279141703</c:v>
                </c:pt>
                <c:pt idx="13">
                  <c:v>113608.64279141703</c:v>
                </c:pt>
                <c:pt idx="14">
                  <c:v>113608.64279141703</c:v>
                </c:pt>
              </c:numCache>
            </c:numRef>
          </c:val>
          <c:smooth val="0"/>
          <c:extLst>
            <c:ext xmlns:c16="http://schemas.microsoft.com/office/drawing/2014/chart" uri="{C3380CC4-5D6E-409C-BE32-E72D297353CC}">
              <c16:uniqueId val="{00000003-90FB-474E-B267-A30C2BC992A3}"/>
            </c:ext>
          </c:extLst>
        </c:ser>
        <c:ser>
          <c:idx val="3"/>
          <c:order val="3"/>
          <c:tx>
            <c:v>COGS</c:v>
          </c:tx>
          <c:marker>
            <c:symbol val="none"/>
          </c:marker>
          <c:val>
            <c:numRef>
              <c:f>Summary!$D$9:$R$9</c:f>
              <c:numCache>
                <c:formatCode>_("£"* #,##0.00_);_("£"* \(#,##0.00\);_("£"* "-"??_);_(@_)</c:formatCode>
                <c:ptCount val="15"/>
                <c:pt idx="0">
                  <c:v>55561.876022422395</c:v>
                </c:pt>
                <c:pt idx="1">
                  <c:v>92825.062181457717</c:v>
                </c:pt>
                <c:pt idx="2">
                  <c:v>91641.779723962623</c:v>
                </c:pt>
                <c:pt idx="3">
                  <c:v>90448.58295763802</c:v>
                </c:pt>
                <c:pt idx="4">
                  <c:v>89308.978329547506</c:v>
                </c:pt>
                <c:pt idx="5">
                  <c:v>88219.446089691104</c:v>
                </c:pt>
                <c:pt idx="6">
                  <c:v>87180.376444850117</c:v>
                </c:pt>
                <c:pt idx="7">
                  <c:v>86149.386143195763</c:v>
                </c:pt>
                <c:pt idx="8">
                  <c:v>85168.265070447538</c:v>
                </c:pt>
                <c:pt idx="9">
                  <c:v>84236.013352872658</c:v>
                </c:pt>
                <c:pt idx="10">
                  <c:v>83348.040490375715</c:v>
                </c:pt>
                <c:pt idx="11">
                  <c:v>82503.626127915311</c:v>
                </c:pt>
                <c:pt idx="12">
                  <c:v>81702.179277434188</c:v>
                </c:pt>
                <c:pt idx="13">
                  <c:v>80939.497880228664</c:v>
                </c:pt>
                <c:pt idx="14">
                  <c:v>80213.363615938855</c:v>
                </c:pt>
              </c:numCache>
            </c:numRef>
          </c:val>
          <c:smooth val="0"/>
          <c:extLst>
            <c:ext xmlns:c16="http://schemas.microsoft.com/office/drawing/2014/chart" uri="{C3380CC4-5D6E-409C-BE32-E72D297353CC}">
              <c16:uniqueId val="{00000004-90FB-474E-B267-A30C2BC992A3}"/>
            </c:ext>
          </c:extLst>
        </c:ser>
        <c:ser>
          <c:idx val="4"/>
          <c:order val="4"/>
          <c:tx>
            <c:v>EDITBA</c:v>
          </c:tx>
          <c:marker>
            <c:symbol val="none"/>
          </c:marker>
          <c:val>
            <c:numRef>
              <c:f>Summary!$D$14:$R$14</c:f>
              <c:numCache>
                <c:formatCode>_("£"* #,##0.00_);_("£"* \(#,##0.00\);_("£"* "-"??_);_(@_)</c:formatCode>
                <c:ptCount val="15"/>
                <c:pt idx="0">
                  <c:v>-17215.577942651886</c:v>
                </c:pt>
                <c:pt idx="1">
                  <c:v>3583.722470120556</c:v>
                </c:pt>
                <c:pt idx="2">
                  <c:v>6593.1441804214119</c:v>
                </c:pt>
                <c:pt idx="3">
                  <c:v>9098.8785347001831</c:v>
                </c:pt>
                <c:pt idx="4">
                  <c:v>11448.300417774546</c:v>
                </c:pt>
                <c:pt idx="5">
                  <c:v>13644.92957964442</c:v>
                </c:pt>
                <c:pt idx="6">
                  <c:v>15711.202554188683</c:v>
                </c:pt>
                <c:pt idx="7">
                  <c:v>17449.821816305295</c:v>
                </c:pt>
                <c:pt idx="8">
                  <c:v>19092.918368195635</c:v>
                </c:pt>
                <c:pt idx="9">
                  <c:v>20652.905453922474</c:v>
                </c:pt>
                <c:pt idx="10">
                  <c:v>22122.960203251263</c:v>
                </c:pt>
                <c:pt idx="11">
                  <c:v>23515.216341553387</c:v>
                </c:pt>
                <c:pt idx="12">
                  <c:v>24841.678227216195</c:v>
                </c:pt>
                <c:pt idx="13">
                  <c:v>26095.134548613263</c:v>
                </c:pt>
                <c:pt idx="14">
                  <c:v>27277.803626104476</c:v>
                </c:pt>
              </c:numCache>
            </c:numRef>
          </c:val>
          <c:smooth val="0"/>
          <c:extLst>
            <c:ext xmlns:c16="http://schemas.microsoft.com/office/drawing/2014/chart" uri="{C3380CC4-5D6E-409C-BE32-E72D297353CC}">
              <c16:uniqueId val="{00000005-90FB-474E-B267-A30C2BC992A3}"/>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Finance</a:t>
                </a:r>
              </a:p>
            </c:rich>
          </c:tx>
          <c:overlay val="0"/>
          <c:spPr>
            <a:noFill/>
            <a:ln>
              <a:noFill/>
            </a:ln>
            <a:effectLst/>
          </c:sp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legend>
      <c:legendPos val="r"/>
      <c:overlay val="0"/>
    </c:legend>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Financial Balance</a:t>
            </a:r>
          </a:p>
        </c:rich>
      </c:tx>
      <c:overlay val="0"/>
      <c:spPr>
        <a:noFill/>
        <a:ln>
          <a:noFill/>
        </a:ln>
        <a:effectLst/>
      </c:spPr>
    </c:title>
    <c:autoTitleDeleted val="0"/>
    <c:plotArea>
      <c:layout/>
      <c:lineChart>
        <c:grouping val="standard"/>
        <c:varyColors val="0"/>
        <c:ser>
          <c:idx val="0"/>
          <c:order val="0"/>
          <c:marker>
            <c:symbol val="none"/>
          </c:marker>
          <c:val>
            <c:numRef>
              <c:f>Summary!$D$7:$R$7</c:f>
              <c:numCache>
                <c:formatCode>_("£"* #,##0.00_);_("£"* \(#,##0.00\);_("£"* "-"??_);_(@_)</c:formatCode>
                <c:ptCount val="15"/>
                <c:pt idx="0">
                  <c:v>238678.80893512315</c:v>
                </c:pt>
                <c:pt idx="1">
                  <c:v>136335.83647528873</c:v>
                </c:pt>
                <c:pt idx="2">
                  <c:v>88431.28572575518</c:v>
                </c:pt>
                <c:pt idx="3">
                  <c:v>43032.469330500397</c:v>
                </c:pt>
                <c:pt idx="4">
                  <c:v>-16.925181680024252</c:v>
                </c:pt>
                <c:pt idx="5">
                  <c:v>-40869.690531990571</c:v>
                </c:pt>
                <c:pt idx="6">
                  <c:v>-79656.182907756855</c:v>
                </c:pt>
                <c:pt idx="7">
                  <c:v>-89398.524706911558</c:v>
                </c:pt>
                <c:pt idx="8">
                  <c:v>-97497.769954175921</c:v>
                </c:pt>
                <c:pt idx="9">
                  <c:v>-104037.02811571345</c:v>
                </c:pt>
                <c:pt idx="10">
                  <c:v>-109106.23152792218</c:v>
                </c:pt>
                <c:pt idx="11">
                  <c:v>-112783.17880182879</c:v>
                </c:pt>
                <c:pt idx="12">
                  <c:v>-115133.6641900726</c:v>
                </c:pt>
                <c:pt idx="13">
                  <c:v>-116230.69325691933</c:v>
                </c:pt>
                <c:pt idx="14">
                  <c:v>-116145.05324627485</c:v>
                </c:pt>
              </c:numCache>
            </c:numRef>
          </c:val>
          <c:smooth val="0"/>
          <c:extLst>
            <c:ext xmlns:c16="http://schemas.microsoft.com/office/drawing/2014/chart" uri="{C3380CC4-5D6E-409C-BE32-E72D297353CC}">
              <c16:uniqueId val="{00000009-FB47-5841-9D87-A4F2949918CD}"/>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Working Capital</a:t>
                </a:r>
              </a:p>
            </c:rich>
          </c:tx>
          <c:overlay val="0"/>
          <c:spPr>
            <a:noFill/>
            <a:ln>
              <a:noFill/>
            </a:ln>
            <a:effectLst/>
          </c:sp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OpEx + COGS (Full-scale 2nd year)</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1"/>
          <c:order val="0"/>
          <c:tx>
            <c:v>Production Costs</c:v>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45DA-F74E-8860-794B1DDB56F7}"/>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6-6696-834F-89EE-CD1024A4363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7-6696-834F-89EE-CD1024A4363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45DA-F74E-8860-794B1DDB56F7}"/>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5-6696-834F-89EE-CD1024A43636}"/>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4-6696-834F-89EE-CD1024A43636}"/>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3-6696-834F-89EE-CD1024A43636}"/>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45DA-F74E-8860-794B1DDB56F7}"/>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8-6696-834F-89EE-CD1024A43636}"/>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A-6696-834F-89EE-CD1024A43636}"/>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9-6696-834F-89EE-CD1024A43636}"/>
              </c:ext>
            </c:extLst>
          </c:dPt>
          <c:dLbls>
            <c:dLbl>
              <c:idx val="0"/>
              <c:layout>
                <c:manualLayout>
                  <c:x val="-0.16120061367478233"/>
                  <c:y val="0.23939963267479911"/>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45DA-F74E-8860-794B1DDB56F7}"/>
                </c:ext>
              </c:extLst>
            </c:dLbl>
            <c:dLbl>
              <c:idx val="1"/>
              <c:layout>
                <c:manualLayout>
                  <c:x val="-0.19606645572844711"/>
                  <c:y val="7.1377300876437372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6-6696-834F-89EE-CD1024A43636}"/>
                </c:ext>
              </c:extLst>
            </c:dLbl>
            <c:dLbl>
              <c:idx val="2"/>
              <c:layout>
                <c:manualLayout>
                  <c:x val="-0.21866378496702496"/>
                  <c:y val="-4.8693959773001685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7-6696-834F-89EE-CD1024A43636}"/>
                </c:ext>
              </c:extLst>
            </c:dLbl>
            <c:dLbl>
              <c:idx val="3"/>
              <c:layout>
                <c:manualLayout>
                  <c:x val="-0.18414968502116882"/>
                  <c:y val="-0.15192115014663499"/>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45DA-F74E-8860-794B1DDB56F7}"/>
                </c:ext>
              </c:extLst>
            </c:dLbl>
            <c:dLbl>
              <c:idx val="4"/>
              <c:layout>
                <c:manualLayout>
                  <c:x val="-0.11866813232567283"/>
                  <c:y val="-7.4138282340145384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5-6696-834F-89EE-CD1024A43636}"/>
                </c:ext>
              </c:extLst>
            </c:dLbl>
            <c:dLbl>
              <c:idx val="5"/>
              <c:layout>
                <c:manualLayout>
                  <c:x val="-3.4893512960473404E-2"/>
                  <c:y val="-0.23570516180436221"/>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4-6696-834F-89EE-CD1024A43636}"/>
                </c:ext>
              </c:extLst>
            </c:dLbl>
            <c:dLbl>
              <c:idx val="6"/>
              <c:layout>
                <c:manualLayout>
                  <c:x val="-2.0512832807586149E-2"/>
                  <c:y val="-0.17821820578361539"/>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3-6696-834F-89EE-CD1024A43636}"/>
                </c:ext>
              </c:extLst>
            </c:dLbl>
            <c:dLbl>
              <c:idx val="7"/>
              <c:layout>
                <c:manualLayout>
                  <c:x val="0.17983891736228527"/>
                  <c:y val="-0.17587527805843198"/>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F-45DA-F74E-8860-794B1DDB56F7}"/>
                </c:ext>
              </c:extLst>
            </c:dLbl>
            <c:dLbl>
              <c:idx val="8"/>
              <c:layout>
                <c:manualLayout>
                  <c:x val="5.1070804156509837E-2"/>
                  <c:y val="6.9139483805511492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8-6696-834F-89EE-CD1024A43636}"/>
                </c:ext>
              </c:extLst>
            </c:dLbl>
            <c:dLbl>
              <c:idx val="9"/>
              <c:layout>
                <c:manualLayout>
                  <c:x val="8.7145275457384097E-2"/>
                  <c:y val="3.8080831217302227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A-6696-834F-89EE-CD1024A43636}"/>
                </c:ext>
              </c:extLst>
            </c:dLbl>
            <c:dLbl>
              <c:idx val="10"/>
              <c:layout>
                <c:manualLayout>
                  <c:x val="0.12460575483023559"/>
                  <c:y val="0.25311641598746559"/>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9-6696-834F-89EE-CD1024A43636}"/>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0"/>
            <c:extLst>
              <c:ext xmlns:c15="http://schemas.microsoft.com/office/drawing/2012/chart" uri="{CE6537A1-D6FC-4f65-9D91-7224C49458BB}"/>
            </c:extLst>
          </c:dLbls>
          <c:cat>
            <c:strRef>
              <c:f>(Overview!$A$87:$A$92,Overview!$A$98:$A$102)</c:f>
              <c:strCache>
                <c:ptCount val="11"/>
                <c:pt idx="0">
                  <c:v>Direct Labor</c:v>
                </c:pt>
                <c:pt idx="1">
                  <c:v>Growing Media</c:v>
                </c:pt>
                <c:pt idx="2">
                  <c:v>Packaging</c:v>
                </c:pt>
                <c:pt idx="3">
                  <c:v>Seeds &amp; Nutrients</c:v>
                </c:pt>
                <c:pt idx="4">
                  <c:v>Utilities: Electricity</c:v>
                </c:pt>
                <c:pt idx="5">
                  <c:v>Utilities: Water</c:v>
                </c:pt>
                <c:pt idx="6">
                  <c:v>Rent</c:v>
                </c:pt>
                <c:pt idx="7">
                  <c:v>Staff (Non-Direct Labor)</c:v>
                </c:pt>
                <c:pt idx="8">
                  <c:v>Other costs (as % of salaries)</c:v>
                </c:pt>
                <c:pt idx="9">
                  <c:v>Insurance</c:v>
                </c:pt>
                <c:pt idx="10">
                  <c:v>Distribution</c:v>
                </c:pt>
              </c:strCache>
            </c:strRef>
          </c:cat>
          <c:val>
            <c:numRef>
              <c:f>(Overview!$I$87:$I$92,Overview!$I$98:$I$102)</c:f>
              <c:numCache>
                <c:formatCode>_([$AUD]\ * #,##0.00_);_([$AUD]\ * \(#,##0.00\);_([$AUD]\ * "-"??_);_(@_)</c:formatCode>
                <c:ptCount val="11"/>
                <c:pt idx="0">
                  <c:v>29640</c:v>
                </c:pt>
                <c:pt idx="1">
                  <c:v>2098.2905363677064</c:v>
                </c:pt>
                <c:pt idx="2">
                  <c:v>34354.38437270448</c:v>
                </c:pt>
                <c:pt idx="3">
                  <c:v>10880.826183432542</c:v>
                </c:pt>
                <c:pt idx="4">
                  <c:v>15753.868408953002</c:v>
                </c:pt>
                <c:pt idx="5">
                  <c:v>97.692679999999996</c:v>
                </c:pt>
                <c:pt idx="6">
                  <c:v>0</c:v>
                </c:pt>
                <c:pt idx="7">
                  <c:v>70236</c:v>
                </c:pt>
                <c:pt idx="8">
                  <c:v>1404.72</c:v>
                </c:pt>
                <c:pt idx="9">
                  <c:v>1551</c:v>
                </c:pt>
                <c:pt idx="10">
                  <c:v>40416.922791417033</c:v>
                </c:pt>
              </c:numCache>
            </c:numRef>
          </c:val>
          <c:extLst>
            <c:ext xmlns:c16="http://schemas.microsoft.com/office/drawing/2014/chart" uri="{C3380CC4-5D6E-409C-BE32-E72D297353CC}">
              <c16:uniqueId val="{00000022-6696-834F-89EE-CD1024A43636}"/>
            </c:ext>
          </c:extLst>
        </c:ser>
        <c:ser>
          <c:idx val="0"/>
          <c:order val="1"/>
          <c:tx>
            <c:v>Production Costs</c:v>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C-6696-834F-89EE-CD1024A4363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E-6696-834F-89EE-CD1024A4363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0-6696-834F-89EE-CD1024A4363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2-6696-834F-89EE-CD1024A43636}"/>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4-6696-834F-89EE-CD1024A43636}"/>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6-6696-834F-89EE-CD1024A43636}"/>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8-6696-834F-89EE-CD1024A43636}"/>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A-6696-834F-89EE-CD1024A43636}"/>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C-6696-834F-89EE-CD1024A43636}"/>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E-6696-834F-89EE-CD1024A43636}"/>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0-6696-834F-89EE-CD1024A43636}"/>
              </c:ext>
            </c:extLst>
          </c:dPt>
          <c:dLbls>
            <c:dLbl>
              <c:idx val="1"/>
              <c:layout>
                <c:manualLayout>
                  <c:x val="-0.21001499649842381"/>
                  <c:y val="-1.0554843811625796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E-6696-834F-89EE-CD1024A43636}"/>
                </c:ext>
              </c:extLst>
            </c:dLbl>
            <c:dLbl>
              <c:idx val="2"/>
              <c:layout>
                <c:manualLayout>
                  <c:x val="-0.23259430448166851"/>
                  <c:y val="-3.9655816102385229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0-6696-834F-89EE-CD1024A43636}"/>
                </c:ext>
              </c:extLst>
            </c:dLbl>
            <c:dLbl>
              <c:idx val="3"/>
              <c:layout>
                <c:manualLayout>
                  <c:x val="-0.24106739090742926"/>
                  <c:y val="-4.9379008363343052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2-6696-834F-89EE-CD1024A43636}"/>
                </c:ext>
              </c:extLst>
            </c:dLbl>
            <c:dLbl>
              <c:idx val="4"/>
              <c:layout>
                <c:manualLayout>
                  <c:x val="-0.24425256380890917"/>
                  <c:y val="-0.1096930319043625"/>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4-6696-834F-89EE-CD1024A43636}"/>
                </c:ext>
              </c:extLst>
            </c:dLbl>
            <c:dLbl>
              <c:idx val="5"/>
              <c:layout>
                <c:manualLayout>
                  <c:x val="-0.2213310257399505"/>
                  <c:y val="-0.13034284169769644"/>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6-6696-834F-89EE-CD1024A43636}"/>
                </c:ext>
              </c:extLst>
            </c:dLbl>
            <c:dLbl>
              <c:idx val="6"/>
              <c:layout>
                <c:manualLayout>
                  <c:x val="-0.12339428824767726"/>
                  <c:y val="-7.0979317738289235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8-6696-834F-89EE-CD1024A43636}"/>
                </c:ext>
              </c:extLst>
            </c:dLbl>
            <c:dLbl>
              <c:idx val="8"/>
              <c:layout>
                <c:manualLayout>
                  <c:x val="0.17924889071881384"/>
                  <c:y val="0.18978165979886358"/>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C-6696-834F-89EE-CD1024A43636}"/>
                </c:ext>
              </c:extLst>
            </c:dLbl>
            <c:dLbl>
              <c:idx val="9"/>
              <c:layout>
                <c:manualLayout>
                  <c:x val="0.12208888788285115"/>
                  <c:y val="0.14815310871577372"/>
                </c:manualLayout>
              </c:layout>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11122886627010389"/>
                      <c:h val="6.3637640751296035E-2"/>
                    </c:manualLayout>
                  </c15:layout>
                </c:ext>
                <c:ext xmlns:c16="http://schemas.microsoft.com/office/drawing/2014/chart" uri="{C3380CC4-5D6E-409C-BE32-E72D297353CC}">
                  <c16:uniqueId val="{0000001E-6696-834F-89EE-CD1024A43636}"/>
                </c:ext>
              </c:extLst>
            </c:dLbl>
            <c:dLbl>
              <c:idx val="10"/>
              <c:layout>
                <c:manualLayout>
                  <c:x val="6.1285211581855861E-2"/>
                  <c:y val="0.1301976620670818"/>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0-6696-834F-89EE-CD1024A43636}"/>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(Overview!$A$87:$A$92,Overview!$A$98:$A$102)</c:f>
              <c:strCache>
                <c:ptCount val="11"/>
                <c:pt idx="0">
                  <c:v>Direct Labor</c:v>
                </c:pt>
                <c:pt idx="1">
                  <c:v>Growing Media</c:v>
                </c:pt>
                <c:pt idx="2">
                  <c:v>Packaging</c:v>
                </c:pt>
                <c:pt idx="3">
                  <c:v>Seeds &amp; Nutrients</c:v>
                </c:pt>
                <c:pt idx="4">
                  <c:v>Utilities: Electricity</c:v>
                </c:pt>
                <c:pt idx="5">
                  <c:v>Utilities: Water</c:v>
                </c:pt>
                <c:pt idx="6">
                  <c:v>Rent</c:v>
                </c:pt>
                <c:pt idx="7">
                  <c:v>Staff (Non-Direct Labor)</c:v>
                </c:pt>
                <c:pt idx="8">
                  <c:v>Other costs (as % of salaries)</c:v>
                </c:pt>
                <c:pt idx="9">
                  <c:v>Insurance</c:v>
                </c:pt>
                <c:pt idx="10">
                  <c:v>Distribution</c:v>
                </c:pt>
              </c:strCache>
            </c:strRef>
          </c:cat>
          <c:val>
            <c:numRef>
              <c:f>(Overview!$I$87:$I$92,Overview!$I$98:$I$102)</c:f>
              <c:numCache>
                <c:formatCode>_([$AUD]\ * #,##0.00_);_([$AUD]\ * \(#,##0.00\);_([$AUD]\ * "-"??_);_(@_)</c:formatCode>
                <c:ptCount val="11"/>
                <c:pt idx="0">
                  <c:v>29640</c:v>
                </c:pt>
                <c:pt idx="1">
                  <c:v>2098.2905363677064</c:v>
                </c:pt>
                <c:pt idx="2">
                  <c:v>34354.38437270448</c:v>
                </c:pt>
                <c:pt idx="3">
                  <c:v>10880.826183432542</c:v>
                </c:pt>
                <c:pt idx="4">
                  <c:v>15753.868408953002</c:v>
                </c:pt>
                <c:pt idx="5">
                  <c:v>97.692679999999996</c:v>
                </c:pt>
                <c:pt idx="6">
                  <c:v>0</c:v>
                </c:pt>
                <c:pt idx="7">
                  <c:v>70236</c:v>
                </c:pt>
                <c:pt idx="8">
                  <c:v>1404.72</c:v>
                </c:pt>
                <c:pt idx="9">
                  <c:v>1551</c:v>
                </c:pt>
                <c:pt idx="10">
                  <c:v>40416.922791417033</c:v>
                </c:pt>
              </c:numCache>
            </c:numRef>
          </c:val>
          <c:extLst>
            <c:ext xmlns:c16="http://schemas.microsoft.com/office/drawing/2014/chart" uri="{C3380CC4-5D6E-409C-BE32-E72D297353CC}">
              <c16:uniqueId val="{00000021-6696-834F-89EE-CD1024A43636}"/>
            </c:ext>
          </c:extLst>
        </c:ser>
        <c:dLbls>
          <c:dLblPos val="ctr"/>
          <c:showLegendKey val="0"/>
          <c:showVal val="1"/>
          <c:showCatName val="0"/>
          <c:showSerName val="0"/>
          <c:showPercent val="0"/>
          <c:showBubbleSize val="0"/>
          <c:showLeaderLines val="0"/>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Revenue Streams (Full-scale 2nd-year)</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tx>
            <c:v>Revenue Streams</c:v>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8-2A7F-2A4C-AA57-68E9DA96BE4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A-2A7F-2A4C-AA57-68E9DA96BE4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C-2A7F-2A4C-AA57-68E9DA96BE4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E-2A7F-2A4C-AA57-68E9DA96BE46}"/>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0-2A7F-2A4C-AA57-68E9DA96BE46}"/>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2-2A7F-2A4C-AA57-68E9DA96BE46}"/>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4-2A7F-2A4C-AA57-68E9DA96BE46}"/>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6-2A7F-2A4C-AA57-68E9DA96BE46}"/>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8-2A7F-2A4C-AA57-68E9DA96BE46}"/>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A-2A7F-2A4C-AA57-68E9DA96BE46}"/>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C-2A7F-2A4C-AA57-68E9DA96BE46}"/>
              </c:ext>
            </c:extLst>
          </c:dPt>
          <c:dLbls>
            <c:dLbl>
              <c:idx val="1"/>
              <c:layout>
                <c:manualLayout>
                  <c:x val="-0.21001499649842381"/>
                  <c:y val="-1.0554843811625796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A-2A7F-2A4C-AA57-68E9DA96BE46}"/>
                </c:ext>
              </c:extLst>
            </c:dLbl>
            <c:dLbl>
              <c:idx val="2"/>
              <c:layout>
                <c:manualLayout>
                  <c:x val="0.1006046762869352"/>
                  <c:y val="0.11760788376634107"/>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C-2A7F-2A4C-AA57-68E9DA96BE46}"/>
                </c:ext>
              </c:extLst>
            </c:dLbl>
            <c:dLbl>
              <c:idx val="3"/>
              <c:layout>
                <c:manualLayout>
                  <c:x val="8.4155494911870264E-3"/>
                  <c:y val="5.2603561825670858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E-2A7F-2A4C-AA57-68E9DA96BE46}"/>
                </c:ext>
              </c:extLst>
            </c:dLbl>
            <c:dLbl>
              <c:idx val="4"/>
              <c:layout>
                <c:manualLayout>
                  <c:x val="0.2825743560176105"/>
                  <c:y val="0.10888187630154607"/>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0-2A7F-2A4C-AA57-68E9DA96BE46}"/>
                </c:ext>
              </c:extLst>
            </c:dLbl>
            <c:dLbl>
              <c:idx val="5"/>
              <c:layout>
                <c:manualLayout>
                  <c:x val="0.28396690938212016"/>
                  <c:y val="5.2845385543724047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2-2A7F-2A4C-AA57-68E9DA96BE46}"/>
                </c:ext>
              </c:extLst>
            </c:dLbl>
            <c:dLbl>
              <c:idx val="6"/>
              <c:layout>
                <c:manualLayout>
                  <c:x val="-0.12339428824767726"/>
                  <c:y val="-7.0979317738289235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4-2A7F-2A4C-AA57-68E9DA96BE46}"/>
                </c:ext>
              </c:extLst>
            </c:dLbl>
            <c:dLbl>
              <c:idx val="8"/>
              <c:layout>
                <c:manualLayout>
                  <c:x val="0.17924889071881384"/>
                  <c:y val="0.18978165979886358"/>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8-2A7F-2A4C-AA57-68E9DA96BE46}"/>
                </c:ext>
              </c:extLst>
            </c:dLbl>
            <c:dLbl>
              <c:idx val="9"/>
              <c:layout>
                <c:manualLayout>
                  <c:x val="0.12208888788285115"/>
                  <c:y val="0.14815310871577372"/>
                </c:manualLayout>
              </c:layout>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11122886627010389"/>
                      <c:h val="6.3637640751296035E-2"/>
                    </c:manualLayout>
                  </c15:layout>
                </c:ext>
                <c:ext xmlns:c16="http://schemas.microsoft.com/office/drawing/2014/chart" uri="{C3380CC4-5D6E-409C-BE32-E72D297353CC}">
                  <c16:uniqueId val="{0000002A-2A7F-2A4C-AA57-68E9DA96BE46}"/>
                </c:ext>
              </c:extLst>
            </c:dLbl>
            <c:dLbl>
              <c:idx val="10"/>
              <c:layout>
                <c:manualLayout>
                  <c:x val="6.1285211581855861E-2"/>
                  <c:y val="0.1301976620670818"/>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C-2A7F-2A4C-AA57-68E9DA96BE46}"/>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Overview!$A$78:$A$83</c:f>
              <c:strCache>
                <c:ptCount val="6"/>
                <c:pt idx="0">
                  <c:v>Produce Sales</c:v>
                </c:pt>
                <c:pt idx="1">
                  <c:v>Value-Added Products</c:v>
                </c:pt>
                <c:pt idx="2">
                  <c:v>Education</c:v>
                </c:pt>
                <c:pt idx="3">
                  <c:v>Tourism</c:v>
                </c:pt>
                <c:pt idx="4">
                  <c:v>Hospitality</c:v>
                </c:pt>
                <c:pt idx="5">
                  <c:v>Grants and Crowdfunding</c:v>
                </c:pt>
              </c:strCache>
            </c:strRef>
          </c:cat>
          <c:val>
            <c:numRef>
              <c:f>Overview!$I$78:$I$83</c:f>
              <c:numCache>
                <c:formatCode>_([$AUD]\ * #,##0.00_);_([$AUD]\ * \(#,##0.00\);_([$AUD]\ * "-"??_);_(@_)</c:formatCode>
                <c:ptCount val="6"/>
                <c:pt idx="0">
                  <c:v>210017.42744299531</c:v>
                </c:pt>
                <c:pt idx="1">
                  <c:v>0</c:v>
                </c:pt>
                <c:pt idx="2">
                  <c:v>0</c:v>
                </c:pt>
                <c:pt idx="3">
                  <c:v>0</c:v>
                </c:pt>
                <c:pt idx="4">
                  <c:v>0</c:v>
                </c:pt>
                <c:pt idx="5">
                  <c:v>50000</c:v>
                </c:pt>
              </c:numCache>
            </c:numRef>
          </c:val>
          <c:extLst>
            <c:ext xmlns:c16="http://schemas.microsoft.com/office/drawing/2014/chart" uri="{C3380CC4-5D6E-409C-BE32-E72D297353CC}">
              <c16:uniqueId val="{0000002D-2A7F-2A4C-AA57-68E9DA96BE46}"/>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600"/>
              <a:t>Productivity Metrics Targets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645365525835355"/>
          <c:y val="0.12827881847788195"/>
          <c:w val="0.54195214657492119"/>
          <c:h val="0.69789952402058075"/>
        </c:manualLayout>
      </c:layout>
      <c:radarChart>
        <c:radarStyle val="marker"/>
        <c:varyColors val="0"/>
        <c:ser>
          <c:idx val="0"/>
          <c:order val="0"/>
          <c:tx>
            <c:v>Productivity Metrics</c:v>
          </c:tx>
          <c:spPr>
            <a:ln w="28575" cap="rnd">
              <a:solidFill>
                <a:schemeClr val="accent1"/>
              </a:solidFill>
              <a:round/>
            </a:ln>
            <a:effectLst/>
          </c:spPr>
          <c:marker>
            <c:symbol val="none"/>
          </c:marker>
          <c:cat>
            <c:strRef>
              <c:f>Overview!$H$49:$H$58</c:f>
              <c:strCache>
                <c:ptCount val="10"/>
                <c:pt idx="0">
                  <c:v>Space (kg/m^2)</c:v>
                </c:pt>
                <c:pt idx="1">
                  <c:v>Energy (kg/kWh)</c:v>
                </c:pt>
                <c:pt idx="2">
                  <c:v>Labour (kg/man-hour)</c:v>
                </c:pt>
                <c:pt idx="3">
                  <c:v>Water (kg/L)</c:v>
                </c:pt>
                <c:pt idx="4">
                  <c:v>Nutrient (kg/kg)</c:v>
                </c:pt>
                <c:pt idx="5">
                  <c:v>Growing volume (kg/m3)</c:v>
                </c:pt>
                <c:pt idx="6">
                  <c:v>CO2e emitted kg/kg</c:v>
                </c:pt>
                <c:pt idx="7">
                  <c:v>CO2e omitted kg/kg</c:v>
                </c:pt>
                <c:pt idx="8">
                  <c:v>Net CO2e kg/kg</c:v>
                </c:pt>
                <c:pt idx="9">
                  <c:v>No. of Plants per sq-m</c:v>
                </c:pt>
              </c:strCache>
            </c:strRef>
          </c:cat>
          <c:val>
            <c:numRef>
              <c:f>Overview!$K$49:$K$58</c:f>
              <c:numCache>
                <c:formatCode>General</c:formatCode>
                <c:ptCount val="10"/>
                <c:pt idx="0">
                  <c:v>1.1040023309851128</c:v>
                </c:pt>
                <c:pt idx="1">
                  <c:v>0.62190702951293708</c:v>
                </c:pt>
                <c:pt idx="2">
                  <c:v>0.73042597445576118</c:v>
                </c:pt>
                <c:pt idx="3">
                  <c:v>0.73071158717745344</c:v>
                </c:pt>
                <c:pt idx="4">
                  <c:v>1.8687218130476194E-2</c:v>
                </c:pt>
                <c:pt idx="5">
                  <c:v>3.6299957518407524</c:v>
                </c:pt>
                <c:pt idx="6">
                  <c:v>0.37367804348416822</c:v>
                </c:pt>
                <c:pt idx="7">
                  <c:v>1.062080795316066</c:v>
                </c:pt>
                <c:pt idx="8">
                  <c:v>-0.1874987093210696</c:v>
                </c:pt>
                <c:pt idx="9">
                  <c:v>1.3246783689190065</c:v>
                </c:pt>
              </c:numCache>
            </c:numRef>
          </c:val>
          <c:extLst>
            <c:ext xmlns:c16="http://schemas.microsoft.com/office/drawing/2014/chart" uri="{C3380CC4-5D6E-409C-BE32-E72D297353CC}">
              <c16:uniqueId val="{00000000-D2B9-C74F-8AFD-372F2393E2FE}"/>
            </c:ext>
          </c:extLst>
        </c:ser>
        <c:ser>
          <c:idx val="1"/>
          <c:order val="1"/>
          <c:tx>
            <c:v>Targets</c:v>
          </c:tx>
          <c:spPr>
            <a:ln w="28575" cap="rnd">
              <a:solidFill>
                <a:schemeClr val="accent2"/>
              </a:solidFill>
              <a:round/>
            </a:ln>
            <a:effectLst/>
          </c:spPr>
          <c:marker>
            <c:symbol val="none"/>
          </c:marker>
          <c:cat>
            <c:strRef>
              <c:f>Overview!$H$49:$H$58</c:f>
              <c:strCache>
                <c:ptCount val="10"/>
                <c:pt idx="0">
                  <c:v>Space (kg/m^2)</c:v>
                </c:pt>
                <c:pt idx="1">
                  <c:v>Energy (kg/kWh)</c:v>
                </c:pt>
                <c:pt idx="2">
                  <c:v>Labour (kg/man-hour)</c:v>
                </c:pt>
                <c:pt idx="3">
                  <c:v>Water (kg/L)</c:v>
                </c:pt>
                <c:pt idx="4">
                  <c:v>Nutrient (kg/kg)</c:v>
                </c:pt>
                <c:pt idx="5">
                  <c:v>Growing volume (kg/m3)</c:v>
                </c:pt>
                <c:pt idx="6">
                  <c:v>CO2e emitted kg/kg</c:v>
                </c:pt>
                <c:pt idx="7">
                  <c:v>CO2e omitted kg/kg</c:v>
                </c:pt>
                <c:pt idx="8">
                  <c:v>Net CO2e kg/kg</c:v>
                </c:pt>
                <c:pt idx="9">
                  <c:v>No. of Plants per sq-m</c:v>
                </c:pt>
              </c:strCache>
            </c:strRef>
          </c:cat>
          <c:val>
            <c:numRef>
              <c:f>Overview!$L$49:$L$58</c:f>
              <c:numCache>
                <c:formatCode>General</c:formatCode>
                <c:ptCount val="10"/>
                <c:pt idx="0">
                  <c:v>1</c:v>
                </c:pt>
                <c:pt idx="1">
                  <c:v>1</c:v>
                </c:pt>
                <c:pt idx="2">
                  <c:v>1</c:v>
                </c:pt>
                <c:pt idx="3">
                  <c:v>1</c:v>
                </c:pt>
                <c:pt idx="4">
                  <c:v>1</c:v>
                </c:pt>
                <c:pt idx="5">
                  <c:v>1</c:v>
                </c:pt>
                <c:pt idx="6">
                  <c:v>1</c:v>
                </c:pt>
                <c:pt idx="7">
                  <c:v>1</c:v>
                </c:pt>
                <c:pt idx="8">
                  <c:v>1</c:v>
                </c:pt>
                <c:pt idx="9">
                  <c:v>1</c:v>
                </c:pt>
              </c:numCache>
            </c:numRef>
          </c:val>
          <c:extLst>
            <c:ext xmlns:c16="http://schemas.microsoft.com/office/drawing/2014/chart" uri="{C3380CC4-5D6E-409C-BE32-E72D297353CC}">
              <c16:uniqueId val="{00000002-D2B9-C74F-8AFD-372F2393E2FE}"/>
            </c:ext>
          </c:extLst>
        </c:ser>
        <c:dLbls>
          <c:showLegendKey val="0"/>
          <c:showVal val="0"/>
          <c:showCatName val="0"/>
          <c:showSerName val="0"/>
          <c:showPercent val="0"/>
          <c:showBubbleSize val="0"/>
        </c:dLbls>
        <c:axId val="1839899391"/>
        <c:axId val="1839568063"/>
      </c:radarChart>
      <c:catAx>
        <c:axId val="1839899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9568063"/>
        <c:crosses val="autoZero"/>
        <c:auto val="1"/>
        <c:lblAlgn val="ctr"/>
        <c:lblOffset val="100"/>
        <c:noMultiLvlLbl val="0"/>
      </c:catAx>
      <c:valAx>
        <c:axId val="18395680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98993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Learning curve for</a:t>
            </a:r>
            <a:r>
              <a:rPr lang="en-GB" b="1" baseline="0"/>
              <a:t> VF operators</a:t>
            </a:r>
            <a:endParaRPr lang="en-GB"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Database!$A$114</c:f>
              <c:strCache>
                <c:ptCount val="1"/>
                <c:pt idx="0">
                  <c:v>High</c:v>
                </c:pt>
              </c:strCache>
            </c:strRef>
          </c:tx>
          <c:spPr>
            <a:ln w="28575" cap="rnd">
              <a:solidFill>
                <a:schemeClr val="accent2"/>
              </a:solidFill>
              <a:round/>
            </a:ln>
            <a:effectLst/>
          </c:spPr>
          <c:marker>
            <c:symbol val="none"/>
          </c:marker>
          <c:val>
            <c:numRef>
              <c:f>Database!$B$114:$P$114</c:f>
              <c:numCache>
                <c:formatCode>0%</c:formatCode>
                <c:ptCount val="15"/>
                <c:pt idx="0">
                  <c:v>6.2700000000000006E-2</c:v>
                </c:pt>
                <c:pt idx="1">
                  <c:v>0.1129</c:v>
                </c:pt>
                <c:pt idx="2">
                  <c:v>0.1016</c:v>
                </c:pt>
                <c:pt idx="3">
                  <c:v>9.3399999999999997E-2</c:v>
                </c:pt>
                <c:pt idx="4">
                  <c:v>8.5999999999999993E-2</c:v>
                </c:pt>
                <c:pt idx="5">
                  <c:v>7.9100000000000004E-2</c:v>
                </c:pt>
                <c:pt idx="6">
                  <c:v>7.2800000000000004E-2</c:v>
                </c:pt>
                <c:pt idx="7">
                  <c:v>6.8400000000000002E-2</c:v>
                </c:pt>
                <c:pt idx="8">
                  <c:v>6.4299999999999996E-2</c:v>
                </c:pt>
                <c:pt idx="9">
                  <c:v>6.0400000000000002E-2</c:v>
                </c:pt>
                <c:pt idx="10">
                  <c:v>5.6800000000000003E-2</c:v>
                </c:pt>
                <c:pt idx="11">
                  <c:v>5.3400000000000003E-2</c:v>
                </c:pt>
                <c:pt idx="12">
                  <c:v>5.0200000000000002E-2</c:v>
                </c:pt>
                <c:pt idx="13">
                  <c:v>4.7199999999999999E-2</c:v>
                </c:pt>
                <c:pt idx="14">
                  <c:v>4.4400000000000002E-2</c:v>
                </c:pt>
              </c:numCache>
            </c:numRef>
          </c:val>
          <c:smooth val="0"/>
          <c:extLst>
            <c:ext xmlns:c16="http://schemas.microsoft.com/office/drawing/2014/chart" uri="{C3380CC4-5D6E-409C-BE32-E72D297353CC}">
              <c16:uniqueId val="{00000001-DFDC-1C45-868C-9CFA29CE8434}"/>
            </c:ext>
          </c:extLst>
        </c:ser>
        <c:ser>
          <c:idx val="2"/>
          <c:order val="1"/>
          <c:tx>
            <c:strRef>
              <c:f>Database!$A$115</c:f>
              <c:strCache>
                <c:ptCount val="1"/>
                <c:pt idx="0">
                  <c:v>Medium</c:v>
                </c:pt>
              </c:strCache>
            </c:strRef>
          </c:tx>
          <c:spPr>
            <a:ln w="28575" cap="rnd">
              <a:solidFill>
                <a:schemeClr val="accent3"/>
              </a:solidFill>
              <a:round/>
            </a:ln>
            <a:effectLst/>
          </c:spPr>
          <c:marker>
            <c:symbol val="none"/>
          </c:marker>
          <c:val>
            <c:numRef>
              <c:f>Database!$B$115:$P$115</c:f>
              <c:numCache>
                <c:formatCode>0%</c:formatCode>
                <c:ptCount val="15"/>
                <c:pt idx="0">
                  <c:v>8.8849999999999998E-2</c:v>
                </c:pt>
                <c:pt idx="1">
                  <c:v>7.9949999999999993E-2</c:v>
                </c:pt>
                <c:pt idx="2">
                  <c:v>7.195E-2</c:v>
                </c:pt>
                <c:pt idx="3">
                  <c:v>6.6199999999999995E-2</c:v>
                </c:pt>
                <c:pt idx="4">
                  <c:v>6.0900000000000003E-2</c:v>
                </c:pt>
                <c:pt idx="5">
                  <c:v>5.6050000000000003E-2</c:v>
                </c:pt>
                <c:pt idx="6">
                  <c:v>5.1549999999999999E-2</c:v>
                </c:pt>
                <c:pt idx="7">
                  <c:v>4.845E-2</c:v>
                </c:pt>
                <c:pt idx="8">
                  <c:v>4.555E-2</c:v>
                </c:pt>
                <c:pt idx="9">
                  <c:v>4.2799999999999998E-2</c:v>
                </c:pt>
                <c:pt idx="10">
                  <c:v>4.0250000000000001E-2</c:v>
                </c:pt>
                <c:pt idx="11">
                  <c:v>3.7850000000000002E-2</c:v>
                </c:pt>
                <c:pt idx="12">
                  <c:v>3.5549999999999998E-2</c:v>
                </c:pt>
                <c:pt idx="13">
                  <c:v>3.3399999999999999E-2</c:v>
                </c:pt>
                <c:pt idx="14">
                  <c:v>3.1399999999999997E-2</c:v>
                </c:pt>
              </c:numCache>
            </c:numRef>
          </c:val>
          <c:smooth val="0"/>
          <c:extLst>
            <c:ext xmlns:c16="http://schemas.microsoft.com/office/drawing/2014/chart" uri="{C3380CC4-5D6E-409C-BE32-E72D297353CC}">
              <c16:uniqueId val="{00000002-DFDC-1C45-868C-9CFA29CE8434}"/>
            </c:ext>
          </c:extLst>
        </c:ser>
        <c:ser>
          <c:idx val="3"/>
          <c:order val="2"/>
          <c:tx>
            <c:strRef>
              <c:f>Database!$A$116</c:f>
              <c:strCache>
                <c:ptCount val="1"/>
                <c:pt idx="0">
                  <c:v>Low</c:v>
                </c:pt>
              </c:strCache>
            </c:strRef>
          </c:tx>
          <c:spPr>
            <a:ln w="28575" cap="rnd">
              <a:solidFill>
                <a:schemeClr val="accent4"/>
              </a:solidFill>
              <a:round/>
            </a:ln>
            <a:effectLst/>
          </c:spPr>
          <c:marker>
            <c:symbol val="none"/>
          </c:marker>
          <c:val>
            <c:numRef>
              <c:f>Database!$B$116:$P$116</c:f>
              <c:numCache>
                <c:formatCode>0%</c:formatCode>
                <c:ptCount val="15"/>
                <c:pt idx="0">
                  <c:v>0.1202</c:v>
                </c:pt>
                <c:pt idx="1">
                  <c:v>0.10815</c:v>
                </c:pt>
                <c:pt idx="2">
                  <c:v>0.19470000000000001</c:v>
                </c:pt>
                <c:pt idx="3">
                  <c:v>0.17910000000000001</c:v>
                </c:pt>
                <c:pt idx="4">
                  <c:v>0.1648</c:v>
                </c:pt>
                <c:pt idx="5">
                  <c:v>0.15160000000000001</c:v>
                </c:pt>
                <c:pt idx="6">
                  <c:v>0.13950000000000001</c:v>
                </c:pt>
                <c:pt idx="7">
                  <c:v>0.13109999999999999</c:v>
                </c:pt>
                <c:pt idx="8">
                  <c:v>0.1232</c:v>
                </c:pt>
                <c:pt idx="9">
                  <c:v>0.1158</c:v>
                </c:pt>
                <c:pt idx="10">
                  <c:v>0.1089</c:v>
                </c:pt>
                <c:pt idx="11">
                  <c:v>0.1024</c:v>
                </c:pt>
                <c:pt idx="12">
                  <c:v>9.6199999999999994E-2</c:v>
                </c:pt>
                <c:pt idx="13">
                  <c:v>9.0399999999999994E-2</c:v>
                </c:pt>
                <c:pt idx="14">
                  <c:v>8.5000000000000006E-2</c:v>
                </c:pt>
              </c:numCache>
            </c:numRef>
          </c:val>
          <c:smooth val="0"/>
          <c:extLst>
            <c:ext xmlns:c16="http://schemas.microsoft.com/office/drawing/2014/chart" uri="{C3380CC4-5D6E-409C-BE32-E72D297353CC}">
              <c16:uniqueId val="{00000003-DFDC-1C45-868C-9CFA29CE8434}"/>
            </c:ext>
          </c:extLst>
        </c:ser>
        <c:dLbls>
          <c:showLegendKey val="0"/>
          <c:showVal val="0"/>
          <c:showCatName val="0"/>
          <c:showSerName val="0"/>
          <c:showPercent val="0"/>
          <c:showBubbleSize val="0"/>
        </c:dLbls>
        <c:smooth val="0"/>
        <c:axId val="92333679"/>
        <c:axId val="92380911"/>
      </c:lineChart>
      <c:catAx>
        <c:axId val="923336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r>
                  <a:rPr lang="en-GB" baseline="0"/>
                  <a:t> of operation</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380911"/>
        <c:crosses val="autoZero"/>
        <c:auto val="1"/>
        <c:lblAlgn val="ctr"/>
        <c:lblOffset val="100"/>
        <c:noMultiLvlLbl val="0"/>
      </c:catAx>
      <c:valAx>
        <c:axId val="9238091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Failure rate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3336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536864</xdr:colOff>
      <xdr:row>24</xdr:row>
      <xdr:rowOff>163945</xdr:rowOff>
    </xdr:from>
    <xdr:to>
      <xdr:col>6</xdr:col>
      <xdr:colOff>1085273</xdr:colOff>
      <xdr:row>40</xdr:row>
      <xdr:rowOff>184727</xdr:rowOff>
    </xdr:to>
    <xdr:graphicFrame macro="">
      <xdr:nvGraphicFramePr>
        <xdr:cNvPr id="3" name="Chart 2">
          <a:extLst>
            <a:ext uri="{FF2B5EF4-FFF2-40B4-BE49-F238E27FC236}">
              <a16:creationId xmlns:a16="http://schemas.microsoft.com/office/drawing/2014/main" id="{46A81072-0DC7-FB4D-9920-F46528EEFE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681182</xdr:colOff>
      <xdr:row>24</xdr:row>
      <xdr:rowOff>161637</xdr:rowOff>
    </xdr:from>
    <xdr:to>
      <xdr:col>11</xdr:col>
      <xdr:colOff>548409</xdr:colOff>
      <xdr:row>40</xdr:row>
      <xdr:rowOff>182419</xdr:rowOff>
    </xdr:to>
    <xdr:graphicFrame macro="">
      <xdr:nvGraphicFramePr>
        <xdr:cNvPr id="4" name="Chart 3">
          <a:extLst>
            <a:ext uri="{FF2B5EF4-FFF2-40B4-BE49-F238E27FC236}">
              <a16:creationId xmlns:a16="http://schemas.microsoft.com/office/drawing/2014/main" id="{26D8E216-396E-914E-98F3-68FD4FAA18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1062181</xdr:colOff>
      <xdr:row>25</xdr:row>
      <xdr:rowOff>0</xdr:rowOff>
    </xdr:from>
    <xdr:to>
      <xdr:col>15</xdr:col>
      <xdr:colOff>929409</xdr:colOff>
      <xdr:row>41</xdr:row>
      <xdr:rowOff>20782</xdr:rowOff>
    </xdr:to>
    <xdr:graphicFrame macro="">
      <xdr:nvGraphicFramePr>
        <xdr:cNvPr id="5" name="Chart 4">
          <a:extLst>
            <a:ext uri="{FF2B5EF4-FFF2-40B4-BE49-F238E27FC236}">
              <a16:creationId xmlns:a16="http://schemas.microsoft.com/office/drawing/2014/main" id="{7048541E-7AC8-AB41-8F50-28F5737D67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1073728</xdr:colOff>
      <xdr:row>42</xdr:row>
      <xdr:rowOff>11546</xdr:rowOff>
    </xdr:from>
    <xdr:to>
      <xdr:col>14</xdr:col>
      <xdr:colOff>381000</xdr:colOff>
      <xdr:row>62</xdr:row>
      <xdr:rowOff>23091</xdr:rowOff>
    </xdr:to>
    <xdr:graphicFrame macro="">
      <xdr:nvGraphicFramePr>
        <xdr:cNvPr id="8" name="Chart 7">
          <a:extLst>
            <a:ext uri="{FF2B5EF4-FFF2-40B4-BE49-F238E27FC236}">
              <a16:creationId xmlns:a16="http://schemas.microsoft.com/office/drawing/2014/main" id="{45F76D98-FF3F-FB49-A519-109B69DD06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707571</xdr:colOff>
      <xdr:row>42</xdr:row>
      <xdr:rowOff>27214</xdr:rowOff>
    </xdr:from>
    <xdr:to>
      <xdr:col>7</xdr:col>
      <xdr:colOff>149265</xdr:colOff>
      <xdr:row>58</xdr:row>
      <xdr:rowOff>102425</xdr:rowOff>
    </xdr:to>
    <xdr:graphicFrame macro="">
      <xdr:nvGraphicFramePr>
        <xdr:cNvPr id="6" name="Chart 5">
          <a:extLst>
            <a:ext uri="{FF2B5EF4-FFF2-40B4-BE49-F238E27FC236}">
              <a16:creationId xmlns:a16="http://schemas.microsoft.com/office/drawing/2014/main" id="{40EB492D-C0EA-E94B-BBBE-3D3E7E5F96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22</xdr:col>
      <xdr:colOff>586063</xdr:colOff>
      <xdr:row>88</xdr:row>
      <xdr:rowOff>1</xdr:rowOff>
    </xdr:from>
    <xdr:to>
      <xdr:col>31</xdr:col>
      <xdr:colOff>652477</xdr:colOff>
      <xdr:row>130</xdr:row>
      <xdr:rowOff>93211</xdr:rowOff>
    </xdr:to>
    <xdr:graphicFrame macro="">
      <xdr:nvGraphicFramePr>
        <xdr:cNvPr id="16" name="Chart 15">
          <a:extLst>
            <a:ext uri="{FF2B5EF4-FFF2-40B4-BE49-F238E27FC236}">
              <a16:creationId xmlns:a16="http://schemas.microsoft.com/office/drawing/2014/main" id="{FDDB2642-0A9D-6D42-A992-CC3B7BCD19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570917</xdr:colOff>
      <xdr:row>44</xdr:row>
      <xdr:rowOff>58258</xdr:rowOff>
    </xdr:from>
    <xdr:to>
      <xdr:col>31</xdr:col>
      <xdr:colOff>637331</xdr:colOff>
      <xdr:row>85</xdr:row>
      <xdr:rowOff>174771</xdr:rowOff>
    </xdr:to>
    <xdr:graphicFrame macro="">
      <xdr:nvGraphicFramePr>
        <xdr:cNvPr id="17" name="Chart 16">
          <a:extLst>
            <a:ext uri="{FF2B5EF4-FFF2-40B4-BE49-F238E27FC236}">
              <a16:creationId xmlns:a16="http://schemas.microsoft.com/office/drawing/2014/main" id="{2A05F7DF-E994-AD43-94AC-0091C78AB6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766659</xdr:colOff>
      <xdr:row>29</xdr:row>
      <xdr:rowOff>116514</xdr:rowOff>
    </xdr:from>
    <xdr:to>
      <xdr:col>19</xdr:col>
      <xdr:colOff>302935</xdr:colOff>
      <xdr:row>59</xdr:row>
      <xdr:rowOff>58258</xdr:rowOff>
    </xdr:to>
    <xdr:graphicFrame macro="">
      <xdr:nvGraphicFramePr>
        <xdr:cNvPr id="8" name="Chart 7">
          <a:extLst>
            <a:ext uri="{FF2B5EF4-FFF2-40B4-BE49-F238E27FC236}">
              <a16:creationId xmlns:a16="http://schemas.microsoft.com/office/drawing/2014/main" id="{294254A3-69D9-564B-9E16-62BF4E9939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16</xdr:col>
      <xdr:colOff>795360</xdr:colOff>
      <xdr:row>103</xdr:row>
      <xdr:rowOff>90824</xdr:rowOff>
    </xdr:from>
    <xdr:to>
      <xdr:col>24</xdr:col>
      <xdr:colOff>705557</xdr:colOff>
      <xdr:row>125</xdr:row>
      <xdr:rowOff>25656</xdr:rowOff>
    </xdr:to>
    <xdr:graphicFrame macro="">
      <xdr:nvGraphicFramePr>
        <xdr:cNvPr id="2" name="Chart 1">
          <a:extLst>
            <a:ext uri="{FF2B5EF4-FFF2-40B4-BE49-F238E27FC236}">
              <a16:creationId xmlns:a16="http://schemas.microsoft.com/office/drawing/2014/main" id="{2752C953-20A2-C342-BE12-B27A07093F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259152</xdr:colOff>
      <xdr:row>26</xdr:row>
      <xdr:rowOff>21166</xdr:rowOff>
    </xdr:from>
    <xdr:to>
      <xdr:col>12</xdr:col>
      <xdr:colOff>325965</xdr:colOff>
      <xdr:row>45</xdr:row>
      <xdr:rowOff>23282</xdr:rowOff>
    </xdr:to>
    <xdr:pic>
      <xdr:nvPicPr>
        <xdr:cNvPr id="2" name="Picture 1">
          <a:extLst>
            <a:ext uri="{FF2B5EF4-FFF2-40B4-BE49-F238E27FC236}">
              <a16:creationId xmlns:a16="http://schemas.microsoft.com/office/drawing/2014/main" id="{A2F7AC6D-8DA3-1B48-9C4F-031B0A3C6A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499152" y="5196416"/>
          <a:ext cx="5591313" cy="38226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8">
  <rv s="0">
    <v>0</v>
    <v>USD/EUR</v>
    <v>2</v>
    <v>3</v>
    <v>Finance</v>
    <v>4</v>
    <v>en-GB</v>
    <v>avyn9c</v>
    <v>268435456</v>
    <v>1</v>
    <v>Powered by Refinitiv</v>
    <v>0.94</v>
    <v>0.80969999999999998</v>
    <v>5.0000000000000001E-4</v>
    <v>5.9580000000000006E-4</v>
    <v>EUR</v>
    <v>USD</v>
    <v>0.84209999999999996</v>
    <v>Currency Pair</v>
    <v>44274.798206018517</v>
    <v>0.8377</v>
    <v>US Dollar/Euro FX Cross Rate</v>
    <v>0.83909999999999996</v>
    <v>0.83919999999999995</v>
    <v>0.8397</v>
    <v>USDEUR</v>
    <v>USD/EUR</v>
  </rv>
  <rv s="1">
    <v>0</v>
  </rv>
  <rv s="0">
    <v>0</v>
    <v>USD/GBP</v>
    <v>2</v>
    <v>5</v>
    <v>Finance</v>
    <v>4</v>
    <v>en-GB</v>
    <v>avyu4c</v>
    <v>268435456</v>
    <v>1</v>
    <v>Powered by Refinitiv</v>
    <v>0.87609999999999999</v>
    <v>0.70230000000000004</v>
    <v>2.7000000000000001E-3</v>
    <v>3.7599999999999999E-3</v>
    <v>GBP</v>
    <v>USD</v>
    <v>0.72299999999999998</v>
    <v>Currency Pair</v>
    <v>44274.797812500001</v>
    <v>0.71640000000000004</v>
    <v>US Dollar/UK Pound Sterling FX Cross Rate</v>
    <v>0.71809999999999996</v>
    <v>0.71809999999999996</v>
    <v>0.7208</v>
    <v>USDGBP</v>
    <v>USD/GBP</v>
  </rv>
  <rv s="1">
    <v>2</v>
  </rv>
  <rv s="0">
    <v>0</v>
    <v>USD/AUD</v>
    <v>2</v>
    <v>6</v>
    <v>Finance</v>
    <v>4</v>
    <v>en-GB</v>
    <v>avykh7</v>
    <v>268435456</v>
    <v>1</v>
    <v>Powered by Refinitiv</v>
    <v>1.8154999999999999</v>
    <v>1.2484</v>
    <v>2.5000000000000001E-3</v>
    <v>1.941E-3</v>
    <v>AUD</v>
    <v>USD</v>
    <v>1.2955000000000001</v>
    <v>Currency Pair</v>
    <v>44274.79791666667</v>
    <v>1.2867</v>
    <v>US Dollar/Australian Dollar FX Cross Rate</v>
    <v>1.2887</v>
    <v>1.2883</v>
    <v>1.2907999999999999</v>
    <v>USDAUD</v>
    <v>USD/AUD</v>
  </rv>
  <rv s="1">
    <v>4</v>
  </rv>
  <rv s="0">
    <v>0</v>
    <v>USD/JPY</v>
    <v>2</v>
    <v>7</v>
    <v>Finance</v>
    <v>4</v>
    <v>en-GB</v>
    <v>avyomw</v>
    <v>268435456</v>
    <v>1</v>
    <v>Powered by Refinitiv</v>
    <v>111.71</v>
    <v>102.57</v>
    <v>0.01</v>
    <v>9.1839999999999988E-5</v>
    <v>JPY</v>
    <v>USD</v>
    <v>109.12</v>
    <v>Currency Pair</v>
    <v>44274.798680555556</v>
    <v>108.62</v>
    <v>US Dollar/Japanese Yen FX Spot Rate</v>
    <v>108.87</v>
    <v>108.88</v>
    <v>108.89</v>
    <v>USDJPY</v>
    <v>USD/JPY</v>
  </rv>
  <rv s="1">
    <v>6</v>
  </rv>
</rvData>
</file>

<file path=xl/richData/rdrichvaluestructure.xml><?xml version="1.0" encoding="utf-8"?>
<rvStructures xmlns="http://schemas.microsoft.com/office/spreadsheetml/2017/richdata" count="2">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From currency" t="s"/>
    <k n="High"/>
    <k n="Instrument type" t="s"/>
    <k n="Last trade time"/>
    <k n="Low"/>
    <k n="Name" t="s"/>
    <k n="Open"/>
    <k n="Previous close"/>
    <k n="Price"/>
    <k n="Ticker symbol" t="s"/>
    <k n="UniqueName" t="s"/>
  </s>
  <s t="_linkedentity">
    <k n="%cvi" t="r"/>
  </s>
</rvStructures>
</file>

<file path=xl/richData/rdsupportingpropertybag.xml><?xml version="1.0" encoding="utf-8"?>
<supportingPropertyBags xmlns="http://schemas.microsoft.com/office/spreadsheetml/2017/richdata2">
  <spbArrays count="1">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spbArrays>
  <spbData count="8">
    <spb s="0">
      <v>0</v>
      <v>Name</v>
    </spb>
    <spb s="1">
      <v>0</v>
      <v>0</v>
      <v>0</v>
    </spb>
    <spb s="2">
      <v>1</v>
      <v>1</v>
    </spb>
    <spb s="3">
      <v>1</v>
      <v>1</v>
      <v>2</v>
      <v>1</v>
      <v>1</v>
      <v>1</v>
      <v>3</v>
      <v>1</v>
      <v>1</v>
      <v>1</v>
      <v>4</v>
      <v>5</v>
      <v>6</v>
    </spb>
    <spb s="4">
      <v>GMT</v>
    </spb>
    <spb s="3">
      <v>7</v>
      <v>7</v>
      <v>2</v>
      <v>7</v>
      <v>7</v>
      <v>7</v>
      <v>3</v>
      <v>7</v>
      <v>7</v>
      <v>7</v>
      <v>4</v>
      <v>5</v>
      <v>6</v>
    </spb>
    <spb s="3">
      <v>8</v>
      <v>8</v>
      <v>2</v>
      <v>8</v>
      <v>8</v>
      <v>8</v>
      <v>3</v>
      <v>8</v>
      <v>8</v>
      <v>8</v>
      <v>4</v>
      <v>5</v>
      <v>6</v>
    </spb>
    <spb s="3">
      <v>9</v>
      <v>9</v>
      <v>2</v>
      <v>9</v>
      <v>9</v>
      <v>9</v>
      <v>3</v>
      <v>9</v>
      <v>9</v>
      <v>9</v>
      <v>4</v>
      <v>5</v>
      <v>6</v>
    </spb>
  </spbData>
</supportingPropertyBags>
</file>

<file path=xl/richData/rdsupportingpropertybagstructure.xml><?xml version="1.0" encoding="utf-8"?>
<spbStructures xmlns="http://schemas.microsoft.com/office/spreadsheetml/2017/richdata2" count="5">
  <s>
    <k n="^Order" t="spba"/>
    <k n="TitleProperty" t="s"/>
  </s>
  <s>
    <k n="ShowInCardView" t="b"/>
    <k n="ShowInDotNotation" t="b"/>
    <k n="ShowInAutoComplete" t="b"/>
  </s>
  <s>
    <k n="UniqueName" t="spb"/>
    <k n="%ProviderInfo" t="spb"/>
  </s>
  <s>
    <k n="Low" t="i"/>
    <k n="High" t="i"/>
    <k n="Name" t="i"/>
    <k n="Open" t="i"/>
    <k n="Price" t="i"/>
    <k n="Change" t="i"/>
    <k n="Change (%)" t="i"/>
    <k n="52 week low" t="i"/>
    <k n="52 week high" t="i"/>
    <k n="Previous close" t="i"/>
    <k n="Last trade time" t="i"/>
    <k n="`_DisplayString"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167" formatCode="_([$€-2]\ * #,##0.00_);_([$€-2]\ * \(#,##0.00\);_([$€-2]\ * &quot;-&quot;??_);_(@_)"/>
    </x:dxf>
    <x:dxf>
      <x:numFmt numFmtId="14" formatCode="0.00%"/>
    </x:dxf>
    <x:dxf>
      <x:numFmt numFmtId="27" formatCode="dd/mm/yyyy\ hh:mm"/>
    </x:dxf>
    <x:dxf>
      <x:numFmt numFmtId="2" formatCode="0.00"/>
    </x:dxf>
    <x:dxf>
      <x:numFmt numFmtId="166" formatCode="_([$£-809]* #,##0.00_);_([$£-809]* \(#,##0.00\);_([$£-809]* &quot;-&quot;??_);_(@_)"/>
    </x:dxf>
    <x:dxf>
      <x:numFmt numFmtId="165" formatCode="_([$$-C09]* #,##0.00_);_([$$-C09]* \(#,##0.00\);_([$$-C09]* &quot;-&quot;??_);_(@_)"/>
    </x:dxf>
    <x:dxf>
      <x:numFmt numFmtId="164" formatCode="_([$¥-411]* #,##0.00_);_([$¥-411]* \(#,##0.00\);_([$¥-411]* &quot;-&quot;??_);_(@_)"/>
    </x:dxf>
  </dxfs>
  <richProperties>
    <rPr n="IsTitleField" t="b"/>
    <rPr n="ShouldShowInCell" t="b"/>
  </richProperties>
  <richStyles>
    <rSty dxfid="0"/>
    <rSty>
      <rpv i="0">1</rpv>
    </rSty>
    <rSty dxfid="1"/>
    <rSty dxfid="2"/>
    <rSty>
      <rpv i="1">1</rpv>
    </rSty>
    <rSty dxfid="3"/>
    <rSty dxfid="4"/>
    <rSty dxfid="5"/>
    <rSty dxfid="6"/>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3" Type="http://schemas.openxmlformats.org/officeDocument/2006/relationships/hyperlink" Target="https://www.ipcc.ch/site/assets/uploads/2018/02/ipcc_wg3_ar5_chapter7.pdf" TargetMode="External"/><Relationship Id="rId18" Type="http://schemas.openxmlformats.org/officeDocument/2006/relationships/hyperlink" Target="http://www.jecod.com/" TargetMode="External"/><Relationship Id="rId26" Type="http://schemas.openxmlformats.org/officeDocument/2006/relationships/hyperlink" Target="https://v-farm.co.uk/" TargetMode="External"/><Relationship Id="rId39" Type="http://schemas.openxmlformats.org/officeDocument/2006/relationships/hyperlink" Target="https://www.intravisiongroup.com/spectra-blades" TargetMode="External"/><Relationship Id="rId21" Type="http://schemas.openxmlformats.org/officeDocument/2006/relationships/hyperlink" Target="http://www.jecod.com/" TargetMode="External"/><Relationship Id="rId34" Type="http://schemas.openxmlformats.org/officeDocument/2006/relationships/hyperlink" Target="https://fluence.science/products/spydr-series/" TargetMode="External"/><Relationship Id="rId42" Type="http://schemas.openxmlformats.org/officeDocument/2006/relationships/hyperlink" Target="https://www.maxlite.com/products/led-solutions/list/" TargetMode="External"/><Relationship Id="rId7" Type="http://schemas.openxmlformats.org/officeDocument/2006/relationships/hyperlink" Target="https://www.intravisiongroup.com/spectra-blades" TargetMode="External"/><Relationship Id="rId2" Type="http://schemas.openxmlformats.org/officeDocument/2006/relationships/hyperlink" Target="https://fluence.science/products/razr-series/" TargetMode="External"/><Relationship Id="rId16" Type="http://schemas.openxmlformats.org/officeDocument/2006/relationships/hyperlink" Target="https://pentairaes.com/smart-uv-sterilizers-31295.html" TargetMode="External"/><Relationship Id="rId29" Type="http://schemas.openxmlformats.org/officeDocument/2006/relationships/hyperlink" Target="https://www.lighting.philips.co.uk/products/horticulture/products/greenpower-led-production-module" TargetMode="External"/><Relationship Id="rId1" Type="http://schemas.openxmlformats.org/officeDocument/2006/relationships/hyperlink" Target="http://www.liberty-produce.com/" TargetMode="External"/><Relationship Id="rId6" Type="http://schemas.openxmlformats.org/officeDocument/2006/relationships/hyperlink" Target="https://www.intravisiongroup.com/spectra-blades" TargetMode="External"/><Relationship Id="rId11" Type="http://schemas.openxmlformats.org/officeDocument/2006/relationships/hyperlink" Target="https://www.intravisiongroup.com/gravity-flow" TargetMode="External"/><Relationship Id="rId24" Type="http://schemas.openxmlformats.org/officeDocument/2006/relationships/hyperlink" Target="https://www.ariston.com/uk/Electric_Water_Heaters/andrislux" TargetMode="External"/><Relationship Id="rId32" Type="http://schemas.openxmlformats.org/officeDocument/2006/relationships/hyperlink" Target="https://www.lettusgrow.com/" TargetMode="External"/><Relationship Id="rId37" Type="http://schemas.openxmlformats.org/officeDocument/2006/relationships/hyperlink" Target="https://www.intravisiongroup.com/spectra-blades" TargetMode="External"/><Relationship Id="rId40" Type="http://schemas.openxmlformats.org/officeDocument/2006/relationships/hyperlink" Target="https://www.intravisiongroup.com/spectra-blades" TargetMode="External"/><Relationship Id="rId45" Type="http://schemas.openxmlformats.org/officeDocument/2006/relationships/comments" Target="../comments5.xml"/><Relationship Id="rId5" Type="http://schemas.openxmlformats.org/officeDocument/2006/relationships/hyperlink" Target="https://www.intravisiongroup.com/spectra-blades" TargetMode="External"/><Relationship Id="rId15" Type="http://schemas.openxmlformats.org/officeDocument/2006/relationships/hyperlink" Target="https://www.inventronics-co.com/product/eud-600sxxxdt/" TargetMode="External"/><Relationship Id="rId23" Type="http://schemas.openxmlformats.org/officeDocument/2006/relationships/hyperlink" Target="https://www.ariston.com/uk/Electric_Water_Heaters/andrislux" TargetMode="External"/><Relationship Id="rId28" Type="http://schemas.openxmlformats.org/officeDocument/2006/relationships/hyperlink" Target="https://www.freightfarms.com/" TargetMode="External"/><Relationship Id="rId36" Type="http://schemas.openxmlformats.org/officeDocument/2006/relationships/hyperlink" Target="https://products.gecurrent.com/eu/horticulture-led-grow-lights?src=homepage-tile-eu" TargetMode="External"/><Relationship Id="rId10" Type="http://schemas.openxmlformats.org/officeDocument/2006/relationships/hyperlink" Target="https://zipgrow.com/" TargetMode="External"/><Relationship Id="rId19" Type="http://schemas.openxmlformats.org/officeDocument/2006/relationships/hyperlink" Target="http://www.jecod.com/" TargetMode="External"/><Relationship Id="rId31" Type="http://schemas.openxmlformats.org/officeDocument/2006/relationships/hyperlink" Target="https://urbancropsolutions.com/" TargetMode="External"/><Relationship Id="rId44" Type="http://schemas.openxmlformats.org/officeDocument/2006/relationships/vmlDrawing" Target="../drawings/vmlDrawing5.vml"/><Relationship Id="rId4" Type="http://schemas.openxmlformats.org/officeDocument/2006/relationships/hyperlink" Target="https://products.gecurrent.com/eu/horticulture-led-grow-lights?src=homepage-tile-eu" TargetMode="External"/><Relationship Id="rId9" Type="http://schemas.openxmlformats.org/officeDocument/2006/relationships/hyperlink" Target="https://www.lighting.philips.co.uk/products/horticulture/products/greenpower-led-production-module" TargetMode="External"/><Relationship Id="rId14" Type="http://schemas.openxmlformats.org/officeDocument/2006/relationships/hyperlink" Target="https://www.intravisiongroup.com/spectra-blades" TargetMode="External"/><Relationship Id="rId22" Type="http://schemas.openxmlformats.org/officeDocument/2006/relationships/hyperlink" Target="http://www.bflc.com.cn/" TargetMode="External"/><Relationship Id="rId27" Type="http://schemas.openxmlformats.org/officeDocument/2006/relationships/hyperlink" Target="https://netled.fi/vertical-farming-vera/" TargetMode="External"/><Relationship Id="rId30" Type="http://schemas.openxmlformats.org/officeDocument/2006/relationships/hyperlink" Target="https://www.lighting.philips.co.uk/products/horticulture/products/greenpower-led-production-module" TargetMode="External"/><Relationship Id="rId35" Type="http://schemas.openxmlformats.org/officeDocument/2006/relationships/hyperlink" Target="https://illumitex.com/" TargetMode="External"/><Relationship Id="rId43" Type="http://schemas.openxmlformats.org/officeDocument/2006/relationships/drawing" Target="../drawings/drawing3.xml"/><Relationship Id="rId8" Type="http://schemas.openxmlformats.org/officeDocument/2006/relationships/hyperlink" Target="https://www.maxlite.com/products/led-solutions/list/" TargetMode="External"/><Relationship Id="rId3" Type="http://schemas.openxmlformats.org/officeDocument/2006/relationships/hyperlink" Target="https://fluence.science/products/spydr-series/" TargetMode="External"/><Relationship Id="rId12" Type="http://schemas.openxmlformats.org/officeDocument/2006/relationships/hyperlink" Target="https://www.montel.com/en/markets/vertical-farming-systems" TargetMode="External"/><Relationship Id="rId17" Type="http://schemas.openxmlformats.org/officeDocument/2006/relationships/hyperlink" Target="https://pumpexpress.co.uk/shop/jsw1-self-priming-jet-pumps/" TargetMode="External"/><Relationship Id="rId25" Type="http://schemas.openxmlformats.org/officeDocument/2006/relationships/hyperlink" Target="https://www.ariston.com/uk/Electric_Water_Heaters/andrislux" TargetMode="External"/><Relationship Id="rId33" Type="http://schemas.openxmlformats.org/officeDocument/2006/relationships/hyperlink" Target="https://miraigroup.jp/en/" TargetMode="External"/><Relationship Id="rId38" Type="http://schemas.openxmlformats.org/officeDocument/2006/relationships/hyperlink" Target="https://www.lumigrow.com/" TargetMode="External"/><Relationship Id="rId20" Type="http://schemas.openxmlformats.org/officeDocument/2006/relationships/hyperlink" Target="http://www.jecod.com/" TargetMode="External"/><Relationship Id="rId41" Type="http://schemas.openxmlformats.org/officeDocument/2006/relationships/hyperlink" Target="https://www.lighting.philips.co.uk/products/horticulture/products/greenpower-led-production-module"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F1FB0-CD2F-E14E-8300-C92D3DA9F93F}">
  <dimension ref="A1:E148"/>
  <sheetViews>
    <sheetView topLeftCell="A104" zoomScale="150" workbookViewId="0">
      <selection activeCell="D123" sqref="D123"/>
    </sheetView>
  </sheetViews>
  <sheetFormatPr baseColWidth="10" defaultRowHeight="13" x14ac:dyDescent="0.15"/>
  <cols>
    <col min="1" max="1" width="26.6640625" style="38" bestFit="1" customWidth="1"/>
    <col min="2" max="2" width="36.5" bestFit="1" customWidth="1"/>
  </cols>
  <sheetData>
    <row r="1" spans="1:5" x14ac:dyDescent="0.15">
      <c r="B1" t="s">
        <v>773</v>
      </c>
      <c r="D1" s="381" t="s">
        <v>1057</v>
      </c>
      <c r="E1" s="382" t="s">
        <v>1058</v>
      </c>
    </row>
    <row r="2" spans="1:5" x14ac:dyDescent="0.15">
      <c r="A2" s="402" t="s">
        <v>775</v>
      </c>
      <c r="B2" s="209">
        <f>start_date</f>
        <v>44228</v>
      </c>
    </row>
    <row r="3" spans="1:5" x14ac:dyDescent="0.15">
      <c r="A3" s="383" t="s">
        <v>667</v>
      </c>
      <c r="B3" s="188">
        <f>facility_size_pilot</f>
        <v>220</v>
      </c>
    </row>
    <row r="4" spans="1:5" x14ac:dyDescent="0.15">
      <c r="A4" s="383" t="s">
        <v>668</v>
      </c>
      <c r="B4" s="188">
        <f>percent_production_area_pilot</f>
        <v>0.22500000000000001</v>
      </c>
    </row>
    <row r="5" spans="1:5" ht="16" x14ac:dyDescent="0.2">
      <c r="A5" s="407" t="s">
        <v>669</v>
      </c>
      <c r="B5" s="189">
        <f>growing_levels_pilot</f>
        <v>1</v>
      </c>
    </row>
    <row r="6" spans="1:5" x14ac:dyDescent="0.15">
      <c r="A6" s="384" t="s">
        <v>670</v>
      </c>
      <c r="B6" s="190" t="str">
        <f>weight_unit</f>
        <v>kg</v>
      </c>
    </row>
    <row r="7" spans="1:5" x14ac:dyDescent="0.15">
      <c r="A7" s="383" t="s">
        <v>671</v>
      </c>
      <c r="B7" s="188">
        <f>growing_area_mulitplier</f>
        <v>2</v>
      </c>
    </row>
    <row r="8" spans="1:5" x14ac:dyDescent="0.15">
      <c r="A8" s="387" t="s">
        <v>672</v>
      </c>
      <c r="B8" s="188">
        <f>no_lights_pilot</f>
        <v>128</v>
      </c>
    </row>
    <row r="9" spans="1:5" x14ac:dyDescent="0.15">
      <c r="A9" s="385" t="s">
        <v>673</v>
      </c>
      <c r="B9" s="191">
        <f>packaging_cost_pilot</f>
        <v>1</v>
      </c>
    </row>
    <row r="10" spans="1:5" s="210" customFormat="1" x14ac:dyDescent="0.15">
      <c r="A10" s="385" t="s">
        <v>779</v>
      </c>
      <c r="B10" s="191">
        <f>packaging_cost_full</f>
        <v>0.85</v>
      </c>
    </row>
    <row r="11" spans="1:5" x14ac:dyDescent="0.15">
      <c r="A11" s="386" t="s">
        <v>674</v>
      </c>
      <c r="B11" s="192">
        <f>other_costs_pilot</f>
        <v>0.02</v>
      </c>
    </row>
    <row r="12" spans="1:5" ht="16" x14ac:dyDescent="0.2">
      <c r="A12" s="408" t="s">
        <v>675</v>
      </c>
      <c r="B12" s="189" t="str">
        <f>farm_type</f>
        <v>Basement</v>
      </c>
    </row>
    <row r="13" spans="1:5" ht="16" x14ac:dyDescent="0.2">
      <c r="A13" s="407" t="s">
        <v>676</v>
      </c>
      <c r="B13" s="189" t="str">
        <f>business_model</f>
        <v>Retail</v>
      </c>
    </row>
    <row r="14" spans="1:5" ht="16" x14ac:dyDescent="0.2">
      <c r="A14" s="407" t="s">
        <v>677</v>
      </c>
      <c r="B14" s="189" t="str">
        <f>grower_exp</f>
        <v>Medium</v>
      </c>
    </row>
    <row r="15" spans="1:5" ht="16" x14ac:dyDescent="0.2">
      <c r="A15" s="407" t="s">
        <v>678</v>
      </c>
      <c r="B15" s="189" t="str">
        <f>automation_level</f>
        <v>Low</v>
      </c>
    </row>
    <row r="16" spans="1:5" ht="16" x14ac:dyDescent="0.2">
      <c r="A16" s="407" t="s">
        <v>774</v>
      </c>
      <c r="B16" s="189" t="str">
        <f>climate_control</f>
        <v>Medium</v>
      </c>
    </row>
    <row r="17" spans="1:2" ht="16" x14ac:dyDescent="0.2">
      <c r="A17" s="407" t="s">
        <v>679</v>
      </c>
      <c r="B17" s="189" t="str">
        <f>lighting_control</f>
        <v>Medium</v>
      </c>
    </row>
    <row r="18" spans="1:2" ht="16" x14ac:dyDescent="0.2">
      <c r="A18" s="407" t="s">
        <v>680</v>
      </c>
      <c r="B18" s="189" t="str">
        <f>nutrient_control</f>
        <v>Medium</v>
      </c>
    </row>
    <row r="19" spans="1:2" ht="16" x14ac:dyDescent="0.2">
      <c r="A19" s="407" t="s">
        <v>681</v>
      </c>
      <c r="B19" s="189" t="str">
        <f>system_type</f>
        <v>ZipRack</v>
      </c>
    </row>
    <row r="20" spans="1:2" x14ac:dyDescent="0.15">
      <c r="A20" s="399" t="s">
        <v>682</v>
      </c>
      <c r="B20" s="193">
        <f>system_quantity</f>
        <v>8</v>
      </c>
    </row>
    <row r="21" spans="1:2" ht="16" x14ac:dyDescent="0.2">
      <c r="A21" s="407" t="s">
        <v>683</v>
      </c>
      <c r="B21" s="189" t="str">
        <f>light_system</f>
        <v>Intravision Spectra Blade Single Sided - J</v>
      </c>
    </row>
    <row r="22" spans="1:2" x14ac:dyDescent="0.15">
      <c r="A22" s="403" t="s">
        <v>684</v>
      </c>
      <c r="B22" s="194" t="str">
        <f>growing_media</f>
        <v>Rockwool</v>
      </c>
    </row>
    <row r="23" spans="1:2" ht="16" x14ac:dyDescent="0.2">
      <c r="A23" s="407" t="s">
        <v>685</v>
      </c>
      <c r="B23" s="189">
        <f>ceiling_height</f>
        <v>4</v>
      </c>
    </row>
    <row r="24" spans="1:2" ht="16" x14ac:dyDescent="0.2">
      <c r="A24" s="407" t="s">
        <v>800</v>
      </c>
      <c r="B24" s="189" t="str" cm="1">
        <f t="array" ref="B24">insulation_level</f>
        <v>High</v>
      </c>
    </row>
    <row r="25" spans="1:2" ht="16" x14ac:dyDescent="0.2">
      <c r="A25" s="407" t="s">
        <v>686</v>
      </c>
      <c r="B25" s="189" t="str">
        <f>roof_type</f>
        <v>Flat roof</v>
      </c>
    </row>
    <row r="26" spans="1:2" x14ac:dyDescent="0.15">
      <c r="A26" s="400" t="s">
        <v>687</v>
      </c>
      <c r="B26" s="192" t="str">
        <f>co2_enrichment</f>
        <v>No</v>
      </c>
    </row>
    <row r="27" spans="1:2" x14ac:dyDescent="0.15">
      <c r="A27" s="401" t="s">
        <v>688</v>
      </c>
      <c r="B27" s="195" t="str">
        <f>structure_type</f>
        <v>N/A</v>
      </c>
    </row>
    <row r="28" spans="1:2" x14ac:dyDescent="0.15">
      <c r="A28" s="393" t="s">
        <v>689</v>
      </c>
      <c r="B28" s="196">
        <f>water_price</f>
        <v>1.91E-3</v>
      </c>
    </row>
    <row r="29" spans="1:2" x14ac:dyDescent="0.15">
      <c r="A29" s="394" t="s">
        <v>690</v>
      </c>
      <c r="B29" s="197">
        <f>electricity_price</f>
        <v>7.3400000000000007E-2</v>
      </c>
    </row>
    <row r="30" spans="1:2" x14ac:dyDescent="0.15">
      <c r="A30" s="395" t="s">
        <v>691</v>
      </c>
      <c r="B30" s="198">
        <f>labour_improvement</f>
        <v>0.05</v>
      </c>
    </row>
    <row r="31" spans="1:2" x14ac:dyDescent="0.15">
      <c r="A31" s="396" t="s">
        <v>692</v>
      </c>
      <c r="B31" s="198">
        <f>percentage_renewable_energy</f>
        <v>0</v>
      </c>
    </row>
    <row r="32" spans="1:2" x14ac:dyDescent="0.15">
      <c r="A32" s="383" t="s">
        <v>693</v>
      </c>
      <c r="B32" s="188" t="str">
        <f>biosecurity_level</f>
        <v>Medium</v>
      </c>
    </row>
    <row r="33" spans="1:2" x14ac:dyDescent="0.15">
      <c r="A33" s="398" t="s">
        <v>694</v>
      </c>
      <c r="B33" s="199">
        <f>loan_amount</f>
        <v>158000</v>
      </c>
    </row>
    <row r="34" spans="1:2" x14ac:dyDescent="0.15">
      <c r="A34" s="396" t="s">
        <v>695</v>
      </c>
      <c r="B34" s="198">
        <f>tax_rate</f>
        <v>0</v>
      </c>
    </row>
    <row r="35" spans="1:2" x14ac:dyDescent="0.15">
      <c r="A35" s="396" t="s">
        <v>696</v>
      </c>
      <c r="B35" s="198">
        <f>loan_interest</f>
        <v>0.05</v>
      </c>
    </row>
    <row r="36" spans="1:2" x14ac:dyDescent="0.15">
      <c r="A36" s="383" t="s">
        <v>697</v>
      </c>
      <c r="B36" s="200">
        <f>loan_tenure</f>
        <v>7</v>
      </c>
    </row>
    <row r="37" spans="1:2" x14ac:dyDescent="0.15">
      <c r="A37" s="383" t="s">
        <v>698</v>
      </c>
      <c r="B37" s="200" t="str">
        <f>loan_type</f>
        <v>Standard</v>
      </c>
    </row>
    <row r="38" spans="1:2" x14ac:dyDescent="0.15">
      <c r="A38" s="383" t="s">
        <v>699</v>
      </c>
      <c r="B38" s="188" t="str">
        <f>crop_typ1</f>
        <v>Lettuce (Farm Urban Mix)</v>
      </c>
    </row>
    <row r="39" spans="1:2" x14ac:dyDescent="0.15">
      <c r="A39" s="396" t="s">
        <v>700</v>
      </c>
      <c r="B39" s="198">
        <f>crop1_percent</f>
        <v>0.9</v>
      </c>
    </row>
    <row r="40" spans="1:2" x14ac:dyDescent="0.15">
      <c r="A40" s="383" t="s">
        <v>701</v>
      </c>
      <c r="B40" s="194" t="str">
        <f>crop1_system</f>
        <v>Drip Tower</v>
      </c>
    </row>
    <row r="41" spans="1:2" x14ac:dyDescent="0.15">
      <c r="A41" s="383" t="s">
        <v>702</v>
      </c>
      <c r="B41" s="194">
        <f>crop1_harvest_weight</f>
        <v>0.1</v>
      </c>
    </row>
    <row r="42" spans="1:2" x14ac:dyDescent="0.15">
      <c r="A42" s="383" t="s">
        <v>703</v>
      </c>
      <c r="B42" s="194">
        <f>crop1_product_weight</f>
        <v>0.3</v>
      </c>
    </row>
    <row r="43" spans="1:2" x14ac:dyDescent="0.15">
      <c r="A43" s="404" t="s">
        <v>704</v>
      </c>
      <c r="B43" s="201">
        <f>crop1_customer_percent</f>
        <v>0.85</v>
      </c>
    </row>
    <row r="44" spans="1:2" x14ac:dyDescent="0.15">
      <c r="A44" s="405" t="s">
        <v>705</v>
      </c>
      <c r="B44" s="202">
        <f>crop1_price1</f>
        <v>7.5</v>
      </c>
    </row>
    <row r="45" spans="1:2" x14ac:dyDescent="0.15">
      <c r="A45" s="405" t="s">
        <v>706</v>
      </c>
      <c r="B45" s="202">
        <f>crop1_price2</f>
        <v>3</v>
      </c>
    </row>
    <row r="46" spans="1:2" x14ac:dyDescent="0.15">
      <c r="A46" s="383" t="s">
        <v>707</v>
      </c>
      <c r="B46" s="194" t="str">
        <f>crop_typ2</f>
        <v>None</v>
      </c>
    </row>
    <row r="47" spans="1:2" x14ac:dyDescent="0.15">
      <c r="A47" s="397" t="s">
        <v>708</v>
      </c>
      <c r="B47" s="203">
        <f>crop2_percent</f>
        <v>0</v>
      </c>
    </row>
    <row r="48" spans="1:2" x14ac:dyDescent="0.15">
      <c r="A48" s="383" t="s">
        <v>709</v>
      </c>
      <c r="B48" s="194" t="str">
        <f>crop2_system</f>
        <v>Drip Tower</v>
      </c>
    </row>
    <row r="49" spans="1:2" x14ac:dyDescent="0.15">
      <c r="A49" s="383" t="s">
        <v>710</v>
      </c>
      <c r="B49" s="194">
        <f>crop2_harvest_weight</f>
        <v>7.4999999999999997E-2</v>
      </c>
    </row>
    <row r="50" spans="1:2" x14ac:dyDescent="0.15">
      <c r="A50" s="383" t="s">
        <v>711</v>
      </c>
      <c r="B50" s="194">
        <f>crop2_product_weight</f>
        <v>7.4999999999999997E-2</v>
      </c>
    </row>
    <row r="51" spans="1:2" x14ac:dyDescent="0.15">
      <c r="A51" s="404" t="s">
        <v>712</v>
      </c>
      <c r="B51" s="201">
        <f>crop2_customer_percent</f>
        <v>1</v>
      </c>
    </row>
    <row r="52" spans="1:2" x14ac:dyDescent="0.15">
      <c r="A52" s="405" t="s">
        <v>713</v>
      </c>
      <c r="B52" s="202">
        <f>crop2_price1</f>
        <v>1.5</v>
      </c>
    </row>
    <row r="53" spans="1:2" x14ac:dyDescent="0.15">
      <c r="A53" s="405" t="s">
        <v>714</v>
      </c>
      <c r="B53" s="202">
        <f>crop2_price2</f>
        <v>0</v>
      </c>
    </row>
    <row r="54" spans="1:2" x14ac:dyDescent="0.15">
      <c r="A54" s="383" t="s">
        <v>715</v>
      </c>
      <c r="B54" s="194" t="str">
        <f>crop_typ3</f>
        <v>Basil - Genovese</v>
      </c>
    </row>
    <row r="55" spans="1:2" x14ac:dyDescent="0.15">
      <c r="A55" s="397" t="s">
        <v>716</v>
      </c>
      <c r="B55" s="203">
        <f>crop3_percent</f>
        <v>0.1</v>
      </c>
    </row>
    <row r="56" spans="1:2" x14ac:dyDescent="0.15">
      <c r="A56" s="383" t="s">
        <v>717</v>
      </c>
      <c r="B56" s="194" t="str">
        <f>crop3_system</f>
        <v>Drip Tower</v>
      </c>
    </row>
    <row r="57" spans="1:2" x14ac:dyDescent="0.15">
      <c r="A57" s="383" t="s">
        <v>718</v>
      </c>
      <c r="B57" s="194">
        <f>crop3_harvest_weight</f>
        <v>7.4999999999999997E-2</v>
      </c>
    </row>
    <row r="58" spans="1:2" x14ac:dyDescent="0.15">
      <c r="A58" s="383" t="s">
        <v>719</v>
      </c>
      <c r="B58" s="194">
        <f>crop3_product_weight</f>
        <v>7.4999999999999997E-2</v>
      </c>
    </row>
    <row r="59" spans="1:2" x14ac:dyDescent="0.15">
      <c r="A59" s="404" t="s">
        <v>720</v>
      </c>
      <c r="B59" s="201">
        <f>crop3_customer_percent</f>
        <v>1</v>
      </c>
    </row>
    <row r="60" spans="1:2" x14ac:dyDescent="0.15">
      <c r="A60" s="405" t="s">
        <v>721</v>
      </c>
      <c r="B60" s="202">
        <f>crop3_price1</f>
        <v>1.5</v>
      </c>
    </row>
    <row r="61" spans="1:2" x14ac:dyDescent="0.15">
      <c r="A61" s="405" t="s">
        <v>722</v>
      </c>
      <c r="B61" s="202">
        <f>crop3_price2</f>
        <v>0</v>
      </c>
    </row>
    <row r="62" spans="1:2" x14ac:dyDescent="0.15">
      <c r="A62" s="383" t="s">
        <v>723</v>
      </c>
      <c r="B62" s="194" t="str">
        <f>crop_typ4</f>
        <v>None</v>
      </c>
    </row>
    <row r="63" spans="1:2" x14ac:dyDescent="0.15">
      <c r="A63" s="396" t="s">
        <v>724</v>
      </c>
      <c r="B63" s="198">
        <f>crop4_percent</f>
        <v>0</v>
      </c>
    </row>
    <row r="64" spans="1:2" x14ac:dyDescent="0.15">
      <c r="A64" s="383" t="s">
        <v>725</v>
      </c>
      <c r="B64" s="194" t="str">
        <f>crop4_system</f>
        <v>Drip Tower</v>
      </c>
    </row>
    <row r="65" spans="1:2" x14ac:dyDescent="0.15">
      <c r="A65" s="383" t="s">
        <v>726</v>
      </c>
      <c r="B65" s="194">
        <f>crop4_harvest_weight</f>
        <v>0.5</v>
      </c>
    </row>
    <row r="66" spans="1:2" x14ac:dyDescent="0.15">
      <c r="A66" s="383" t="s">
        <v>727</v>
      </c>
      <c r="B66" s="194">
        <f>crop4_product_weight</f>
        <v>0.5</v>
      </c>
    </row>
    <row r="67" spans="1:2" x14ac:dyDescent="0.15">
      <c r="A67" s="391" t="s">
        <v>728</v>
      </c>
      <c r="B67" s="194">
        <f>crop4_customer_percent</f>
        <v>0</v>
      </c>
    </row>
    <row r="68" spans="1:2" x14ac:dyDescent="0.15">
      <c r="A68" s="405" t="s">
        <v>729</v>
      </c>
      <c r="B68" s="202">
        <f>crop4_price1</f>
        <v>7.5</v>
      </c>
    </row>
    <row r="69" spans="1:2" x14ac:dyDescent="0.15">
      <c r="A69" s="405" t="s">
        <v>730</v>
      </c>
      <c r="B69" s="202">
        <f>crop4_price2</f>
        <v>7.5</v>
      </c>
    </row>
    <row r="70" spans="1:2" x14ac:dyDescent="0.15">
      <c r="A70" s="391" t="s">
        <v>731</v>
      </c>
      <c r="B70" s="188">
        <f>vadded_products_multiplier</f>
        <v>1</v>
      </c>
    </row>
    <row r="71" spans="1:2" x14ac:dyDescent="0.15">
      <c r="A71" s="391" t="s">
        <v>732</v>
      </c>
      <c r="B71" s="188">
        <f>education_multiplier</f>
        <v>1.1499999999999999</v>
      </c>
    </row>
    <row r="72" spans="1:2" x14ac:dyDescent="0.15">
      <c r="A72" s="391" t="s">
        <v>733</v>
      </c>
      <c r="B72" s="188">
        <f>tourism_multiplier</f>
        <v>1.1499999999999999</v>
      </c>
    </row>
    <row r="73" spans="1:2" x14ac:dyDescent="0.15">
      <c r="A73" s="391" t="s">
        <v>734</v>
      </c>
      <c r="B73" s="188">
        <f>hospitality_multiplier</f>
        <v>1</v>
      </c>
    </row>
    <row r="74" spans="1:2" x14ac:dyDescent="0.15">
      <c r="A74" s="392" t="s">
        <v>735</v>
      </c>
      <c r="B74" s="204">
        <f>vadded_avg_revenue_y1</f>
        <v>0</v>
      </c>
    </row>
    <row r="75" spans="1:2" x14ac:dyDescent="0.15">
      <c r="A75" s="392" t="s">
        <v>736</v>
      </c>
      <c r="B75" s="204">
        <f>education_avg_revenue_y1</f>
        <v>0</v>
      </c>
    </row>
    <row r="76" spans="1:2" x14ac:dyDescent="0.15">
      <c r="A76" s="392" t="s">
        <v>737</v>
      </c>
      <c r="B76" s="204">
        <f>tourism_avg_revenue_y1</f>
        <v>0</v>
      </c>
    </row>
    <row r="77" spans="1:2" x14ac:dyDescent="0.15">
      <c r="A77" s="392" t="s">
        <v>738</v>
      </c>
      <c r="B77" s="204">
        <f>hospitality_avg_revenue_y1</f>
        <v>0</v>
      </c>
    </row>
    <row r="78" spans="1:2" x14ac:dyDescent="0.15">
      <c r="A78" s="392" t="s">
        <v>739</v>
      </c>
      <c r="B78" s="205">
        <f>monthly_rent_y1</f>
        <v>0</v>
      </c>
    </row>
    <row r="79" spans="1:2" x14ac:dyDescent="0.15">
      <c r="A79" s="406" t="s">
        <v>740</v>
      </c>
      <c r="B79" s="206">
        <f>monthly_distribution_y1</f>
        <v>2501.6221401961598</v>
      </c>
    </row>
    <row r="80" spans="1:2" x14ac:dyDescent="0.15">
      <c r="A80" s="391" t="s">
        <v>741</v>
      </c>
      <c r="B80" s="194">
        <f>monthly_rent_y2</f>
        <v>0</v>
      </c>
    </row>
    <row r="81" spans="1:2" x14ac:dyDescent="0.15">
      <c r="A81" s="391" t="s">
        <v>742</v>
      </c>
      <c r="B81" s="194">
        <f>monthly_distribution_y2</f>
        <v>3368.0768992847525</v>
      </c>
    </row>
    <row r="82" spans="1:2" x14ac:dyDescent="0.15">
      <c r="A82" s="409" t="s">
        <v>743</v>
      </c>
      <c r="B82" s="204">
        <f>delivery_msalary</f>
        <v>1500</v>
      </c>
    </row>
    <row r="83" spans="1:2" x14ac:dyDescent="0.15">
      <c r="A83" s="409" t="s">
        <v>744</v>
      </c>
      <c r="B83" s="204">
        <f>farmhand_msalary</f>
        <v>1500</v>
      </c>
    </row>
    <row r="84" spans="1:2" x14ac:dyDescent="0.15">
      <c r="A84" s="409" t="s">
        <v>745</v>
      </c>
      <c r="B84" s="204">
        <f>parttime_wage</f>
        <v>9.5</v>
      </c>
    </row>
    <row r="85" spans="1:2" x14ac:dyDescent="0.15">
      <c r="A85" s="409" t="s">
        <v>746</v>
      </c>
      <c r="B85" s="204">
        <f>ceo_msalary</f>
        <v>2025</v>
      </c>
    </row>
    <row r="86" spans="1:2" x14ac:dyDescent="0.15">
      <c r="A86" s="409" t="s">
        <v>747</v>
      </c>
      <c r="B86" s="204">
        <f>hgrower_msalary</f>
        <v>1560</v>
      </c>
    </row>
    <row r="87" spans="1:2" x14ac:dyDescent="0.15">
      <c r="A87" s="409" t="s">
        <v>748</v>
      </c>
      <c r="B87" s="204">
        <f>marketer_msalary</f>
        <v>1518</v>
      </c>
    </row>
    <row r="88" spans="1:2" x14ac:dyDescent="0.15">
      <c r="A88" s="409" t="s">
        <v>749</v>
      </c>
      <c r="B88" s="204">
        <f>scientist_msalary</f>
        <v>3000</v>
      </c>
    </row>
    <row r="89" spans="1:2" x14ac:dyDescent="0.15">
      <c r="A89" s="409" t="s">
        <v>750</v>
      </c>
      <c r="B89" s="204">
        <f>salesperson_msalary</f>
        <v>1560</v>
      </c>
    </row>
    <row r="90" spans="1:2" x14ac:dyDescent="0.15">
      <c r="A90" s="409" t="s">
        <v>751</v>
      </c>
      <c r="B90" s="204">
        <f>manager_msalary</f>
        <v>2025</v>
      </c>
    </row>
    <row r="91" spans="1:2" x14ac:dyDescent="0.15">
      <c r="A91" s="409" t="s">
        <v>752</v>
      </c>
      <c r="B91" s="204">
        <f>admin_msalary</f>
        <v>624</v>
      </c>
    </row>
    <row r="92" spans="1:2" x14ac:dyDescent="0.15">
      <c r="A92" s="383" t="s">
        <v>753</v>
      </c>
      <c r="B92" s="188">
        <f>ceo_count_y1</f>
        <v>0</v>
      </c>
    </row>
    <row r="93" spans="1:2" x14ac:dyDescent="0.15">
      <c r="A93" s="383" t="s">
        <v>754</v>
      </c>
      <c r="B93" s="188">
        <f>hgrower_count_y1</f>
        <v>0</v>
      </c>
    </row>
    <row r="94" spans="1:2" x14ac:dyDescent="0.15">
      <c r="A94" s="383" t="s">
        <v>755</v>
      </c>
      <c r="B94" s="188">
        <f>marketer_count_y1</f>
        <v>0.5</v>
      </c>
    </row>
    <row r="95" spans="1:2" x14ac:dyDescent="0.15">
      <c r="A95" s="383" t="s">
        <v>756</v>
      </c>
      <c r="B95" s="188">
        <f>scientist_count_y1</f>
        <v>0</v>
      </c>
    </row>
    <row r="96" spans="1:2" x14ac:dyDescent="0.15">
      <c r="A96" s="383" t="s">
        <v>757</v>
      </c>
      <c r="B96" s="188">
        <f>salesperson_count_y1</f>
        <v>0</v>
      </c>
    </row>
    <row r="97" spans="1:2" x14ac:dyDescent="0.15">
      <c r="A97" s="383" t="s">
        <v>758</v>
      </c>
      <c r="B97" s="188">
        <f>manager_count_y1</f>
        <v>1</v>
      </c>
    </row>
    <row r="98" spans="1:2" x14ac:dyDescent="0.15">
      <c r="A98" s="383" t="s">
        <v>759</v>
      </c>
      <c r="B98" s="188">
        <f>delivery_count_y1</f>
        <v>0</v>
      </c>
    </row>
    <row r="99" spans="1:2" x14ac:dyDescent="0.15">
      <c r="A99" s="383" t="s">
        <v>760</v>
      </c>
      <c r="B99" s="188">
        <f>farmhand_count_y1</f>
        <v>0</v>
      </c>
    </row>
    <row r="100" spans="1:2" x14ac:dyDescent="0.15">
      <c r="A100" s="383" t="s">
        <v>761</v>
      </c>
      <c r="B100" s="188">
        <f>admin_count_y1</f>
        <v>0</v>
      </c>
    </row>
    <row r="101" spans="1:2" x14ac:dyDescent="0.15">
      <c r="A101" s="391" t="s">
        <v>762</v>
      </c>
      <c r="B101" s="188">
        <f>parttime_count_y1</f>
        <v>173.32</v>
      </c>
    </row>
    <row r="102" spans="1:2" x14ac:dyDescent="0.15">
      <c r="A102" s="383" t="s">
        <v>763</v>
      </c>
      <c r="B102" s="188">
        <f>ceo_count_y2</f>
        <v>0</v>
      </c>
    </row>
    <row r="103" spans="1:2" x14ac:dyDescent="0.15">
      <c r="A103" s="383" t="s">
        <v>764</v>
      </c>
      <c r="B103" s="188">
        <f>hgrower_count_y2</f>
        <v>1</v>
      </c>
    </row>
    <row r="104" spans="1:2" x14ac:dyDescent="0.15">
      <c r="A104" s="383" t="s">
        <v>765</v>
      </c>
      <c r="B104" s="188">
        <f>marketer_count_y2</f>
        <v>1</v>
      </c>
    </row>
    <row r="105" spans="1:2" x14ac:dyDescent="0.15">
      <c r="A105" s="383" t="s">
        <v>766</v>
      </c>
      <c r="B105" s="188">
        <f>scientist_count_y2</f>
        <v>0.25</v>
      </c>
    </row>
    <row r="106" spans="1:2" x14ac:dyDescent="0.15">
      <c r="A106" s="383" t="s">
        <v>767</v>
      </c>
      <c r="B106" s="188">
        <f>salesperson_count_y2</f>
        <v>0</v>
      </c>
    </row>
    <row r="107" spans="1:2" x14ac:dyDescent="0.15">
      <c r="A107" s="383" t="s">
        <v>768</v>
      </c>
      <c r="B107" s="188">
        <f>manager_count_y2</f>
        <v>1</v>
      </c>
    </row>
    <row r="108" spans="1:2" x14ac:dyDescent="0.15">
      <c r="A108" s="383" t="s">
        <v>769</v>
      </c>
      <c r="B108" s="188">
        <f>delivery_count_y2</f>
        <v>0</v>
      </c>
    </row>
    <row r="109" spans="1:2" x14ac:dyDescent="0.15">
      <c r="A109" s="383" t="s">
        <v>770</v>
      </c>
      <c r="B109" s="188">
        <f>farmhand_count_y2</f>
        <v>0</v>
      </c>
    </row>
    <row r="110" spans="1:2" x14ac:dyDescent="0.15">
      <c r="A110" s="383" t="s">
        <v>771</v>
      </c>
      <c r="B110" s="188">
        <f>admin_count_y2</f>
        <v>0</v>
      </c>
    </row>
    <row r="111" spans="1:2" x14ac:dyDescent="0.15">
      <c r="A111" s="391" t="s">
        <v>772</v>
      </c>
      <c r="B111" s="188">
        <f>parttime_count_y2</f>
        <v>260</v>
      </c>
    </row>
    <row r="112" spans="1:2" x14ac:dyDescent="0.15">
      <c r="A112" s="389" t="s">
        <v>777</v>
      </c>
      <c r="B112">
        <f>Overview!F101</f>
        <v>129.25</v>
      </c>
    </row>
    <row r="113" spans="1:2" x14ac:dyDescent="0.15">
      <c r="A113" s="389" t="s">
        <v>778</v>
      </c>
      <c r="B113" s="102">
        <f>Overview!G101</f>
        <v>129.25</v>
      </c>
    </row>
    <row r="114" spans="1:2" x14ac:dyDescent="0.15">
      <c r="A114" s="389" t="s">
        <v>780</v>
      </c>
      <c r="B114" s="212">
        <f>'CapEx Breakdown'!C38</f>
        <v>78204</v>
      </c>
    </row>
    <row r="115" spans="1:2" x14ac:dyDescent="0.15">
      <c r="A115" s="389" t="s">
        <v>784</v>
      </c>
      <c r="B115" s="212">
        <f>'CapEx Breakdown'!E38</f>
        <v>179633</v>
      </c>
    </row>
    <row r="116" spans="1:2" x14ac:dyDescent="0.15">
      <c r="A116" s="389" t="s">
        <v>781</v>
      </c>
      <c r="B116" s="86">
        <f>'CapEx Breakdown'!D25+'CapEx Breakdown'!C25</f>
        <v>120165</v>
      </c>
    </row>
    <row r="117" spans="1:2" x14ac:dyDescent="0.15">
      <c r="A117" s="389" t="s">
        <v>782</v>
      </c>
      <c r="B117" s="86">
        <f>('CapEx Breakdown'!D35+'CapEx Breakdown'!C35)-('CapEx Breakdown'!C25+'CapEx Breakdown'!D25)</f>
        <v>34319</v>
      </c>
    </row>
    <row r="118" spans="1:2" x14ac:dyDescent="0.15">
      <c r="A118" s="389" t="s">
        <v>783</v>
      </c>
      <c r="B118" s="86">
        <f>'CapEx Breakdown'!D16+'CapEx Breakdown'!D17+'CapEx Breakdown'!D18+'CapEx Breakdown'!C18+'CapEx Breakdown'!C17+'CapEx Breakdown'!C16</f>
        <v>8100</v>
      </c>
    </row>
    <row r="119" spans="1:2" x14ac:dyDescent="0.15">
      <c r="A119" s="388" t="s">
        <v>785</v>
      </c>
      <c r="B119">
        <f>target_productivity_space</f>
        <v>90</v>
      </c>
    </row>
    <row r="120" spans="1:2" x14ac:dyDescent="0.15">
      <c r="A120" s="388" t="s">
        <v>786</v>
      </c>
      <c r="B120">
        <f>target_productivity_energy</f>
        <v>7.0000000000000007E-2</v>
      </c>
    </row>
    <row r="121" spans="1:2" x14ac:dyDescent="0.15">
      <c r="A121" s="388" t="s">
        <v>787</v>
      </c>
      <c r="B121">
        <f>target_productivity_labour</f>
        <v>6</v>
      </c>
    </row>
    <row r="122" spans="1:2" x14ac:dyDescent="0.15">
      <c r="A122" s="388" t="s">
        <v>788</v>
      </c>
      <c r="B122">
        <f>target_productivity_water</f>
        <v>0.5</v>
      </c>
    </row>
    <row r="123" spans="1:2" x14ac:dyDescent="0.15">
      <c r="A123" s="388" t="s">
        <v>789</v>
      </c>
      <c r="B123">
        <f>target_productivity_nutrients</f>
        <v>500</v>
      </c>
    </row>
    <row r="124" spans="1:2" x14ac:dyDescent="0.15">
      <c r="A124" s="388" t="s">
        <v>790</v>
      </c>
      <c r="B124">
        <f>target_productivity_volume</f>
        <v>130</v>
      </c>
    </row>
    <row r="125" spans="1:2" x14ac:dyDescent="0.15">
      <c r="A125" s="388" t="s">
        <v>792</v>
      </c>
      <c r="B125">
        <f>target_productivity_plants</f>
        <v>800</v>
      </c>
    </row>
    <row r="126" spans="1:2" x14ac:dyDescent="0.15">
      <c r="A126" s="388" t="s">
        <v>793</v>
      </c>
      <c r="B126">
        <f>target_productivity_CO2</f>
        <v>500</v>
      </c>
    </row>
    <row r="127" spans="1:2" x14ac:dyDescent="0.15">
      <c r="A127" s="388" t="s">
        <v>794</v>
      </c>
      <c r="B127">
        <f>target_productivity_CO2_omitted</f>
        <v>50000</v>
      </c>
    </row>
    <row r="128" spans="1:2" x14ac:dyDescent="0.15">
      <c r="A128" s="388" t="s">
        <v>791</v>
      </c>
      <c r="B128">
        <f>target_productivity_CO2_net</f>
        <v>-1000</v>
      </c>
    </row>
    <row r="129" spans="1:2" x14ac:dyDescent="0.15">
      <c r="A129" s="388" t="s">
        <v>797</v>
      </c>
      <c r="B129" t="str">
        <f>ipm</f>
        <v>No</v>
      </c>
    </row>
    <row r="130" spans="1:2" x14ac:dyDescent="0.15">
      <c r="A130" s="388" t="s">
        <v>798</v>
      </c>
      <c r="B130" t="str">
        <f>pest_detection</f>
        <v>No</v>
      </c>
    </row>
    <row r="131" spans="1:2" x14ac:dyDescent="0.15">
      <c r="A131" s="388" t="s">
        <v>799</v>
      </c>
      <c r="B131" t="s">
        <v>497</v>
      </c>
    </row>
    <row r="132" spans="1:2" x14ac:dyDescent="0.15">
      <c r="A132" s="388" t="s">
        <v>805</v>
      </c>
      <c r="B132" s="322" t="str">
        <f>Overview!B12</f>
        <v>GBP</v>
      </c>
    </row>
    <row r="133" spans="1:2" x14ac:dyDescent="0.15">
      <c r="A133" s="388" t="s">
        <v>881</v>
      </c>
      <c r="B133" s="85">
        <f>percent_production_area_full</f>
        <v>0.45</v>
      </c>
    </row>
    <row r="134" spans="1:2" x14ac:dyDescent="0.15">
      <c r="A134" s="388" t="s">
        <v>948</v>
      </c>
      <c r="B134" t="str">
        <f>energy_type</f>
        <v>Average UK energy mix</v>
      </c>
    </row>
    <row r="135" spans="1:2" x14ac:dyDescent="0.15">
      <c r="A135" s="390" t="s">
        <v>966</v>
      </c>
      <c r="B135">
        <f>Overview!B62</f>
        <v>89000</v>
      </c>
    </row>
    <row r="136" spans="1:2" x14ac:dyDescent="0.15">
      <c r="A136" s="390" t="s">
        <v>960</v>
      </c>
      <c r="B136">
        <f>grant_revenue_y1</f>
        <v>128000</v>
      </c>
    </row>
    <row r="137" spans="1:2" x14ac:dyDescent="0.15">
      <c r="A137" s="390" t="s">
        <v>961</v>
      </c>
      <c r="B137">
        <f>grant_revenue_y2</f>
        <v>50000</v>
      </c>
    </row>
    <row r="138" spans="1:2" x14ac:dyDescent="0.15">
      <c r="A138" s="390" t="s">
        <v>962</v>
      </c>
      <c r="B138">
        <f>grant_revenue_y3</f>
        <v>0</v>
      </c>
    </row>
    <row r="139" spans="1:2" x14ac:dyDescent="0.15">
      <c r="A139" s="390" t="s">
        <v>963</v>
      </c>
      <c r="B139">
        <f>grant_revenue_y4</f>
        <v>0</v>
      </c>
    </row>
    <row r="140" spans="1:2" x14ac:dyDescent="0.15">
      <c r="A140" s="390" t="s">
        <v>964</v>
      </c>
      <c r="B140">
        <f>grant_revenue_y5</f>
        <v>0</v>
      </c>
    </row>
    <row r="141" spans="1:2" x14ac:dyDescent="0.15">
      <c r="A141" s="390" t="s">
        <v>965</v>
      </c>
      <c r="B141">
        <f>grant_revenue_y6</f>
        <v>0</v>
      </c>
    </row>
    <row r="142" spans="1:2" x14ac:dyDescent="0.15">
      <c r="A142" s="390" t="s">
        <v>967</v>
      </c>
      <c r="B142">
        <f>grant_revenue_y7</f>
        <v>0</v>
      </c>
    </row>
    <row r="143" spans="1:2" x14ac:dyDescent="0.15">
      <c r="A143" s="390" t="s">
        <v>968</v>
      </c>
      <c r="B143">
        <f>grant_revenue_y8</f>
        <v>0</v>
      </c>
    </row>
    <row r="144" spans="1:2" x14ac:dyDescent="0.15">
      <c r="A144" s="390" t="s">
        <v>969</v>
      </c>
      <c r="B144">
        <f>grant_revenue_y9</f>
        <v>0</v>
      </c>
    </row>
    <row r="145" spans="1:2" x14ac:dyDescent="0.15">
      <c r="A145" s="390" t="s">
        <v>970</v>
      </c>
      <c r="B145">
        <f>grant_revenue_y10</f>
        <v>0</v>
      </c>
    </row>
    <row r="146" spans="1:2" x14ac:dyDescent="0.15">
      <c r="A146" s="390" t="s">
        <v>971</v>
      </c>
      <c r="B146">
        <f>grant_revenue_y11</f>
        <v>0</v>
      </c>
    </row>
    <row r="147" spans="1:2" x14ac:dyDescent="0.15">
      <c r="A147" s="390" t="s">
        <v>1055</v>
      </c>
      <c r="B147">
        <f>daily_energy_consumption</f>
        <v>102.652383</v>
      </c>
    </row>
    <row r="148" spans="1:2" x14ac:dyDescent="0.15">
      <c r="A148" s="390" t="s">
        <v>1056</v>
      </c>
      <c r="B148">
        <f>other_costs_full</f>
        <v>0.02</v>
      </c>
    </row>
  </sheetData>
  <phoneticPr fontId="33" type="noConversion"/>
  <conditionalFormatting sqref="A5:B5">
    <cfRule type="cellIs" dxfId="36" priority="1" operator="greaterThan">
      <formula>$B$40*2.5</formula>
    </cfRule>
  </conditionalFormatting>
  <dataValidations count="1">
    <dataValidation type="whole" allowBlank="1" showInputMessage="1" showErrorMessage="1" sqref="B5" xr:uid="{44B1B69A-62D5-7145-8CA0-127AD103BB81}">
      <formula1>0</formula1>
      <formula2>30</formula2>
    </dataValidation>
  </dataValidations>
  <pageMargins left="0.7" right="0.7" top="0.75" bottom="0.75" header="0.3" footer="0.3"/>
  <pageSetup paperSize="9" orientation="portrait" horizontalDpi="0" verticalDpi="0"/>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9"/>
  <sheetViews>
    <sheetView topLeftCell="A4" zoomScale="140" zoomScaleNormal="140" workbookViewId="0">
      <selection activeCell="B28" sqref="B28"/>
    </sheetView>
  </sheetViews>
  <sheetFormatPr baseColWidth="10" defaultColWidth="14.5" defaultRowHeight="15.75" customHeight="1" x14ac:dyDescent="0.15"/>
  <cols>
    <col min="1" max="1" width="4.5" customWidth="1"/>
    <col min="2" max="2" width="33.83203125" customWidth="1"/>
    <col min="3" max="3" width="23.6640625" customWidth="1"/>
    <col min="4" max="4" width="17.83203125" customWidth="1"/>
    <col min="5" max="5" width="16.83203125" customWidth="1"/>
  </cols>
  <sheetData>
    <row r="1" spans="1:27" s="26" customFormat="1" ht="15.75" customHeight="1" x14ac:dyDescent="0.15">
      <c r="A1" s="62"/>
      <c r="B1" s="63" t="s">
        <v>194</v>
      </c>
      <c r="C1" s="62"/>
      <c r="D1" s="62"/>
      <c r="E1" s="62"/>
      <c r="F1" s="62"/>
      <c r="G1" s="62"/>
      <c r="H1" s="62"/>
      <c r="I1" s="62"/>
      <c r="J1" s="62"/>
      <c r="K1" s="62"/>
      <c r="L1" s="62"/>
      <c r="M1" s="62"/>
      <c r="N1" s="62"/>
      <c r="O1" s="62"/>
      <c r="P1" s="62"/>
    </row>
    <row r="2" spans="1:27" ht="15.75" customHeight="1" x14ac:dyDescent="0.15">
      <c r="A2" s="1"/>
      <c r="B2" s="1"/>
      <c r="C2" s="1"/>
      <c r="D2" s="1"/>
      <c r="E2" s="1"/>
      <c r="F2" s="1"/>
      <c r="G2" s="1"/>
      <c r="H2" s="1"/>
      <c r="I2" s="1"/>
      <c r="J2" s="1"/>
      <c r="K2" s="1"/>
      <c r="L2" s="1"/>
      <c r="M2" s="1"/>
      <c r="N2" s="1"/>
      <c r="O2" s="1"/>
      <c r="P2" s="1"/>
      <c r="Q2" s="1"/>
      <c r="R2" s="1"/>
      <c r="S2" s="1"/>
      <c r="T2" s="1"/>
      <c r="U2" s="1"/>
      <c r="V2" s="1"/>
      <c r="W2" s="1"/>
      <c r="X2" s="1"/>
      <c r="Y2" s="1"/>
      <c r="Z2" s="1"/>
      <c r="AA2" s="1"/>
    </row>
    <row r="3" spans="1:27" ht="15.75" customHeight="1" x14ac:dyDescent="0.15">
      <c r="A3" s="1"/>
      <c r="B3" s="3" t="s">
        <v>1</v>
      </c>
      <c r="C3" s="110" t="s">
        <v>3</v>
      </c>
      <c r="D3" s="39">
        <f>SUM('CapEx Breakdown'!C21:D21)</f>
        <v>25149</v>
      </c>
      <c r="E3" s="6" t="s">
        <v>30</v>
      </c>
      <c r="F3" s="39">
        <f>SUM('CapEx Breakdown'!C35:D35)</f>
        <v>154484</v>
      </c>
      <c r="G3" s="6" t="s">
        <v>31</v>
      </c>
      <c r="H3" s="40">
        <f>D3+F3</f>
        <v>179633</v>
      </c>
      <c r="I3" s="7"/>
      <c r="J3" s="1"/>
      <c r="K3" s="1"/>
      <c r="L3" s="1"/>
      <c r="M3" s="1"/>
      <c r="N3" s="1"/>
      <c r="O3" s="1"/>
      <c r="P3" s="1"/>
      <c r="Q3" s="1"/>
      <c r="R3" s="1"/>
      <c r="S3" s="1"/>
      <c r="T3" s="1"/>
      <c r="U3" s="1"/>
      <c r="V3" s="1"/>
      <c r="W3" s="1"/>
      <c r="X3" s="1"/>
      <c r="Y3" s="1"/>
      <c r="Z3" s="1"/>
      <c r="AA3" s="1"/>
    </row>
    <row r="4" spans="1:27" s="370" customFormat="1" ht="15.75" customHeight="1" x14ac:dyDescent="0.15">
      <c r="A4" s="1"/>
      <c r="B4" s="110" t="s">
        <v>1053</v>
      </c>
      <c r="C4" s="377">
        <f>Overview!B62+loan_amount</f>
        <v>247000</v>
      </c>
      <c r="D4" s="39"/>
      <c r="E4" s="6"/>
      <c r="F4" s="39"/>
      <c r="G4" s="6"/>
      <c r="H4" s="40"/>
      <c r="I4" s="7"/>
      <c r="J4" s="1"/>
      <c r="K4" s="1"/>
      <c r="L4" s="1"/>
      <c r="M4" s="1"/>
      <c r="N4" s="1"/>
      <c r="O4" s="1"/>
      <c r="P4" s="1"/>
      <c r="Q4" s="1"/>
      <c r="R4" s="1"/>
      <c r="S4" s="1"/>
      <c r="T4" s="1"/>
      <c r="U4" s="1"/>
      <c r="V4" s="1"/>
      <c r="W4" s="1"/>
      <c r="X4" s="1"/>
      <c r="Y4" s="1"/>
      <c r="Z4" s="1"/>
      <c r="AA4" s="1"/>
    </row>
    <row r="5" spans="1:27" ht="15.75" customHeight="1" x14ac:dyDescent="0.15">
      <c r="A5" s="1"/>
      <c r="B5" s="1"/>
      <c r="C5" s="1"/>
      <c r="D5" s="1"/>
      <c r="E5" s="1"/>
      <c r="F5" s="1"/>
      <c r="G5" s="1"/>
      <c r="H5" s="1"/>
      <c r="I5" s="1"/>
      <c r="J5" s="1"/>
      <c r="K5" s="1"/>
      <c r="L5" s="1"/>
      <c r="M5" s="1"/>
      <c r="N5" s="1"/>
      <c r="O5" s="1"/>
      <c r="P5" s="1"/>
      <c r="Q5" s="1"/>
      <c r="R5" s="1"/>
      <c r="S5" s="1"/>
      <c r="T5" s="1"/>
      <c r="U5" s="1"/>
      <c r="V5" s="1"/>
      <c r="W5" s="1"/>
      <c r="X5" s="1"/>
      <c r="Y5" s="1"/>
      <c r="Z5" s="1"/>
      <c r="AA5" s="1"/>
    </row>
    <row r="6" spans="1:27" ht="15.75" customHeight="1" x14ac:dyDescent="0.15">
      <c r="A6" s="1"/>
      <c r="B6" s="1"/>
      <c r="C6" s="8" t="s">
        <v>32</v>
      </c>
      <c r="D6" s="8" t="s">
        <v>33</v>
      </c>
      <c r="E6" s="8" t="s">
        <v>34</v>
      </c>
      <c r="F6" s="9" t="s">
        <v>35</v>
      </c>
      <c r="G6" s="5" t="s">
        <v>132</v>
      </c>
      <c r="H6" s="43" t="s">
        <v>133</v>
      </c>
      <c r="I6" s="43" t="s">
        <v>134</v>
      </c>
      <c r="J6" s="43" t="s">
        <v>135</v>
      </c>
      <c r="K6" s="43" t="s">
        <v>136</v>
      </c>
      <c r="L6" s="43" t="s">
        <v>137</v>
      </c>
      <c r="M6" s="43" t="s">
        <v>138</v>
      </c>
      <c r="N6" s="43" t="s">
        <v>139</v>
      </c>
      <c r="O6" s="43" t="s">
        <v>140</v>
      </c>
      <c r="P6" s="43" t="s">
        <v>141</v>
      </c>
      <c r="Q6" s="43" t="s">
        <v>142</v>
      </c>
      <c r="R6" s="43" t="s">
        <v>143</v>
      </c>
      <c r="S6" s="1"/>
      <c r="T6" s="1"/>
      <c r="U6" s="1"/>
      <c r="V6" s="1"/>
      <c r="W6" s="1"/>
      <c r="X6" s="1"/>
      <c r="Y6" s="1"/>
      <c r="Z6" s="1"/>
      <c r="AA6" s="1"/>
    </row>
    <row r="7" spans="1:27" s="370" customFormat="1" ht="15.75" customHeight="1" x14ac:dyDescent="0.15">
      <c r="A7" s="1"/>
      <c r="B7" s="1" t="s">
        <v>956</v>
      </c>
      <c r="C7" s="9"/>
      <c r="D7" s="40">
        <f ca="1">grant_revenue_y1+C4-'CapEx Breakdown'!C38+D20</f>
        <v>238678.80893512315</v>
      </c>
      <c r="E7" s="375">
        <f ca="1">D7+E20-'CapEx Breakdown'!D38+grant_revenue_y2</f>
        <v>136335.83647528873</v>
      </c>
      <c r="F7" s="375">
        <f ca="1">E7+F20+grant_revenue_y3</f>
        <v>88431.28572575518</v>
      </c>
      <c r="G7" s="375">
        <f ca="1">F7+G20+grant_revenue_y4</f>
        <v>43032.469330500397</v>
      </c>
      <c r="H7" s="375">
        <f ca="1">G7+H20+grant_revenue_y5</f>
        <v>-16.925181680024252</v>
      </c>
      <c r="I7" s="375">
        <f ca="1">H7+I20+grant_revenue_y6</f>
        <v>-40869.690531990571</v>
      </c>
      <c r="J7" s="375">
        <f ca="1">I7+J20+grant_revenue_y7</f>
        <v>-79656.182907756855</v>
      </c>
      <c r="K7" s="375">
        <f ca="1">J7+K20+grant_revenue_y8</f>
        <v>-89398.524706911558</v>
      </c>
      <c r="L7" s="375">
        <f ca="1">K7+L20+grant_revenue_y9</f>
        <v>-97497.769954175921</v>
      </c>
      <c r="M7" s="375">
        <f ca="1">L7+M20+grant_revenue_y10</f>
        <v>-104037.02811571345</v>
      </c>
      <c r="N7" s="375">
        <f ca="1">M7+N20+grant_revenue_y11</f>
        <v>-109106.23152792218</v>
      </c>
      <c r="O7" s="375">
        <f ca="1">N7+O20+grant_revenue_y12</f>
        <v>-112783.17880182879</v>
      </c>
      <c r="P7" s="375">
        <f ca="1">O7+P20+grant_revenue_y13</f>
        <v>-115133.6641900726</v>
      </c>
      <c r="Q7" s="375">
        <f ca="1">P7+Q20+grant_revenue_y14</f>
        <v>-116230.69325691933</v>
      </c>
      <c r="R7" s="375">
        <f ca="1">Q7+R20+grant_revenue_y15</f>
        <v>-116145.05324627485</v>
      </c>
      <c r="S7" s="1"/>
      <c r="T7" s="1"/>
      <c r="U7" s="1"/>
      <c r="V7" s="1"/>
      <c r="W7" s="1"/>
      <c r="X7" s="1"/>
      <c r="Y7" s="1"/>
      <c r="Z7" s="1"/>
      <c r="AA7" s="1"/>
    </row>
    <row r="8" spans="1:27" ht="15.75" customHeight="1" x14ac:dyDescent="0.15">
      <c r="A8" s="10"/>
      <c r="B8" s="11" t="s">
        <v>36</v>
      </c>
      <c r="C8" s="40">
        <f>Overview!F84</f>
        <v>8666.0769801770366</v>
      </c>
      <c r="D8" s="40">
        <f>Overview!H84</f>
        <v>103992.92376212442</v>
      </c>
      <c r="E8" s="40">
        <f>Overview!I84</f>
        <v>210017.42744299531</v>
      </c>
      <c r="F8" s="40">
        <f>Overview!J84</f>
        <v>211843.56669580107</v>
      </c>
      <c r="G8" s="40">
        <f>Overview!K84</f>
        <v>213156.10428375524</v>
      </c>
      <c r="H8" s="40">
        <f>Overview!L84</f>
        <v>214365.92153873909</v>
      </c>
      <c r="I8" s="40">
        <f>Overview!M84</f>
        <v>215473.01846075256</v>
      </c>
      <c r="J8" s="40">
        <f>Overview!N84</f>
        <v>216500.22179045583</v>
      </c>
      <c r="K8" s="40">
        <f>Overview!O84</f>
        <v>217207.85075091809</v>
      </c>
      <c r="L8" s="40">
        <f>Overview!P84</f>
        <v>217869.82623006019</v>
      </c>
      <c r="M8" s="40">
        <f>Overview!Q84</f>
        <v>218497.56159821217</v>
      </c>
      <c r="N8" s="40">
        <f>Overview!R84</f>
        <v>219079.64348504401</v>
      </c>
      <c r="O8" s="40">
        <f>Overview!S84</f>
        <v>219627.48526088573</v>
      </c>
      <c r="P8" s="40">
        <f>Overview!T84</f>
        <v>220152.50029606742</v>
      </c>
      <c r="Q8" s="40">
        <f>Overview!U84</f>
        <v>220643.27522025895</v>
      </c>
      <c r="R8" s="40">
        <f>Overview!V84</f>
        <v>221099.81003346038</v>
      </c>
      <c r="S8" s="1"/>
      <c r="T8" s="1"/>
      <c r="U8" s="1"/>
      <c r="V8" s="1"/>
      <c r="W8" s="1"/>
      <c r="X8" s="1"/>
      <c r="Y8" s="1"/>
      <c r="Z8" s="1"/>
      <c r="AA8" s="1"/>
    </row>
    <row r="9" spans="1:27" ht="15.75" customHeight="1" x14ac:dyDescent="0.15">
      <c r="A9" s="10"/>
      <c r="B9" s="11" t="s">
        <v>37</v>
      </c>
      <c r="C9" s="40">
        <f>Overview!F93</f>
        <v>4630.1563352018675</v>
      </c>
      <c r="D9" s="40">
        <f>Overview!H93</f>
        <v>55561.876022422395</v>
      </c>
      <c r="E9" s="40">
        <f>Overview!I93</f>
        <v>92825.062181457717</v>
      </c>
      <c r="F9" s="40">
        <f>Overview!J93</f>
        <v>91641.779723962623</v>
      </c>
      <c r="G9" s="40">
        <f>Overview!K93</f>
        <v>90448.58295763802</v>
      </c>
      <c r="H9" s="40">
        <f>Overview!L93</f>
        <v>89308.978329547506</v>
      </c>
      <c r="I9" s="40">
        <f>Overview!M93</f>
        <v>88219.446089691104</v>
      </c>
      <c r="J9" s="40">
        <f>Overview!N93</f>
        <v>87180.376444850117</v>
      </c>
      <c r="K9" s="40">
        <f>Overview!O93</f>
        <v>86149.386143195763</v>
      </c>
      <c r="L9" s="40">
        <f>Overview!P93</f>
        <v>85168.265070447538</v>
      </c>
      <c r="M9" s="40">
        <f>Overview!Q93</f>
        <v>84236.013352872658</v>
      </c>
      <c r="N9" s="40">
        <f>Overview!R93</f>
        <v>83348.040490375715</v>
      </c>
      <c r="O9" s="40">
        <f>Overview!S93</f>
        <v>82503.626127915311</v>
      </c>
      <c r="P9" s="40">
        <f>Overview!T93</f>
        <v>81702.179277434188</v>
      </c>
      <c r="Q9" s="40">
        <f>Overview!U93</f>
        <v>80939.497880228664</v>
      </c>
      <c r="R9" s="40">
        <f>Overview!V93</f>
        <v>80213.363615938855</v>
      </c>
      <c r="S9" s="1"/>
      <c r="T9" s="1"/>
      <c r="U9" s="1"/>
      <c r="V9" s="1"/>
      <c r="W9" s="1"/>
      <c r="X9" s="1"/>
      <c r="Y9" s="1"/>
      <c r="Z9" s="1"/>
      <c r="AA9" s="1"/>
    </row>
    <row r="10" spans="1:27" ht="15.75" customHeight="1" x14ac:dyDescent="0.15">
      <c r="A10" s="10"/>
      <c r="B10" s="12" t="s">
        <v>38</v>
      </c>
      <c r="C10" s="41">
        <f>Overview!F95</f>
        <v>4035.9206449751691</v>
      </c>
      <c r="D10" s="41">
        <f>Overview!H95</f>
        <v>48431.04773970203</v>
      </c>
      <c r="E10" s="41">
        <f>Overview!I95</f>
        <v>117192.36526153759</v>
      </c>
      <c r="F10" s="41">
        <f>Overview!J95</f>
        <v>120201.78697183845</v>
      </c>
      <c r="G10" s="41">
        <f>Overview!K95</f>
        <v>122707.52132611722</v>
      </c>
      <c r="H10" s="41">
        <f>Overview!L95</f>
        <v>125056.94320919158</v>
      </c>
      <c r="I10" s="41">
        <f>Overview!M95</f>
        <v>127253.57237106145</v>
      </c>
      <c r="J10" s="41">
        <f>Overview!N95</f>
        <v>129319.84534560572</v>
      </c>
      <c r="K10" s="41">
        <f>Overview!O95</f>
        <v>131058.46460772233</v>
      </c>
      <c r="L10" s="41">
        <f>Overview!P95</f>
        <v>132701.56115961267</v>
      </c>
      <c r="M10" s="41">
        <f>Overview!Q95</f>
        <v>134261.54824533951</v>
      </c>
      <c r="N10" s="41">
        <f>Overview!R95</f>
        <v>135731.6029946683</v>
      </c>
      <c r="O10" s="41">
        <f>Overview!S95</f>
        <v>137123.85913297042</v>
      </c>
      <c r="P10" s="41">
        <f>Overview!T95</f>
        <v>138450.32101863323</v>
      </c>
      <c r="Q10" s="41">
        <f>Overview!U95</f>
        <v>139703.7773400303</v>
      </c>
      <c r="R10" s="41">
        <f>Overview!V95</f>
        <v>140886.44641752151</v>
      </c>
      <c r="S10" s="1"/>
      <c r="T10" s="1"/>
      <c r="U10" s="1"/>
      <c r="V10" s="1"/>
      <c r="W10" s="1"/>
      <c r="X10" s="1"/>
      <c r="Y10" s="1"/>
      <c r="Z10" s="1"/>
      <c r="AA10" s="1"/>
    </row>
    <row r="11" spans="1:27" ht="15.75" customHeight="1" x14ac:dyDescent="0.15">
      <c r="A11" s="1"/>
      <c r="B11" s="1"/>
      <c r="C11" s="40"/>
      <c r="D11" s="40"/>
      <c r="E11" s="40"/>
      <c r="F11" s="40"/>
      <c r="G11" s="40"/>
      <c r="H11" s="40"/>
      <c r="I11" s="1"/>
      <c r="J11" s="1"/>
      <c r="K11" s="1"/>
      <c r="L11" s="1"/>
      <c r="M11" s="1"/>
      <c r="N11" s="1"/>
      <c r="O11" s="1"/>
      <c r="P11" s="1"/>
      <c r="Q11" s="1"/>
      <c r="R11" s="1"/>
      <c r="S11" s="1"/>
      <c r="T11" s="1"/>
      <c r="U11" s="1"/>
      <c r="V11" s="1"/>
      <c r="W11" s="1"/>
      <c r="X11" s="1"/>
      <c r="Y11" s="1"/>
      <c r="Z11" s="1"/>
      <c r="AA11" s="1"/>
    </row>
    <row r="12" spans="1:27" ht="15.75" customHeight="1" x14ac:dyDescent="0.15">
      <c r="A12" s="10"/>
      <c r="B12" s="12" t="s">
        <v>39</v>
      </c>
      <c r="C12" s="41">
        <f>Overview!F103</f>
        <v>5470.5521401961596</v>
      </c>
      <c r="D12" s="41">
        <f>Overview!H103</f>
        <v>65646.625682353915</v>
      </c>
      <c r="E12" s="41">
        <f>Overview!I103</f>
        <v>113608.64279141703</v>
      </c>
      <c r="F12" s="41">
        <f>Overview!J103</f>
        <v>113608.64279141703</v>
      </c>
      <c r="G12" s="41">
        <f>Overview!K103</f>
        <v>113608.64279141703</v>
      </c>
      <c r="H12" s="41">
        <f>Overview!L103</f>
        <v>113608.64279141703</v>
      </c>
      <c r="I12" s="41">
        <f>Overview!M103</f>
        <v>113608.64279141703</v>
      </c>
      <c r="J12" s="41">
        <f>Overview!N103</f>
        <v>113608.64279141703</v>
      </c>
      <c r="K12" s="41">
        <f>Overview!O103</f>
        <v>113608.64279141703</v>
      </c>
      <c r="L12" s="41">
        <f>Overview!P103</f>
        <v>113608.64279141703</v>
      </c>
      <c r="M12" s="41">
        <f>Overview!Q103</f>
        <v>113608.64279141703</v>
      </c>
      <c r="N12" s="41">
        <f>Overview!R103</f>
        <v>113608.64279141703</v>
      </c>
      <c r="O12" s="41">
        <f>Overview!S103</f>
        <v>113608.64279141703</v>
      </c>
      <c r="P12" s="41">
        <f>Overview!T103</f>
        <v>113608.64279141703</v>
      </c>
      <c r="Q12" s="41">
        <f>Overview!U103</f>
        <v>113608.64279141703</v>
      </c>
      <c r="R12" s="41">
        <f>Overview!V103</f>
        <v>113608.64279141703</v>
      </c>
      <c r="S12" s="1"/>
      <c r="T12" s="1"/>
      <c r="U12" s="1"/>
      <c r="V12" s="1"/>
      <c r="W12" s="1"/>
      <c r="X12" s="1"/>
      <c r="Y12" s="1"/>
      <c r="Z12" s="1"/>
      <c r="AA12" s="1"/>
    </row>
    <row r="13" spans="1:27" ht="15.75" customHeight="1" x14ac:dyDescent="0.15">
      <c r="A13" s="1"/>
      <c r="B13" s="1"/>
      <c r="C13" s="40"/>
      <c r="D13" s="40"/>
      <c r="E13" s="40"/>
      <c r="F13" s="40"/>
      <c r="G13" s="40"/>
      <c r="H13" s="40"/>
      <c r="I13" s="1"/>
      <c r="J13" s="1"/>
      <c r="K13" s="1"/>
      <c r="L13" s="1"/>
      <c r="M13" s="1"/>
      <c r="N13" s="1"/>
      <c r="O13" s="1"/>
      <c r="P13" s="1"/>
      <c r="Q13" s="1"/>
      <c r="R13" s="1"/>
      <c r="S13" s="1"/>
      <c r="T13" s="1"/>
      <c r="U13" s="1"/>
      <c r="V13" s="1"/>
      <c r="W13" s="1"/>
      <c r="X13" s="1"/>
      <c r="Y13" s="1"/>
      <c r="Z13" s="1"/>
      <c r="AA13" s="1"/>
    </row>
    <row r="14" spans="1:27" ht="15.75" customHeight="1" x14ac:dyDescent="0.15">
      <c r="A14" s="10"/>
      <c r="B14" s="12" t="s">
        <v>198</v>
      </c>
      <c r="C14" s="41">
        <f>Overview!F105</f>
        <v>-1434.6314952209905</v>
      </c>
      <c r="D14" s="41">
        <f>Overview!H105</f>
        <v>-17215.577942651886</v>
      </c>
      <c r="E14" s="41">
        <f>Overview!I105</f>
        <v>3583.722470120556</v>
      </c>
      <c r="F14" s="41">
        <f>Overview!J105</f>
        <v>6593.1441804214119</v>
      </c>
      <c r="G14" s="41">
        <f>Overview!K105</f>
        <v>9098.8785347001831</v>
      </c>
      <c r="H14" s="41">
        <f>Overview!L105</f>
        <v>11448.300417774546</v>
      </c>
      <c r="I14" s="41">
        <f>Overview!M105</f>
        <v>13644.92957964442</v>
      </c>
      <c r="J14" s="41">
        <f>Overview!N105</f>
        <v>15711.202554188683</v>
      </c>
      <c r="K14" s="41">
        <f>Overview!O105</f>
        <v>17449.821816305295</v>
      </c>
      <c r="L14" s="41">
        <f>Overview!P105</f>
        <v>19092.918368195635</v>
      </c>
      <c r="M14" s="41">
        <f>Overview!Q105</f>
        <v>20652.905453922474</v>
      </c>
      <c r="N14" s="41">
        <f>Overview!R105</f>
        <v>22122.960203251263</v>
      </c>
      <c r="O14" s="41">
        <f>Overview!S105</f>
        <v>23515.216341553387</v>
      </c>
      <c r="P14" s="41">
        <f>Overview!T105</f>
        <v>24841.678227216195</v>
      </c>
      <c r="Q14" s="41">
        <f>Overview!U105</f>
        <v>26095.134548613263</v>
      </c>
      <c r="R14" s="41">
        <f>Overview!V105</f>
        <v>27277.803626104476</v>
      </c>
      <c r="S14" s="1"/>
      <c r="T14" s="1"/>
      <c r="U14" s="1"/>
      <c r="V14" s="1"/>
      <c r="W14" s="1"/>
      <c r="X14" s="1"/>
      <c r="Y14" s="1"/>
      <c r="Z14" s="1"/>
      <c r="AA14" s="1"/>
    </row>
    <row r="15" spans="1:27" s="26" customFormat="1" ht="15.75" customHeight="1" x14ac:dyDescent="0.15">
      <c r="A15" s="11"/>
      <c r="B15" s="66"/>
      <c r="C15" s="67"/>
      <c r="D15" s="67"/>
      <c r="E15" s="67"/>
      <c r="F15" s="67"/>
      <c r="G15" s="67"/>
      <c r="H15" s="67"/>
      <c r="I15" s="67"/>
      <c r="J15" s="67"/>
      <c r="K15" s="67"/>
      <c r="L15" s="67"/>
      <c r="M15" s="67"/>
      <c r="N15" s="67"/>
      <c r="O15" s="67"/>
      <c r="P15" s="67"/>
      <c r="Q15" s="67"/>
      <c r="R15" s="67"/>
      <c r="S15" s="1"/>
      <c r="T15" s="1"/>
      <c r="U15" s="1"/>
      <c r="V15" s="1"/>
      <c r="W15" s="1"/>
      <c r="X15" s="1"/>
      <c r="Y15" s="1"/>
      <c r="Z15" s="1"/>
      <c r="AA15" s="1"/>
    </row>
    <row r="16" spans="1:27" s="26" customFormat="1" ht="15.75" customHeight="1" x14ac:dyDescent="0.15">
      <c r="A16" s="11"/>
      <c r="B16" s="66" t="s">
        <v>204</v>
      </c>
      <c r="C16" s="67"/>
      <c r="D16" s="67">
        <f>Overview!H107</f>
        <v>27305.531314494969</v>
      </c>
      <c r="E16" s="67">
        <f>Overview!I107</f>
        <v>27305.531314494969</v>
      </c>
      <c r="F16" s="67">
        <f>Overview!J107</f>
        <v>27305.531314494969</v>
      </c>
      <c r="G16" s="67">
        <f>Overview!K107</f>
        <v>27305.531314494969</v>
      </c>
      <c r="H16" s="67">
        <f>Overview!L107</f>
        <v>27305.531314494969</v>
      </c>
      <c r="I16" s="67">
        <f>Overview!M107</f>
        <v>27305.531314494969</v>
      </c>
      <c r="J16" s="67">
        <f>Overview!N107</f>
        <v>27305.531314494969</v>
      </c>
      <c r="K16" s="67">
        <f>Overview!O107</f>
        <v>0</v>
      </c>
      <c r="L16" s="67">
        <f>Overview!P107</f>
        <v>0</v>
      </c>
      <c r="M16" s="67">
        <f>Overview!Q107</f>
        <v>0</v>
      </c>
      <c r="N16" s="67">
        <f>Overview!R107</f>
        <v>0</v>
      </c>
      <c r="O16" s="67">
        <f>Overview!S107</f>
        <v>0</v>
      </c>
      <c r="P16" s="67">
        <f>Overview!T107</f>
        <v>0</v>
      </c>
      <c r="Q16" s="67">
        <f>Overview!U107</f>
        <v>0</v>
      </c>
      <c r="R16" s="67">
        <f>Overview!V107</f>
        <v>0</v>
      </c>
      <c r="S16" s="73" t="s">
        <v>207</v>
      </c>
      <c r="T16" s="1"/>
      <c r="U16" s="1"/>
      <c r="V16" s="1"/>
      <c r="W16" s="1"/>
      <c r="X16" s="1"/>
      <c r="Y16" s="1"/>
      <c r="Z16" s="1"/>
      <c r="AA16" s="1"/>
    </row>
    <row r="17" spans="1:27" s="26" customFormat="1" ht="15.75" customHeight="1" x14ac:dyDescent="0.15">
      <c r="A17" s="11"/>
      <c r="B17" s="69" t="s">
        <v>205</v>
      </c>
      <c r="C17" s="70"/>
      <c r="D17" s="67">
        <f>Overview!H108</f>
        <v>-138594.46868550504</v>
      </c>
      <c r="E17" s="67">
        <f>Overview!I108</f>
        <v>-118218.66080528533</v>
      </c>
      <c r="F17" s="67">
        <f>Overview!J108</f>
        <v>-96824.062531054631</v>
      </c>
      <c r="G17" s="67">
        <f>Overview!K108</f>
        <v>-74359.734343112403</v>
      </c>
      <c r="H17" s="67">
        <f>Overview!L108</f>
        <v>-50772.189745773052</v>
      </c>
      <c r="I17" s="67">
        <f>Overview!M108</f>
        <v>-26005.267918566737</v>
      </c>
      <c r="J17" s="67">
        <f>Overview!N108</f>
        <v>-1.0481926437932998E-10</v>
      </c>
      <c r="K17" s="67">
        <f>Overview!O108</f>
        <v>-1.1006022759829648E-10</v>
      </c>
      <c r="L17" s="67">
        <f>Overview!P108</f>
        <v>-1.155632389782113E-10</v>
      </c>
      <c r="M17" s="67">
        <f>Overview!Q108</f>
        <v>-1.2134140092712186E-10</v>
      </c>
      <c r="N17" s="67">
        <f>Overview!R108</f>
        <v>-1.2740847097347796E-10</v>
      </c>
      <c r="O17" s="67">
        <f>Overview!S108</f>
        <v>-1.3377889452215187E-10</v>
      </c>
      <c r="P17" s="67">
        <f>Overview!T108</f>
        <v>-1.4046783924825945E-10</v>
      </c>
      <c r="Q17" s="67">
        <f>Overview!U108</f>
        <v>-1.4749123121067243E-10</v>
      </c>
      <c r="R17" s="67">
        <f>Overview!V108</f>
        <v>-1.5486579277120605E-10</v>
      </c>
      <c r="S17" s="1"/>
      <c r="T17" s="1"/>
      <c r="U17" s="1"/>
      <c r="V17" s="1"/>
      <c r="W17" s="1"/>
      <c r="X17" s="1"/>
      <c r="Y17" s="1"/>
      <c r="Z17" s="1"/>
      <c r="AA17" s="1"/>
    </row>
    <row r="18" spans="1:27" s="26" customFormat="1" ht="15.75" customHeight="1" x14ac:dyDescent="0.15">
      <c r="A18" s="11"/>
      <c r="B18" s="38" t="s">
        <v>282</v>
      </c>
      <c r="C18" s="36">
        <f ca="1">Overview!F110</f>
        <v>1133.0068173108332</v>
      </c>
      <c r="D18" s="93">
        <f ca="1">Overview!H110</f>
        <v>13596.081807729999</v>
      </c>
      <c r="E18" s="93">
        <f ca="1">'CapEx Breakdown'!$I$38</f>
        <v>27192.163615459998</v>
      </c>
      <c r="F18" s="93">
        <f ca="1">'CapEx Breakdown'!$I$38</f>
        <v>27192.163615459998</v>
      </c>
      <c r="G18" s="93">
        <f ca="1">'CapEx Breakdown'!$I$38</f>
        <v>27192.163615459998</v>
      </c>
      <c r="H18" s="93">
        <f ca="1">'CapEx Breakdown'!$I$38</f>
        <v>27192.163615459998</v>
      </c>
      <c r="I18" s="93">
        <f ca="1">'CapEx Breakdown'!$I$38</f>
        <v>27192.163615459998</v>
      </c>
      <c r="J18" s="93">
        <f ca="1">'CapEx Breakdown'!$I$38</f>
        <v>27192.163615459998</v>
      </c>
      <c r="K18" s="93">
        <f ca="1">'CapEx Breakdown'!$I$38</f>
        <v>27192.163615459998</v>
      </c>
      <c r="L18" s="93">
        <f ca="1">'CapEx Breakdown'!$I$38</f>
        <v>27192.163615459998</v>
      </c>
      <c r="M18" s="93">
        <f ca="1">'CapEx Breakdown'!$I$38</f>
        <v>27192.163615459998</v>
      </c>
      <c r="N18" s="93">
        <f ca="1">'CapEx Breakdown'!$I$38</f>
        <v>27192.163615459998</v>
      </c>
      <c r="O18" s="93">
        <f ca="1">'CapEx Breakdown'!$I$38</f>
        <v>27192.163615459998</v>
      </c>
      <c r="P18" s="93">
        <f ca="1">'CapEx Breakdown'!$I$38</f>
        <v>27192.163615459998</v>
      </c>
      <c r="Q18" s="93">
        <f ca="1">'CapEx Breakdown'!$I$38</f>
        <v>27192.163615459998</v>
      </c>
      <c r="R18" s="93">
        <f ca="1">'CapEx Breakdown'!$I$38</f>
        <v>27192.163615459998</v>
      </c>
      <c r="X18" s="1"/>
      <c r="Y18" s="1"/>
      <c r="Z18" s="1"/>
      <c r="AA18" s="1"/>
    </row>
    <row r="19" spans="1:27" s="26" customFormat="1" ht="15.75" customHeight="1" x14ac:dyDescent="0.15">
      <c r="A19" s="11"/>
      <c r="B19" s="66"/>
      <c r="C19" s="67"/>
      <c r="D19" s="67"/>
      <c r="E19" s="67"/>
      <c r="F19" s="67"/>
      <c r="G19" s="67"/>
      <c r="H19" s="67"/>
      <c r="I19" s="67"/>
      <c r="J19" s="67"/>
      <c r="K19" s="67"/>
      <c r="L19" s="67"/>
      <c r="M19" s="67"/>
      <c r="N19" s="67"/>
      <c r="O19" s="67"/>
      <c r="P19" s="67"/>
      <c r="Q19" s="67"/>
      <c r="R19" s="67"/>
      <c r="S19" s="1"/>
      <c r="T19" s="1"/>
      <c r="U19" s="1"/>
      <c r="V19" s="1"/>
      <c r="W19" s="1"/>
      <c r="X19" s="1"/>
      <c r="Y19" s="1"/>
      <c r="Z19" s="1"/>
      <c r="AA19" s="1"/>
    </row>
    <row r="20" spans="1:27" ht="15.75" customHeight="1" x14ac:dyDescent="0.15">
      <c r="A20" s="13"/>
      <c r="B20" s="66" t="s">
        <v>199</v>
      </c>
      <c r="C20" s="67">
        <f ca="1">C14-C18</f>
        <v>-2567.6383125318234</v>
      </c>
      <c r="D20" s="67">
        <f ca="1">D14-(D14*Overview!$B$58)-D16-D18</f>
        <v>-58117.191064876853</v>
      </c>
      <c r="E20" s="67">
        <f ca="1">E14-(E14*Overview!$B$58)-E16-E18</f>
        <v>-50913.972459834411</v>
      </c>
      <c r="F20" s="67">
        <f ca="1">F14-(F14*Overview!$B$58)-F16-F18</f>
        <v>-47904.550749533555</v>
      </c>
      <c r="G20" s="67">
        <f ca="1">G14-(G14*Overview!$B$58)-G16-G18</f>
        <v>-45398.816395254784</v>
      </c>
      <c r="H20" s="67">
        <f ca="1">H14-(H14*Overview!$B$58)-H16-H18</f>
        <v>-43049.394512180421</v>
      </c>
      <c r="I20" s="67">
        <f ca="1">I14-(I14*Overview!$B$58)-I16-I18</f>
        <v>-40852.765350310547</v>
      </c>
      <c r="J20" s="67">
        <f ca="1">J14-(J14*Overview!$B$58)-J16-J18</f>
        <v>-38786.492375766284</v>
      </c>
      <c r="K20" s="67">
        <f ca="1">K14-(K14*Overview!$B$58)-K16-K18</f>
        <v>-9742.341799154703</v>
      </c>
      <c r="L20" s="67">
        <f ca="1">L14-(L14*Overview!$B$58)-L16-L18</f>
        <v>-8099.2452472643636</v>
      </c>
      <c r="M20" s="67">
        <f ca="1">M14-(M14*Overview!$B$58)-M16-M18</f>
        <v>-6539.2581615375238</v>
      </c>
      <c r="N20" s="67">
        <f ca="1">N14-(N14*Overview!$B$58)-N16-N18</f>
        <v>-5069.2034122087352</v>
      </c>
      <c r="O20" s="67">
        <f ca="1">O14-(O14*Overview!$B$58)-O16-O18</f>
        <v>-3676.9472739066114</v>
      </c>
      <c r="P20" s="67">
        <f ca="1">P14-(P14*Overview!$B$58)-P16-P18</f>
        <v>-2350.4853882438038</v>
      </c>
      <c r="Q20" s="67">
        <f ca="1">Q14-(Q14*Overview!$B$58)-Q16-Q18</f>
        <v>-1097.0290668467351</v>
      </c>
      <c r="R20" s="67">
        <f ca="1">R14-(R14*Overview!$B$58)-R16-R18</f>
        <v>85.640010644478025</v>
      </c>
      <c r="S20" s="1"/>
      <c r="T20" s="1"/>
      <c r="U20" s="1"/>
      <c r="V20" s="1"/>
      <c r="W20" s="1"/>
      <c r="X20" s="13"/>
      <c r="Y20" s="13"/>
      <c r="Z20" s="13"/>
      <c r="AA20" s="13"/>
    </row>
    <row r="21" spans="1:27" ht="15.75" customHeight="1" x14ac:dyDescent="0.15">
      <c r="A21" s="13"/>
      <c r="B21" s="68" t="s">
        <v>193</v>
      </c>
      <c r="C21" s="42"/>
      <c r="D21" s="42">
        <f>-H3+D14</f>
        <v>-196848.57794265187</v>
      </c>
      <c r="E21" s="42">
        <f>D21+E14</f>
        <v>-193264.85547253132</v>
      </c>
      <c r="F21" s="42">
        <f>E21+F14</f>
        <v>-186671.71129210992</v>
      </c>
      <c r="G21" s="42">
        <f t="shared" ref="G21:J21" si="0">F21+G14</f>
        <v>-177572.83275740972</v>
      </c>
      <c r="H21" s="42">
        <f>G21+H14</f>
        <v>-166124.53233963519</v>
      </c>
      <c r="I21" s="42">
        <f t="shared" si="0"/>
        <v>-152479.60275999078</v>
      </c>
      <c r="J21" s="42">
        <f t="shared" si="0"/>
        <v>-136768.40020580211</v>
      </c>
      <c r="K21" s="42">
        <f t="shared" ref="K21:R21" si="1">J21+K14</f>
        <v>-119318.57838949682</v>
      </c>
      <c r="L21" s="42">
        <f t="shared" si="1"/>
        <v>-100225.66002130118</v>
      </c>
      <c r="M21" s="42">
        <f t="shared" si="1"/>
        <v>-79572.75456737871</v>
      </c>
      <c r="N21" s="42">
        <f t="shared" si="1"/>
        <v>-57449.794364127447</v>
      </c>
      <c r="O21" s="42">
        <f t="shared" si="1"/>
        <v>-33934.57802257406</v>
      </c>
      <c r="P21" s="42">
        <f t="shared" si="1"/>
        <v>-9092.8997953578655</v>
      </c>
      <c r="Q21" s="42">
        <f t="shared" si="1"/>
        <v>17002.234753255398</v>
      </c>
      <c r="R21" s="42">
        <f t="shared" si="1"/>
        <v>44280.038379359874</v>
      </c>
      <c r="S21" s="13"/>
      <c r="T21" s="13"/>
      <c r="U21" s="13"/>
      <c r="V21" s="13"/>
      <c r="W21" s="13"/>
      <c r="X21" s="13"/>
      <c r="Y21" s="13"/>
      <c r="Z21" s="13"/>
      <c r="AA21" s="13"/>
    </row>
    <row r="22" spans="1:27" s="26" customFormat="1" ht="15.75" customHeight="1" x14ac:dyDescent="0.15">
      <c r="A22" s="13"/>
      <c r="B22" s="14" t="s">
        <v>195</v>
      </c>
      <c r="C22" s="15"/>
      <c r="D22" s="16">
        <v>1</v>
      </c>
      <c r="E22" s="16">
        <v>2</v>
      </c>
      <c r="F22" s="16">
        <v>3</v>
      </c>
      <c r="G22" s="16">
        <v>4</v>
      </c>
      <c r="H22" s="16">
        <v>5</v>
      </c>
      <c r="I22" s="16">
        <v>6</v>
      </c>
      <c r="J22" s="16">
        <v>7</v>
      </c>
      <c r="K22" s="16">
        <v>8</v>
      </c>
      <c r="L22" s="16">
        <v>9</v>
      </c>
      <c r="M22" s="16">
        <v>10</v>
      </c>
      <c r="N22" s="16">
        <v>11</v>
      </c>
      <c r="O22" s="16">
        <v>12</v>
      </c>
      <c r="P22" s="16">
        <v>13</v>
      </c>
      <c r="Q22" s="16">
        <v>14</v>
      </c>
      <c r="R22" s="16">
        <v>15</v>
      </c>
      <c r="S22" s="13"/>
      <c r="T22" s="13"/>
      <c r="U22" s="13"/>
      <c r="V22" s="13"/>
      <c r="W22" s="13"/>
      <c r="X22" s="13"/>
      <c r="Y22" s="13"/>
      <c r="Z22" s="13"/>
      <c r="AA22" s="13"/>
    </row>
    <row r="23" spans="1:27" s="26" customFormat="1" ht="15.75" customHeight="1" x14ac:dyDescent="0.15">
      <c r="A23" s="13"/>
      <c r="B23" s="64" t="s">
        <v>80</v>
      </c>
      <c r="C23" s="15"/>
      <c r="D23" s="65">
        <f ca="1">(D20/$H$3)</f>
        <v>-0.32353293139276668</v>
      </c>
      <c r="E23" s="65">
        <f t="shared" ref="E23:R23" ca="1" si="2">(E20/$H$3)</f>
        <v>-0.28343329154350488</v>
      </c>
      <c r="F23" s="65">
        <f t="shared" ca="1" si="2"/>
        <v>-0.26668012419507303</v>
      </c>
      <c r="G23" s="65">
        <f t="shared" ca="1" si="2"/>
        <v>-0.25273093693950882</v>
      </c>
      <c r="H23" s="65">
        <f t="shared" ca="1" si="2"/>
        <v>-0.23965192649557943</v>
      </c>
      <c r="I23" s="65">
        <f t="shared" ca="1" si="2"/>
        <v>-0.22742349874639151</v>
      </c>
      <c r="J23" s="65">
        <f ca="1">(J20/$H$3)</f>
        <v>-0.21592075162006025</v>
      </c>
      <c r="K23" s="65">
        <f t="shared" ca="1" si="2"/>
        <v>-5.4234699632888739E-2</v>
      </c>
      <c r="L23" s="65">
        <f t="shared" ca="1" si="2"/>
        <v>-4.5087735812820384E-2</v>
      </c>
      <c r="M23" s="65">
        <f t="shared" ca="1" si="2"/>
        <v>-3.6403434566797434E-2</v>
      </c>
      <c r="N23" s="65">
        <f t="shared" ca="1" si="2"/>
        <v>-2.8219778171097377E-2</v>
      </c>
      <c r="O23" s="65">
        <f t="shared" ca="1" si="2"/>
        <v>-2.0469219318870205E-2</v>
      </c>
      <c r="P23" s="65">
        <f t="shared" ca="1" si="2"/>
        <v>-1.3084930877087193E-2</v>
      </c>
      <c r="Q23" s="65">
        <f t="shared" ca="1" si="2"/>
        <v>-6.1070575386857374E-3</v>
      </c>
      <c r="R23" s="65">
        <f t="shared" ca="1" si="2"/>
        <v>4.7674987694064022E-4</v>
      </c>
      <c r="S23" s="13"/>
      <c r="T23" s="13"/>
      <c r="U23" s="13"/>
      <c r="V23" s="13"/>
      <c r="W23" s="13"/>
      <c r="X23" s="13"/>
      <c r="Y23" s="13"/>
      <c r="Z23" s="13"/>
      <c r="AA23" s="13"/>
    </row>
    <row r="24" spans="1:27" ht="15.75" customHeight="1" x14ac:dyDescent="0.15">
      <c r="A24" s="1"/>
      <c r="B24" s="14"/>
      <c r="C24" s="15"/>
      <c r="D24" s="16"/>
      <c r="E24" s="16"/>
      <c r="F24" s="16"/>
      <c r="G24" s="16"/>
      <c r="H24" s="16"/>
      <c r="I24" s="16"/>
      <c r="J24" s="16"/>
      <c r="K24" s="16"/>
      <c r="L24" s="16"/>
      <c r="M24" s="16"/>
      <c r="N24" s="13"/>
      <c r="O24" s="13"/>
      <c r="P24" s="13"/>
      <c r="Q24" s="13"/>
      <c r="R24" s="13"/>
      <c r="S24" s="13"/>
      <c r="T24" s="13"/>
      <c r="U24" s="13"/>
      <c r="V24" s="13"/>
      <c r="W24" s="13"/>
      <c r="X24" s="1"/>
      <c r="Y24" s="1"/>
      <c r="Z24" s="1"/>
      <c r="AA24" s="1"/>
    </row>
    <row r="25" spans="1:27" ht="15.75" customHeight="1" x14ac:dyDescent="0.15">
      <c r="A25" s="1"/>
      <c r="B25" s="6" t="s">
        <v>40</v>
      </c>
      <c r="C25" s="17" t="str">
        <f>IF(D21&gt;0,D22,IF(E21&gt;0,E22,IF(F21&gt;0,F22,IF(G21&gt;0,G22,IF(H21&gt;0,H22,"&gt; 5 years")))))</f>
        <v>&gt; 5 years</v>
      </c>
      <c r="D25" s="1"/>
      <c r="E25" s="1"/>
      <c r="F25" s="1"/>
      <c r="G25" s="1"/>
      <c r="H25" s="1"/>
      <c r="I25" s="1"/>
      <c r="J25" s="1"/>
      <c r="K25" s="1"/>
      <c r="L25" s="1"/>
      <c r="M25" s="1"/>
      <c r="N25" s="1"/>
      <c r="O25" s="1"/>
      <c r="P25" s="1"/>
      <c r="Q25" s="1"/>
      <c r="R25" s="1"/>
      <c r="S25" s="1"/>
      <c r="T25" s="1"/>
      <c r="U25" s="1"/>
      <c r="V25" s="1"/>
      <c r="W25" s="1"/>
      <c r="X25" s="1"/>
      <c r="Y25" s="1"/>
      <c r="Z25" s="1"/>
      <c r="AA25" s="1"/>
    </row>
    <row r="26" spans="1:27" ht="15.75" customHeight="1" x14ac:dyDescent="0.15">
      <c r="A26" s="1"/>
      <c r="B26" s="18" t="s">
        <v>41</v>
      </c>
      <c r="C26" s="1"/>
      <c r="D26" s="1"/>
      <c r="E26" s="1"/>
      <c r="F26" s="1"/>
      <c r="G26" s="1"/>
      <c r="H26" s="1"/>
      <c r="I26" s="1"/>
      <c r="J26" s="1"/>
      <c r="K26" s="1"/>
      <c r="L26" s="1"/>
      <c r="M26" s="1"/>
      <c r="N26" s="1"/>
      <c r="O26" s="1"/>
      <c r="P26" s="1"/>
      <c r="Q26" s="1"/>
      <c r="R26" s="1"/>
      <c r="S26" s="1"/>
      <c r="T26" s="1"/>
      <c r="U26" s="1"/>
      <c r="V26" s="1"/>
      <c r="W26" s="1"/>
      <c r="X26" s="1"/>
      <c r="Y26" s="1"/>
      <c r="Z26" s="1"/>
      <c r="AA26" s="1"/>
    </row>
    <row r="27" spans="1:27" ht="15.75" customHeight="1" x14ac:dyDescent="0.15">
      <c r="A27" s="1"/>
      <c r="B27" s="19"/>
      <c r="C27" s="19"/>
      <c r="D27" s="19"/>
      <c r="E27" s="19"/>
      <c r="F27" s="19"/>
      <c r="G27" s="19"/>
      <c r="H27" s="19"/>
      <c r="I27" s="1"/>
      <c r="J27" s="1"/>
      <c r="K27" s="1"/>
      <c r="L27" s="1"/>
      <c r="M27" s="1"/>
      <c r="N27" s="1"/>
      <c r="O27" s="1"/>
      <c r="P27" s="1"/>
      <c r="Q27" s="1"/>
      <c r="R27" s="1"/>
      <c r="S27" s="1"/>
      <c r="T27" s="1"/>
      <c r="U27" s="1"/>
      <c r="V27" s="1"/>
      <c r="W27" s="1"/>
      <c r="X27" s="1"/>
      <c r="Y27" s="1"/>
      <c r="Z27" s="1"/>
      <c r="AA27" s="1"/>
    </row>
    <row r="28" spans="1:27" ht="15.75" customHeight="1" x14ac:dyDescent="0.15">
      <c r="A28" s="1"/>
      <c r="B28" s="103"/>
      <c r="C28" s="103"/>
      <c r="D28" s="19"/>
      <c r="E28" s="19"/>
      <c r="F28" s="19"/>
      <c r="G28" s="19"/>
      <c r="H28" s="19"/>
      <c r="I28" s="1"/>
      <c r="J28" s="1"/>
      <c r="K28" s="1"/>
      <c r="L28" s="1"/>
      <c r="M28" s="1"/>
      <c r="N28" s="1"/>
      <c r="O28" s="1"/>
      <c r="P28" s="1"/>
      <c r="Q28" s="1"/>
      <c r="R28" s="1"/>
      <c r="S28" s="1"/>
      <c r="T28" s="1"/>
      <c r="U28" s="1"/>
      <c r="V28" s="1"/>
      <c r="W28" s="1"/>
      <c r="X28" s="1"/>
      <c r="Y28" s="1"/>
      <c r="Z28" s="1"/>
      <c r="AA28" s="1"/>
    </row>
    <row r="29" spans="1:27" ht="15.75" customHeight="1" x14ac:dyDescent="0.15">
      <c r="A29" s="1"/>
      <c r="B29" s="104" t="s">
        <v>421</v>
      </c>
      <c r="C29" s="1">
        <f>Overview!G143</f>
        <v>3.25</v>
      </c>
      <c r="D29" s="1"/>
      <c r="E29" s="1"/>
      <c r="F29" s="1"/>
      <c r="G29" s="1"/>
      <c r="H29" s="1"/>
      <c r="I29" s="1"/>
      <c r="J29" s="1"/>
      <c r="K29" s="1"/>
      <c r="L29" s="1"/>
      <c r="M29" s="1"/>
      <c r="N29" s="1"/>
      <c r="O29" s="1"/>
      <c r="P29" s="1"/>
      <c r="Q29" s="1"/>
      <c r="R29" s="1"/>
      <c r="S29" s="1"/>
      <c r="T29" s="1"/>
      <c r="U29" s="1"/>
      <c r="V29" s="1"/>
      <c r="W29" s="1"/>
      <c r="X29" s="1"/>
      <c r="Y29" s="1"/>
      <c r="Z29" s="1"/>
      <c r="AA29" s="1"/>
    </row>
    <row r="30" spans="1:27" ht="15.75" customHeight="1" x14ac:dyDescent="0.15">
      <c r="A30" s="1"/>
      <c r="B30" s="104" t="s">
        <v>422</v>
      </c>
      <c r="C30" s="104">
        <f>SUM(Overview!V71:V74)</f>
        <v>9836.6607690773544</v>
      </c>
      <c r="D30" s="1"/>
      <c r="E30" s="1"/>
      <c r="F30" s="1"/>
      <c r="G30" s="1"/>
      <c r="H30" s="1"/>
      <c r="I30" s="1"/>
      <c r="J30" s="1"/>
      <c r="K30" s="1"/>
      <c r="L30" s="1"/>
      <c r="M30" s="1"/>
      <c r="N30" s="1"/>
      <c r="O30" s="1"/>
      <c r="P30" s="1"/>
      <c r="Q30" s="1"/>
      <c r="R30" s="1"/>
      <c r="S30" s="1"/>
      <c r="T30" s="1"/>
      <c r="U30" s="1"/>
      <c r="V30" s="1"/>
      <c r="W30" s="1"/>
      <c r="X30" s="1"/>
      <c r="Y30" s="1"/>
      <c r="Z30" s="1"/>
      <c r="AA30" s="1"/>
    </row>
    <row r="31" spans="1:27" ht="15.75" customHeight="1" x14ac:dyDescent="0.15">
      <c r="A31" s="1"/>
      <c r="B31" s="104"/>
      <c r="C31" s="1"/>
      <c r="D31" s="1"/>
      <c r="E31" s="1"/>
      <c r="F31" s="1"/>
      <c r="G31" s="1"/>
      <c r="H31" s="1"/>
      <c r="I31" s="1"/>
      <c r="J31" s="1"/>
      <c r="K31" s="1"/>
      <c r="L31" s="1"/>
      <c r="M31" s="1"/>
      <c r="N31" s="1"/>
      <c r="O31" s="1"/>
      <c r="P31" s="1"/>
      <c r="Q31" s="1"/>
      <c r="R31" s="1"/>
      <c r="S31" s="1"/>
      <c r="T31" s="1"/>
      <c r="U31" s="1"/>
      <c r="V31" s="1"/>
      <c r="W31" s="1"/>
      <c r="X31" s="1"/>
      <c r="Y31" s="1"/>
      <c r="Z31" s="1"/>
      <c r="AA31" s="1"/>
    </row>
    <row r="32" spans="1:27" ht="15.75" customHeight="1" x14ac:dyDescent="0.1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5.75" customHeight="1" x14ac:dyDescent="0.1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5.75" customHeight="1" x14ac:dyDescent="0.1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5.75" customHeight="1" x14ac:dyDescent="0.1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5.75" customHeight="1" x14ac:dyDescent="0.1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5.75" customHeight="1" x14ac:dyDescent="0.1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5.75" customHeight="1" x14ac:dyDescent="0.1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5.75" customHeight="1" x14ac:dyDescent="0.1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5.75" customHeight="1" x14ac:dyDescent="0.1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5.75" customHeight="1" x14ac:dyDescent="0.1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5.75" customHeight="1" x14ac:dyDescent="0.1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5.75" customHeight="1" x14ac:dyDescent="0.1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5.75" customHeight="1" x14ac:dyDescent="0.1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5.75" customHeight="1" x14ac:dyDescent="0.1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5.75" customHeight="1" x14ac:dyDescent="0.1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5.75" customHeight="1" x14ac:dyDescent="0.1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5.75" customHeight="1" x14ac:dyDescent="0.1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5.75" customHeight="1" x14ac:dyDescent="0.1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5.75" customHeight="1" x14ac:dyDescent="0.1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5.75" customHeight="1" x14ac:dyDescent="0.1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5.75" customHeight="1" x14ac:dyDescent="0.1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5.75" customHeight="1" x14ac:dyDescent="0.1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5.75" customHeight="1" x14ac:dyDescent="0.1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5.75" customHeight="1" x14ac:dyDescent="0.1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5.75" customHeight="1" x14ac:dyDescent="0.1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3" x14ac:dyDescent="0.1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3" x14ac:dyDescent="0.1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3" x14ac:dyDescent="0.1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3" x14ac:dyDescent="0.1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3" x14ac:dyDescent="0.1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3" x14ac:dyDescent="0.1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3" x14ac:dyDescent="0.1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3" x14ac:dyDescent="0.1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3" x14ac:dyDescent="0.1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3" x14ac:dyDescent="0.1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3" x14ac:dyDescent="0.1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3" x14ac:dyDescent="0.1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3" x14ac:dyDescent="0.1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3" x14ac:dyDescent="0.1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3" x14ac:dyDescent="0.1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3" x14ac:dyDescent="0.1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3" x14ac:dyDescent="0.1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3" x14ac:dyDescent="0.1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3" x14ac:dyDescent="0.1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3" x14ac:dyDescent="0.1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3" x14ac:dyDescent="0.1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3" x14ac:dyDescent="0.1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3" x14ac:dyDescent="0.1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3" x14ac:dyDescent="0.1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3" x14ac:dyDescent="0.1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3" x14ac:dyDescent="0.1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3" x14ac:dyDescent="0.1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3" x14ac:dyDescent="0.1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3" x14ac:dyDescent="0.1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3" x14ac:dyDescent="0.1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3" x14ac:dyDescent="0.1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3" x14ac:dyDescent="0.1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3" x14ac:dyDescent="0.1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3" x14ac:dyDescent="0.1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3" x14ac:dyDescent="0.1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3" x14ac:dyDescent="0.1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3" x14ac:dyDescent="0.1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3" x14ac:dyDescent="0.1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3" x14ac:dyDescent="0.1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3" x14ac:dyDescent="0.1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3" x14ac:dyDescent="0.1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3" x14ac:dyDescent="0.1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3" x14ac:dyDescent="0.1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3" x14ac:dyDescent="0.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3" x14ac:dyDescent="0.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3" x14ac:dyDescent="0.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3" x14ac:dyDescent="0.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3" x14ac:dyDescent="0.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3" x14ac:dyDescent="0.1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3" x14ac:dyDescent="0.1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3" x14ac:dyDescent="0.1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3" x14ac:dyDescent="0.1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3" x14ac:dyDescent="0.1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3" x14ac:dyDescent="0.1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3" x14ac:dyDescent="0.1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3" x14ac:dyDescent="0.1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3" x14ac:dyDescent="0.1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3" x14ac:dyDescent="0.1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3" x14ac:dyDescent="0.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3" x14ac:dyDescent="0.1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3" x14ac:dyDescent="0.1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3" x14ac:dyDescent="0.1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3" x14ac:dyDescent="0.1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3" x14ac:dyDescent="0.1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3" x14ac:dyDescent="0.1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3" x14ac:dyDescent="0.1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3" x14ac:dyDescent="0.1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3" x14ac:dyDescent="0.1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3" x14ac:dyDescent="0.1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3" x14ac:dyDescent="0.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3" x14ac:dyDescent="0.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3" x14ac:dyDescent="0.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3" x14ac:dyDescent="0.1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3" x14ac:dyDescent="0.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3" x14ac:dyDescent="0.1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3" x14ac:dyDescent="0.1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3" x14ac:dyDescent="0.1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3" x14ac:dyDescent="0.1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3" x14ac:dyDescent="0.1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3" x14ac:dyDescent="0.1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3" x14ac:dyDescent="0.1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3" x14ac:dyDescent="0.1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3" x14ac:dyDescent="0.1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3" x14ac:dyDescent="0.1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3" x14ac:dyDescent="0.1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3" x14ac:dyDescent="0.1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3" x14ac:dyDescent="0.1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3" x14ac:dyDescent="0.1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3" x14ac:dyDescent="0.1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3" x14ac:dyDescent="0.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3" x14ac:dyDescent="0.1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3" x14ac:dyDescent="0.1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3" x14ac:dyDescent="0.1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3" x14ac:dyDescent="0.1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3" x14ac:dyDescent="0.1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3" x14ac:dyDescent="0.1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3" x14ac:dyDescent="0.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3" x14ac:dyDescent="0.1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3" x14ac:dyDescent="0.1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3" x14ac:dyDescent="0.1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3" x14ac:dyDescent="0.1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3" x14ac:dyDescent="0.1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3" x14ac:dyDescent="0.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3" x14ac:dyDescent="0.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3" x14ac:dyDescent="0.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3" x14ac:dyDescent="0.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3" x14ac:dyDescent="0.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3" x14ac:dyDescent="0.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3" x14ac:dyDescent="0.1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3" x14ac:dyDescent="0.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3" x14ac:dyDescent="0.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3" x14ac:dyDescent="0.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3" x14ac:dyDescent="0.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3" x14ac:dyDescent="0.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3" x14ac:dyDescent="0.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3" x14ac:dyDescent="0.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3" x14ac:dyDescent="0.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3" x14ac:dyDescent="0.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3" x14ac:dyDescent="0.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3" x14ac:dyDescent="0.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3" x14ac:dyDescent="0.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3" x14ac:dyDescent="0.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3" x14ac:dyDescent="0.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3" x14ac:dyDescent="0.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3" x14ac:dyDescent="0.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3" x14ac:dyDescent="0.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3" x14ac:dyDescent="0.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3" x14ac:dyDescent="0.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3" x14ac:dyDescent="0.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3" x14ac:dyDescent="0.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3" x14ac:dyDescent="0.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3" x14ac:dyDescent="0.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3" x14ac:dyDescent="0.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3" x14ac:dyDescent="0.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3" x14ac:dyDescent="0.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3" x14ac:dyDescent="0.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3" x14ac:dyDescent="0.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3" x14ac:dyDescent="0.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3" x14ac:dyDescent="0.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3" x14ac:dyDescent="0.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3" x14ac:dyDescent="0.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3" x14ac:dyDescent="0.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3" x14ac:dyDescent="0.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3" x14ac:dyDescent="0.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3" x14ac:dyDescent="0.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3" x14ac:dyDescent="0.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3" x14ac:dyDescent="0.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3" x14ac:dyDescent="0.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3" x14ac:dyDescent="0.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3" x14ac:dyDescent="0.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3" x14ac:dyDescent="0.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3" x14ac:dyDescent="0.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3" x14ac:dyDescent="0.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3" x14ac:dyDescent="0.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3" x14ac:dyDescent="0.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3" x14ac:dyDescent="0.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3" x14ac:dyDescent="0.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3" x14ac:dyDescent="0.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3" x14ac:dyDescent="0.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3" x14ac:dyDescent="0.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3" x14ac:dyDescent="0.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3" x14ac:dyDescent="0.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3" x14ac:dyDescent="0.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3" x14ac:dyDescent="0.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3" x14ac:dyDescent="0.1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3" x14ac:dyDescent="0.1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3" x14ac:dyDescent="0.1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3" x14ac:dyDescent="0.1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3" x14ac:dyDescent="0.1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3" x14ac:dyDescent="0.1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3" x14ac:dyDescent="0.1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3" x14ac:dyDescent="0.1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3" x14ac:dyDescent="0.1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3" x14ac:dyDescent="0.1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3" x14ac:dyDescent="0.1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3" x14ac:dyDescent="0.1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3" x14ac:dyDescent="0.1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3" x14ac:dyDescent="0.1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3" x14ac:dyDescent="0.1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3" x14ac:dyDescent="0.1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3" x14ac:dyDescent="0.1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3" x14ac:dyDescent="0.1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3" x14ac:dyDescent="0.1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3" x14ac:dyDescent="0.1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3" x14ac:dyDescent="0.1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3" x14ac:dyDescent="0.1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3" x14ac:dyDescent="0.1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3" x14ac:dyDescent="0.1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3" x14ac:dyDescent="0.1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3" x14ac:dyDescent="0.1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3" x14ac:dyDescent="0.1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3" x14ac:dyDescent="0.1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3" x14ac:dyDescent="0.1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3" x14ac:dyDescent="0.1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3" x14ac:dyDescent="0.1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3" x14ac:dyDescent="0.1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3" x14ac:dyDescent="0.1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3" x14ac:dyDescent="0.1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3" x14ac:dyDescent="0.1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3" x14ac:dyDescent="0.1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3" x14ac:dyDescent="0.1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3" x14ac:dyDescent="0.1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3" x14ac:dyDescent="0.1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3" x14ac:dyDescent="0.1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3" x14ac:dyDescent="0.1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3" x14ac:dyDescent="0.1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3" x14ac:dyDescent="0.1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3" x14ac:dyDescent="0.1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3" x14ac:dyDescent="0.1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3" x14ac:dyDescent="0.1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3" x14ac:dyDescent="0.1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3" x14ac:dyDescent="0.1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3" x14ac:dyDescent="0.1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3" x14ac:dyDescent="0.1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3" x14ac:dyDescent="0.1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3" x14ac:dyDescent="0.1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3" x14ac:dyDescent="0.1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3" x14ac:dyDescent="0.1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3" x14ac:dyDescent="0.1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3" x14ac:dyDescent="0.1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3" x14ac:dyDescent="0.1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3" x14ac:dyDescent="0.1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3" x14ac:dyDescent="0.1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3" x14ac:dyDescent="0.1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3" x14ac:dyDescent="0.1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3" x14ac:dyDescent="0.1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3" x14ac:dyDescent="0.1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3" x14ac:dyDescent="0.1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3" x14ac:dyDescent="0.1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3" x14ac:dyDescent="0.1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3" x14ac:dyDescent="0.1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3" x14ac:dyDescent="0.1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3" x14ac:dyDescent="0.1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3" x14ac:dyDescent="0.1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3" x14ac:dyDescent="0.1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3" x14ac:dyDescent="0.1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3" x14ac:dyDescent="0.1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3" x14ac:dyDescent="0.1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3" x14ac:dyDescent="0.1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3" x14ac:dyDescent="0.1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3" x14ac:dyDescent="0.1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3" x14ac:dyDescent="0.1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3" x14ac:dyDescent="0.1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3" x14ac:dyDescent="0.1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3" x14ac:dyDescent="0.1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3" x14ac:dyDescent="0.1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3" x14ac:dyDescent="0.1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3" x14ac:dyDescent="0.1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3" x14ac:dyDescent="0.1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3" x14ac:dyDescent="0.1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3" x14ac:dyDescent="0.1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3" x14ac:dyDescent="0.1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3" x14ac:dyDescent="0.1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3" x14ac:dyDescent="0.1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3" x14ac:dyDescent="0.1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3" x14ac:dyDescent="0.1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3" x14ac:dyDescent="0.1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3" x14ac:dyDescent="0.1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3" x14ac:dyDescent="0.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3" x14ac:dyDescent="0.1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3" x14ac:dyDescent="0.1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3" x14ac:dyDescent="0.1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3" x14ac:dyDescent="0.1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3" x14ac:dyDescent="0.1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3" x14ac:dyDescent="0.1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3" x14ac:dyDescent="0.1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3" x14ac:dyDescent="0.1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3" x14ac:dyDescent="0.1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3" x14ac:dyDescent="0.1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3" x14ac:dyDescent="0.1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3" x14ac:dyDescent="0.1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3" x14ac:dyDescent="0.1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3" x14ac:dyDescent="0.1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3" x14ac:dyDescent="0.1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3" x14ac:dyDescent="0.1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3" x14ac:dyDescent="0.1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3" x14ac:dyDescent="0.1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3" x14ac:dyDescent="0.1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3" x14ac:dyDescent="0.1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3" x14ac:dyDescent="0.1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3" x14ac:dyDescent="0.1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3" x14ac:dyDescent="0.1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3" x14ac:dyDescent="0.1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3" x14ac:dyDescent="0.1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3" x14ac:dyDescent="0.1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3" x14ac:dyDescent="0.1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3" x14ac:dyDescent="0.1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3" x14ac:dyDescent="0.1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3" x14ac:dyDescent="0.1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3" x14ac:dyDescent="0.1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3" x14ac:dyDescent="0.1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3" x14ac:dyDescent="0.1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3" x14ac:dyDescent="0.1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3" x14ac:dyDescent="0.1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3" x14ac:dyDescent="0.1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3" x14ac:dyDescent="0.1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3" x14ac:dyDescent="0.1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3" x14ac:dyDescent="0.1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3" x14ac:dyDescent="0.1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3" x14ac:dyDescent="0.1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3" x14ac:dyDescent="0.1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3" x14ac:dyDescent="0.1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3" x14ac:dyDescent="0.1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3" x14ac:dyDescent="0.1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3" x14ac:dyDescent="0.1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3" x14ac:dyDescent="0.1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3" x14ac:dyDescent="0.1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3" x14ac:dyDescent="0.1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3" x14ac:dyDescent="0.1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3" x14ac:dyDescent="0.1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3" x14ac:dyDescent="0.1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3" x14ac:dyDescent="0.1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3" x14ac:dyDescent="0.1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3" x14ac:dyDescent="0.1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3" x14ac:dyDescent="0.1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3" x14ac:dyDescent="0.1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3" x14ac:dyDescent="0.1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3" x14ac:dyDescent="0.1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3" x14ac:dyDescent="0.1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3" x14ac:dyDescent="0.1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3" x14ac:dyDescent="0.1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3" x14ac:dyDescent="0.1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3" x14ac:dyDescent="0.1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3" x14ac:dyDescent="0.1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3" x14ac:dyDescent="0.1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3" x14ac:dyDescent="0.1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3" x14ac:dyDescent="0.1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3" x14ac:dyDescent="0.1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3" x14ac:dyDescent="0.1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3" x14ac:dyDescent="0.1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3" x14ac:dyDescent="0.1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3" x14ac:dyDescent="0.1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3" x14ac:dyDescent="0.1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3" x14ac:dyDescent="0.1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3" x14ac:dyDescent="0.1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3" x14ac:dyDescent="0.1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3" x14ac:dyDescent="0.1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3" x14ac:dyDescent="0.1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3" x14ac:dyDescent="0.1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3" x14ac:dyDescent="0.1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3" x14ac:dyDescent="0.1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3" x14ac:dyDescent="0.1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3" x14ac:dyDescent="0.1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3" x14ac:dyDescent="0.1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3" x14ac:dyDescent="0.1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3" x14ac:dyDescent="0.1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3" x14ac:dyDescent="0.1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3" x14ac:dyDescent="0.1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3" x14ac:dyDescent="0.1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3" x14ac:dyDescent="0.1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3" x14ac:dyDescent="0.1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3" x14ac:dyDescent="0.1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3" x14ac:dyDescent="0.1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3" x14ac:dyDescent="0.1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3" x14ac:dyDescent="0.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3" x14ac:dyDescent="0.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3" x14ac:dyDescent="0.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3" x14ac:dyDescent="0.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3" x14ac:dyDescent="0.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3" x14ac:dyDescent="0.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3" x14ac:dyDescent="0.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3" x14ac:dyDescent="0.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3" x14ac:dyDescent="0.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3" x14ac:dyDescent="0.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3" x14ac:dyDescent="0.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3" x14ac:dyDescent="0.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3" x14ac:dyDescent="0.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3" x14ac:dyDescent="0.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3" x14ac:dyDescent="0.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3" x14ac:dyDescent="0.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3" x14ac:dyDescent="0.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3" x14ac:dyDescent="0.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3" x14ac:dyDescent="0.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3" x14ac:dyDescent="0.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3" x14ac:dyDescent="0.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3" x14ac:dyDescent="0.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3" x14ac:dyDescent="0.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3" x14ac:dyDescent="0.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3" x14ac:dyDescent="0.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3" x14ac:dyDescent="0.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3" x14ac:dyDescent="0.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3" x14ac:dyDescent="0.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3" x14ac:dyDescent="0.1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3" x14ac:dyDescent="0.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3" x14ac:dyDescent="0.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3" x14ac:dyDescent="0.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3" x14ac:dyDescent="0.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3" x14ac:dyDescent="0.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3" x14ac:dyDescent="0.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3" x14ac:dyDescent="0.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3" x14ac:dyDescent="0.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3" x14ac:dyDescent="0.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3" x14ac:dyDescent="0.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3" x14ac:dyDescent="0.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3" x14ac:dyDescent="0.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3" x14ac:dyDescent="0.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3" x14ac:dyDescent="0.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3" x14ac:dyDescent="0.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3" x14ac:dyDescent="0.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3" x14ac:dyDescent="0.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3" x14ac:dyDescent="0.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3" x14ac:dyDescent="0.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3" x14ac:dyDescent="0.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3" x14ac:dyDescent="0.1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3" x14ac:dyDescent="0.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3" x14ac:dyDescent="0.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3" x14ac:dyDescent="0.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3" x14ac:dyDescent="0.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3" x14ac:dyDescent="0.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3" x14ac:dyDescent="0.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3" x14ac:dyDescent="0.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3" x14ac:dyDescent="0.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3" x14ac:dyDescent="0.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3" x14ac:dyDescent="0.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3" x14ac:dyDescent="0.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3" x14ac:dyDescent="0.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3" x14ac:dyDescent="0.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3" x14ac:dyDescent="0.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3" x14ac:dyDescent="0.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3" x14ac:dyDescent="0.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3" x14ac:dyDescent="0.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3" x14ac:dyDescent="0.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3" x14ac:dyDescent="0.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3" x14ac:dyDescent="0.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3" x14ac:dyDescent="0.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3" x14ac:dyDescent="0.1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3" x14ac:dyDescent="0.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3" x14ac:dyDescent="0.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3" x14ac:dyDescent="0.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3" x14ac:dyDescent="0.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3" x14ac:dyDescent="0.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3" x14ac:dyDescent="0.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3" x14ac:dyDescent="0.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3" x14ac:dyDescent="0.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3" x14ac:dyDescent="0.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3" x14ac:dyDescent="0.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3" x14ac:dyDescent="0.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3" x14ac:dyDescent="0.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3" x14ac:dyDescent="0.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3" x14ac:dyDescent="0.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3" x14ac:dyDescent="0.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3" x14ac:dyDescent="0.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3" x14ac:dyDescent="0.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3" x14ac:dyDescent="0.1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3" x14ac:dyDescent="0.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3" x14ac:dyDescent="0.1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3" x14ac:dyDescent="0.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3" x14ac:dyDescent="0.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3" x14ac:dyDescent="0.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3" x14ac:dyDescent="0.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3" x14ac:dyDescent="0.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3" x14ac:dyDescent="0.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3" x14ac:dyDescent="0.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3" x14ac:dyDescent="0.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3" x14ac:dyDescent="0.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3" x14ac:dyDescent="0.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3" x14ac:dyDescent="0.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3" x14ac:dyDescent="0.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3" x14ac:dyDescent="0.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3" x14ac:dyDescent="0.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3" x14ac:dyDescent="0.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3" x14ac:dyDescent="0.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3" x14ac:dyDescent="0.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3" x14ac:dyDescent="0.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3" x14ac:dyDescent="0.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3" x14ac:dyDescent="0.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3" x14ac:dyDescent="0.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3" x14ac:dyDescent="0.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3" x14ac:dyDescent="0.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3" x14ac:dyDescent="0.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3" x14ac:dyDescent="0.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3" x14ac:dyDescent="0.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3" x14ac:dyDescent="0.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3" x14ac:dyDescent="0.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3" x14ac:dyDescent="0.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3" x14ac:dyDescent="0.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3" x14ac:dyDescent="0.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3" x14ac:dyDescent="0.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3" x14ac:dyDescent="0.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3" x14ac:dyDescent="0.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3" x14ac:dyDescent="0.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3" x14ac:dyDescent="0.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3" x14ac:dyDescent="0.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3" x14ac:dyDescent="0.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3" x14ac:dyDescent="0.1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3" x14ac:dyDescent="0.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3" x14ac:dyDescent="0.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3" x14ac:dyDescent="0.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3" x14ac:dyDescent="0.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3" x14ac:dyDescent="0.1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3" x14ac:dyDescent="0.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3" x14ac:dyDescent="0.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3" x14ac:dyDescent="0.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3" x14ac:dyDescent="0.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3" x14ac:dyDescent="0.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3" x14ac:dyDescent="0.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3" x14ac:dyDescent="0.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3" x14ac:dyDescent="0.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3" x14ac:dyDescent="0.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3" x14ac:dyDescent="0.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3" x14ac:dyDescent="0.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3" x14ac:dyDescent="0.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3" x14ac:dyDescent="0.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3" x14ac:dyDescent="0.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3" x14ac:dyDescent="0.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3" x14ac:dyDescent="0.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3" x14ac:dyDescent="0.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3" x14ac:dyDescent="0.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3" x14ac:dyDescent="0.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3" x14ac:dyDescent="0.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3" x14ac:dyDescent="0.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3" x14ac:dyDescent="0.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3" x14ac:dyDescent="0.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3" x14ac:dyDescent="0.1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3" x14ac:dyDescent="0.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3" x14ac:dyDescent="0.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3" x14ac:dyDescent="0.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3" x14ac:dyDescent="0.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3" x14ac:dyDescent="0.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3" x14ac:dyDescent="0.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3" x14ac:dyDescent="0.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3" x14ac:dyDescent="0.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3" x14ac:dyDescent="0.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3" x14ac:dyDescent="0.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3" x14ac:dyDescent="0.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3" x14ac:dyDescent="0.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3" x14ac:dyDescent="0.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3" x14ac:dyDescent="0.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3" x14ac:dyDescent="0.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3" x14ac:dyDescent="0.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3" x14ac:dyDescent="0.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3" x14ac:dyDescent="0.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3" x14ac:dyDescent="0.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3" x14ac:dyDescent="0.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3" x14ac:dyDescent="0.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3" x14ac:dyDescent="0.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3" x14ac:dyDescent="0.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3" x14ac:dyDescent="0.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3" x14ac:dyDescent="0.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3" x14ac:dyDescent="0.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3" x14ac:dyDescent="0.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3" x14ac:dyDescent="0.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3" x14ac:dyDescent="0.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3" x14ac:dyDescent="0.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3" x14ac:dyDescent="0.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3" x14ac:dyDescent="0.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3" x14ac:dyDescent="0.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3" x14ac:dyDescent="0.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3" x14ac:dyDescent="0.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3" x14ac:dyDescent="0.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3" x14ac:dyDescent="0.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3" x14ac:dyDescent="0.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3" x14ac:dyDescent="0.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3" x14ac:dyDescent="0.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3" x14ac:dyDescent="0.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3" x14ac:dyDescent="0.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3" x14ac:dyDescent="0.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3" x14ac:dyDescent="0.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3" x14ac:dyDescent="0.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3" x14ac:dyDescent="0.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3" x14ac:dyDescent="0.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3" x14ac:dyDescent="0.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3" x14ac:dyDescent="0.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3" x14ac:dyDescent="0.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3" x14ac:dyDescent="0.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3" x14ac:dyDescent="0.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3" x14ac:dyDescent="0.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3" x14ac:dyDescent="0.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3" x14ac:dyDescent="0.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3" x14ac:dyDescent="0.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3" x14ac:dyDescent="0.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3" x14ac:dyDescent="0.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3" x14ac:dyDescent="0.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3" x14ac:dyDescent="0.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3" x14ac:dyDescent="0.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3" x14ac:dyDescent="0.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3" x14ac:dyDescent="0.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3" x14ac:dyDescent="0.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3" x14ac:dyDescent="0.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3" x14ac:dyDescent="0.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3" x14ac:dyDescent="0.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3" x14ac:dyDescent="0.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3" x14ac:dyDescent="0.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3" x14ac:dyDescent="0.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3" x14ac:dyDescent="0.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3" x14ac:dyDescent="0.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3" x14ac:dyDescent="0.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3" x14ac:dyDescent="0.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3" x14ac:dyDescent="0.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3" x14ac:dyDescent="0.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3" x14ac:dyDescent="0.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3" x14ac:dyDescent="0.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3" x14ac:dyDescent="0.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3" x14ac:dyDescent="0.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3" x14ac:dyDescent="0.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3" x14ac:dyDescent="0.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3" x14ac:dyDescent="0.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3" x14ac:dyDescent="0.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3" x14ac:dyDescent="0.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3" x14ac:dyDescent="0.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3" x14ac:dyDescent="0.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3" x14ac:dyDescent="0.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3" x14ac:dyDescent="0.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3" x14ac:dyDescent="0.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3" x14ac:dyDescent="0.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3" x14ac:dyDescent="0.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3" x14ac:dyDescent="0.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3" x14ac:dyDescent="0.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3" x14ac:dyDescent="0.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3" x14ac:dyDescent="0.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3" x14ac:dyDescent="0.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3" x14ac:dyDescent="0.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3" x14ac:dyDescent="0.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3" x14ac:dyDescent="0.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3" x14ac:dyDescent="0.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3" x14ac:dyDescent="0.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3" x14ac:dyDescent="0.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3" x14ac:dyDescent="0.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3" x14ac:dyDescent="0.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3" x14ac:dyDescent="0.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3" x14ac:dyDescent="0.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3" x14ac:dyDescent="0.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3" x14ac:dyDescent="0.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3" x14ac:dyDescent="0.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3" x14ac:dyDescent="0.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3" x14ac:dyDescent="0.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3" x14ac:dyDescent="0.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3" x14ac:dyDescent="0.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3" x14ac:dyDescent="0.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3" x14ac:dyDescent="0.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3" x14ac:dyDescent="0.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3" x14ac:dyDescent="0.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3" x14ac:dyDescent="0.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3" x14ac:dyDescent="0.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3" x14ac:dyDescent="0.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3" x14ac:dyDescent="0.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3" x14ac:dyDescent="0.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3" x14ac:dyDescent="0.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3" x14ac:dyDescent="0.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3" x14ac:dyDescent="0.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3" x14ac:dyDescent="0.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3" x14ac:dyDescent="0.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3" x14ac:dyDescent="0.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3" x14ac:dyDescent="0.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3" x14ac:dyDescent="0.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3" x14ac:dyDescent="0.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3" x14ac:dyDescent="0.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3" x14ac:dyDescent="0.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3" x14ac:dyDescent="0.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3" x14ac:dyDescent="0.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3" x14ac:dyDescent="0.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3" x14ac:dyDescent="0.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3" x14ac:dyDescent="0.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3" x14ac:dyDescent="0.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3" x14ac:dyDescent="0.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3" x14ac:dyDescent="0.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3" x14ac:dyDescent="0.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3" x14ac:dyDescent="0.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3" x14ac:dyDescent="0.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3" x14ac:dyDescent="0.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3" x14ac:dyDescent="0.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3" x14ac:dyDescent="0.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3" x14ac:dyDescent="0.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3" x14ac:dyDescent="0.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3" x14ac:dyDescent="0.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3" x14ac:dyDescent="0.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3" x14ac:dyDescent="0.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3" x14ac:dyDescent="0.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3" x14ac:dyDescent="0.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3" x14ac:dyDescent="0.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3" x14ac:dyDescent="0.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3" x14ac:dyDescent="0.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3" x14ac:dyDescent="0.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3" x14ac:dyDescent="0.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3" x14ac:dyDescent="0.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3" x14ac:dyDescent="0.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3" x14ac:dyDescent="0.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3" x14ac:dyDescent="0.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3" x14ac:dyDescent="0.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3" x14ac:dyDescent="0.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3" x14ac:dyDescent="0.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3" x14ac:dyDescent="0.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3" x14ac:dyDescent="0.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3" x14ac:dyDescent="0.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3" x14ac:dyDescent="0.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3" x14ac:dyDescent="0.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3" x14ac:dyDescent="0.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3" x14ac:dyDescent="0.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3" x14ac:dyDescent="0.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3" x14ac:dyDescent="0.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3" x14ac:dyDescent="0.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3" x14ac:dyDescent="0.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3" x14ac:dyDescent="0.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3" x14ac:dyDescent="0.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3" x14ac:dyDescent="0.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3" x14ac:dyDescent="0.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3" x14ac:dyDescent="0.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3" x14ac:dyDescent="0.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3" x14ac:dyDescent="0.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3" x14ac:dyDescent="0.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3" x14ac:dyDescent="0.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3" x14ac:dyDescent="0.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3" x14ac:dyDescent="0.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3" x14ac:dyDescent="0.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3" x14ac:dyDescent="0.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3" x14ac:dyDescent="0.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3" x14ac:dyDescent="0.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3" x14ac:dyDescent="0.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3" x14ac:dyDescent="0.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3" x14ac:dyDescent="0.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3" x14ac:dyDescent="0.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3" x14ac:dyDescent="0.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3" x14ac:dyDescent="0.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3" x14ac:dyDescent="0.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3" x14ac:dyDescent="0.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3" x14ac:dyDescent="0.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3" x14ac:dyDescent="0.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3" x14ac:dyDescent="0.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3" x14ac:dyDescent="0.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3" x14ac:dyDescent="0.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3" x14ac:dyDescent="0.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3" x14ac:dyDescent="0.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3" x14ac:dyDescent="0.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3" x14ac:dyDescent="0.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3" x14ac:dyDescent="0.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3" x14ac:dyDescent="0.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3" x14ac:dyDescent="0.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3" x14ac:dyDescent="0.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3" x14ac:dyDescent="0.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3" x14ac:dyDescent="0.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3" x14ac:dyDescent="0.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3" x14ac:dyDescent="0.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3" x14ac:dyDescent="0.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3" x14ac:dyDescent="0.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3" x14ac:dyDescent="0.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3" x14ac:dyDescent="0.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3" x14ac:dyDescent="0.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3" x14ac:dyDescent="0.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3" x14ac:dyDescent="0.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3" x14ac:dyDescent="0.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3" x14ac:dyDescent="0.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3" x14ac:dyDescent="0.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3" x14ac:dyDescent="0.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3" x14ac:dyDescent="0.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3" x14ac:dyDescent="0.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3" x14ac:dyDescent="0.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3" x14ac:dyDescent="0.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3" x14ac:dyDescent="0.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3" x14ac:dyDescent="0.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3" x14ac:dyDescent="0.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3" x14ac:dyDescent="0.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3" x14ac:dyDescent="0.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3" x14ac:dyDescent="0.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3" x14ac:dyDescent="0.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3" x14ac:dyDescent="0.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3" x14ac:dyDescent="0.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3" x14ac:dyDescent="0.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3" x14ac:dyDescent="0.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3" x14ac:dyDescent="0.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3" x14ac:dyDescent="0.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3" x14ac:dyDescent="0.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3" x14ac:dyDescent="0.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3" x14ac:dyDescent="0.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3" x14ac:dyDescent="0.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3" x14ac:dyDescent="0.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3" x14ac:dyDescent="0.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3" x14ac:dyDescent="0.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3" x14ac:dyDescent="0.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3" x14ac:dyDescent="0.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3" x14ac:dyDescent="0.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3" x14ac:dyDescent="0.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3" x14ac:dyDescent="0.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3" x14ac:dyDescent="0.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3" x14ac:dyDescent="0.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3" x14ac:dyDescent="0.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3" x14ac:dyDescent="0.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3" x14ac:dyDescent="0.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3" x14ac:dyDescent="0.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3" x14ac:dyDescent="0.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3" x14ac:dyDescent="0.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3" x14ac:dyDescent="0.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3" x14ac:dyDescent="0.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3" x14ac:dyDescent="0.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3" x14ac:dyDescent="0.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3" x14ac:dyDescent="0.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3" x14ac:dyDescent="0.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3" x14ac:dyDescent="0.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3" x14ac:dyDescent="0.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3" x14ac:dyDescent="0.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3" x14ac:dyDescent="0.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3" x14ac:dyDescent="0.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3" x14ac:dyDescent="0.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3" x14ac:dyDescent="0.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3" x14ac:dyDescent="0.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3" x14ac:dyDescent="0.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3" x14ac:dyDescent="0.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3" x14ac:dyDescent="0.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3" x14ac:dyDescent="0.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3" x14ac:dyDescent="0.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3" x14ac:dyDescent="0.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3" x14ac:dyDescent="0.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3" x14ac:dyDescent="0.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3" x14ac:dyDescent="0.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3" x14ac:dyDescent="0.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3" x14ac:dyDescent="0.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3" x14ac:dyDescent="0.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3" x14ac:dyDescent="0.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3" x14ac:dyDescent="0.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3" x14ac:dyDescent="0.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3" x14ac:dyDescent="0.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3" x14ac:dyDescent="0.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3" x14ac:dyDescent="0.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3" x14ac:dyDescent="0.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3" x14ac:dyDescent="0.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3" x14ac:dyDescent="0.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3" x14ac:dyDescent="0.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3" x14ac:dyDescent="0.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3" x14ac:dyDescent="0.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3" x14ac:dyDescent="0.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3" x14ac:dyDescent="0.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3" x14ac:dyDescent="0.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3" x14ac:dyDescent="0.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3" x14ac:dyDescent="0.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3" x14ac:dyDescent="0.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3" x14ac:dyDescent="0.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3" x14ac:dyDescent="0.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3" x14ac:dyDescent="0.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3" x14ac:dyDescent="0.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3" x14ac:dyDescent="0.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3" x14ac:dyDescent="0.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3" x14ac:dyDescent="0.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3" x14ac:dyDescent="0.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3" x14ac:dyDescent="0.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3" x14ac:dyDescent="0.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3" x14ac:dyDescent="0.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3" x14ac:dyDescent="0.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3" x14ac:dyDescent="0.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3" x14ac:dyDescent="0.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3" x14ac:dyDescent="0.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3" x14ac:dyDescent="0.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3" x14ac:dyDescent="0.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3" x14ac:dyDescent="0.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3" x14ac:dyDescent="0.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3" x14ac:dyDescent="0.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3" x14ac:dyDescent="0.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3" x14ac:dyDescent="0.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3" x14ac:dyDescent="0.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3" x14ac:dyDescent="0.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3" x14ac:dyDescent="0.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3" x14ac:dyDescent="0.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3" x14ac:dyDescent="0.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3" x14ac:dyDescent="0.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3" x14ac:dyDescent="0.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3" x14ac:dyDescent="0.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3" x14ac:dyDescent="0.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3" x14ac:dyDescent="0.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3" x14ac:dyDescent="0.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3" x14ac:dyDescent="0.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3" x14ac:dyDescent="0.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3" x14ac:dyDescent="0.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3" x14ac:dyDescent="0.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3" x14ac:dyDescent="0.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3" x14ac:dyDescent="0.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3" x14ac:dyDescent="0.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3" x14ac:dyDescent="0.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3" x14ac:dyDescent="0.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3" x14ac:dyDescent="0.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3" x14ac:dyDescent="0.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3" x14ac:dyDescent="0.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3" x14ac:dyDescent="0.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3" x14ac:dyDescent="0.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3" x14ac:dyDescent="0.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3" x14ac:dyDescent="0.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3" x14ac:dyDescent="0.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3" x14ac:dyDescent="0.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3" x14ac:dyDescent="0.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3" x14ac:dyDescent="0.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3" x14ac:dyDescent="0.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3" x14ac:dyDescent="0.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3" x14ac:dyDescent="0.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3" x14ac:dyDescent="0.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3" x14ac:dyDescent="0.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3" x14ac:dyDescent="0.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3" x14ac:dyDescent="0.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3" x14ac:dyDescent="0.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3" x14ac:dyDescent="0.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3" x14ac:dyDescent="0.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3" x14ac:dyDescent="0.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3" x14ac:dyDescent="0.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3" x14ac:dyDescent="0.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3" x14ac:dyDescent="0.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3" x14ac:dyDescent="0.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3" x14ac:dyDescent="0.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3" x14ac:dyDescent="0.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3" x14ac:dyDescent="0.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3" x14ac:dyDescent="0.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3" x14ac:dyDescent="0.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3" x14ac:dyDescent="0.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3" x14ac:dyDescent="0.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3" x14ac:dyDescent="0.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3" x14ac:dyDescent="0.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3" x14ac:dyDescent="0.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3" x14ac:dyDescent="0.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3" x14ac:dyDescent="0.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3" x14ac:dyDescent="0.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3" x14ac:dyDescent="0.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3" x14ac:dyDescent="0.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3" x14ac:dyDescent="0.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3" x14ac:dyDescent="0.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3" x14ac:dyDescent="0.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3" x14ac:dyDescent="0.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3" x14ac:dyDescent="0.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3" x14ac:dyDescent="0.1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3" x14ac:dyDescent="0.1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3" x14ac:dyDescent="0.1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3" x14ac:dyDescent="0.1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3" x14ac:dyDescent="0.1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3" x14ac:dyDescent="0.1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3" x14ac:dyDescent="0.1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3" x14ac:dyDescent="0.1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3" x14ac:dyDescent="0.1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3" x14ac:dyDescent="0.1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3" x14ac:dyDescent="0.1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3" x14ac:dyDescent="0.1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3" x14ac:dyDescent="0.1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3" x14ac:dyDescent="0.1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3" x14ac:dyDescent="0.1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3" x14ac:dyDescent="0.1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3" x14ac:dyDescent="0.1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3" x14ac:dyDescent="0.1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3" x14ac:dyDescent="0.1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3" x14ac:dyDescent="0.1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3" x14ac:dyDescent="0.1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3" x14ac:dyDescent="0.1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3" x14ac:dyDescent="0.1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3" x14ac:dyDescent="0.1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3" x14ac:dyDescent="0.1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3" x14ac:dyDescent="0.1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3" x14ac:dyDescent="0.1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3" x14ac:dyDescent="0.1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3" x14ac:dyDescent="0.1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3" x14ac:dyDescent="0.1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3" x14ac:dyDescent="0.1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3" x14ac:dyDescent="0.1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3" x14ac:dyDescent="0.1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3" x14ac:dyDescent="0.1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spans="1:27" ht="13" x14ac:dyDescent="0.1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spans="1:27" ht="13" x14ac:dyDescent="0.1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row r="1005" spans="1:27" ht="13" x14ac:dyDescent="0.1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row>
    <row r="1006" spans="1:27" ht="13" x14ac:dyDescent="0.15">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row>
    <row r="1007" spans="1:27" ht="13" x14ac:dyDescent="0.15">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row>
    <row r="1008" spans="1:27" ht="13" x14ac:dyDescent="0.15">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row>
    <row r="1009" spans="2:23" ht="15.75" customHeight="1" x14ac:dyDescent="0.15">
      <c r="B1009" s="1"/>
      <c r="C1009" s="1"/>
      <c r="D1009" s="1"/>
      <c r="E1009" s="1"/>
      <c r="F1009" s="1"/>
      <c r="G1009" s="1"/>
      <c r="H1009" s="1"/>
      <c r="I1009" s="1"/>
      <c r="J1009" s="1"/>
      <c r="K1009" s="1"/>
      <c r="L1009" s="1"/>
      <c r="M1009" s="1"/>
      <c r="N1009" s="1"/>
      <c r="O1009" s="1"/>
      <c r="P1009" s="1"/>
      <c r="Q1009" s="1"/>
      <c r="R1009" s="1"/>
      <c r="S1009" s="1"/>
      <c r="T1009" s="1"/>
      <c r="U1009" s="1"/>
      <c r="V1009" s="1"/>
      <c r="W1009" s="1"/>
    </row>
  </sheetData>
  <phoneticPr fontId="33" type="noConversion"/>
  <conditionalFormatting sqref="D3:D4 F3:F4 H3:H4 C8:R10 C12:R12 C14:R14 D16:R18 C18 C20:R20 D21:R21 D7">
    <cfRule type="expression" dxfId="35" priority="1">
      <formula>currency="JPY"</formula>
    </cfRule>
    <cfRule type="expression" dxfId="34" priority="3">
      <formula>currency="AUD"</formula>
    </cfRule>
    <cfRule type="expression" dxfId="33" priority="4">
      <formula>currency="USD"</formula>
    </cfRule>
    <cfRule type="expression" dxfId="32" priority="5">
      <formula>currency="EUR"</formula>
    </cfRule>
    <cfRule type="expression" dxfId="31" priority="7">
      <formula>currency="GBP"</formula>
    </cfRule>
  </conditionalFormatting>
  <conditionalFormatting sqref="B18:F23 B9">
    <cfRule type="expression" dxfId="30" priority="6">
      <formula>currency="EUR"</formula>
    </cfRule>
  </conditionalFormatting>
  <conditionalFormatting sqref="D25">
    <cfRule type="expression" dxfId="29" priority="2">
      <formula>currency="JPY"</formula>
    </cfRule>
  </conditionalFormatting>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V156"/>
  <sheetViews>
    <sheetView zoomScaleNormal="100" workbookViewId="0">
      <selection activeCell="H18" sqref="H18"/>
    </sheetView>
  </sheetViews>
  <sheetFormatPr baseColWidth="10" defaultColWidth="14.5" defaultRowHeight="15.75" customHeight="1" x14ac:dyDescent="0.15"/>
  <cols>
    <col min="1" max="1" width="56" customWidth="1"/>
    <col min="2" max="2" width="18.1640625" customWidth="1"/>
    <col min="3" max="3" width="20.1640625" customWidth="1"/>
    <col min="4" max="4" width="2.6640625" customWidth="1"/>
    <col min="5" max="5" width="3.1640625" customWidth="1"/>
    <col min="6" max="6" width="26.6640625" customWidth="1"/>
    <col min="7" max="7" width="25" customWidth="1"/>
    <col min="8" max="8" width="18.83203125" customWidth="1"/>
    <col min="9" max="9" width="19.1640625" customWidth="1"/>
    <col min="10" max="10" width="16.33203125" customWidth="1"/>
    <col min="11" max="17" width="15.1640625" bestFit="1" customWidth="1"/>
    <col min="18" max="18" width="15.1640625" customWidth="1"/>
    <col min="19" max="22" width="15.1640625" bestFit="1" customWidth="1"/>
  </cols>
  <sheetData>
    <row r="1" spans="1:22" ht="13" x14ac:dyDescent="0.15">
      <c r="A1" s="411" t="s">
        <v>479</v>
      </c>
      <c r="B1" s="412"/>
      <c r="C1" s="412"/>
      <c r="D1" s="412"/>
      <c r="E1" s="412"/>
      <c r="F1" s="412"/>
      <c r="G1" s="412"/>
      <c r="H1" s="412"/>
    </row>
    <row r="2" spans="1:22" ht="15.75" customHeight="1" x14ac:dyDescent="0.15">
      <c r="A2" s="412"/>
      <c r="B2" s="412"/>
      <c r="C2" s="412"/>
      <c r="D2" s="412"/>
      <c r="E2" s="412"/>
      <c r="F2" s="412"/>
      <c r="G2" s="412"/>
      <c r="H2" s="412"/>
    </row>
    <row r="3" spans="1:22" s="26" customFormat="1" ht="15.75" customHeight="1" x14ac:dyDescent="0.15">
      <c r="A3" s="50" t="s">
        <v>165</v>
      </c>
    </row>
    <row r="4" spans="1:22" ht="13" x14ac:dyDescent="0.15">
      <c r="A4" s="413" t="s">
        <v>478</v>
      </c>
      <c r="B4" s="412"/>
      <c r="C4" s="412"/>
      <c r="D4" s="412"/>
      <c r="E4" s="412"/>
      <c r="F4" s="412"/>
      <c r="G4" s="412"/>
      <c r="H4" s="412"/>
    </row>
    <row r="5" spans="1:22" ht="13" x14ac:dyDescent="0.15">
      <c r="A5" s="438" t="s">
        <v>1059</v>
      </c>
      <c r="B5" s="439"/>
      <c r="C5" s="439"/>
      <c r="D5" s="439"/>
      <c r="E5" s="439"/>
      <c r="F5" s="439"/>
      <c r="G5" s="439"/>
      <c r="H5" s="439"/>
    </row>
    <row r="6" spans="1:22" s="26" customFormat="1" ht="13" x14ac:dyDescent="0.15">
      <c r="A6" s="77" t="s">
        <v>500</v>
      </c>
      <c r="B6" s="78"/>
      <c r="C6" s="78"/>
      <c r="D6" s="78"/>
      <c r="E6" s="78"/>
      <c r="F6" s="78"/>
      <c r="G6" s="78"/>
      <c r="H6" s="78"/>
    </row>
    <row r="7" spans="1:22" ht="13" x14ac:dyDescent="0.15">
      <c r="A7" s="414" t="s">
        <v>883</v>
      </c>
      <c r="B7" s="412"/>
      <c r="C7" s="412"/>
      <c r="D7" s="412"/>
      <c r="E7" s="412"/>
      <c r="F7" s="412"/>
      <c r="G7" s="412"/>
      <c r="H7" s="412"/>
    </row>
    <row r="8" spans="1:22" s="26" customFormat="1" ht="13" x14ac:dyDescent="0.15">
      <c r="A8" s="337" t="s">
        <v>882</v>
      </c>
      <c r="B8" s="337"/>
      <c r="C8" s="337"/>
      <c r="D8" s="337"/>
      <c r="E8" s="337"/>
      <c r="F8" s="337"/>
      <c r="G8" s="337"/>
      <c r="H8" s="337"/>
    </row>
    <row r="9" spans="1:22" s="26" customFormat="1" ht="13" x14ac:dyDescent="0.15">
      <c r="A9" s="72" t="s">
        <v>206</v>
      </c>
    </row>
    <row r="10" spans="1:22" s="26" customFormat="1" ht="13" x14ac:dyDescent="0.15">
      <c r="A10" s="47" t="s">
        <v>164</v>
      </c>
      <c r="B10" s="47"/>
      <c r="C10" s="47"/>
      <c r="D10" s="47"/>
      <c r="E10" s="47"/>
      <c r="F10" s="47"/>
      <c r="G10" s="47"/>
      <c r="H10" s="47"/>
    </row>
    <row r="11" spans="1:22" s="213" customFormat="1" ht="14" thickBot="1" x14ac:dyDescent="0.2">
      <c r="A11" s="47"/>
      <c r="B11" s="47"/>
      <c r="C11" s="47"/>
      <c r="D11" s="47"/>
      <c r="E11" s="47"/>
      <c r="F11" s="47"/>
      <c r="G11" s="47"/>
      <c r="H11" s="47"/>
    </row>
    <row r="12" spans="1:22" s="207" customFormat="1" ht="14" thickBot="1" x14ac:dyDescent="0.2">
      <c r="A12" s="208" t="s">
        <v>806</v>
      </c>
      <c r="B12" s="440" t="s">
        <v>898</v>
      </c>
      <c r="C12" s="47"/>
      <c r="D12" s="47"/>
      <c r="E12" s="47"/>
      <c r="F12" s="47"/>
      <c r="G12" s="47"/>
      <c r="H12" s="47"/>
    </row>
    <row r="13" spans="1:22" s="207" customFormat="1" ht="14" thickBot="1" x14ac:dyDescent="0.2">
      <c r="A13" s="208" t="s">
        <v>776</v>
      </c>
      <c r="B13" s="440">
        <v>44228</v>
      </c>
      <c r="C13" s="47"/>
      <c r="D13" s="47"/>
      <c r="E13" s="47"/>
      <c r="F13" s="47"/>
      <c r="G13" s="47"/>
      <c r="H13" s="47"/>
    </row>
    <row r="14" spans="1:22" ht="15.75" customHeight="1" x14ac:dyDescent="0.15">
      <c r="L14" s="139"/>
      <c r="M14" s="139"/>
      <c r="N14" s="140"/>
      <c r="O14" s="140"/>
      <c r="P14" s="140"/>
      <c r="Q14" s="140"/>
      <c r="R14" s="141"/>
      <c r="S14" s="141"/>
      <c r="T14" s="410"/>
      <c r="U14" s="410"/>
    </row>
    <row r="15" spans="1:22" ht="16" x14ac:dyDescent="0.2">
      <c r="A15" s="2" t="s">
        <v>2</v>
      </c>
      <c r="B15" s="142" t="s">
        <v>166</v>
      </c>
      <c r="C15" s="142" t="s">
        <v>167</v>
      </c>
      <c r="D15" s="165"/>
      <c r="E15" s="165"/>
      <c r="F15" s="187" t="s">
        <v>510</v>
      </c>
      <c r="G15" s="141"/>
      <c r="H15" s="115" t="s">
        <v>293</v>
      </c>
      <c r="I15" s="115" t="s">
        <v>294</v>
      </c>
      <c r="J15" s="115" t="s">
        <v>295</v>
      </c>
      <c r="K15" s="115" t="s">
        <v>296</v>
      </c>
      <c r="L15" s="168" t="s">
        <v>63</v>
      </c>
      <c r="M15" s="135"/>
      <c r="N15" s="135"/>
      <c r="O15" s="135"/>
      <c r="P15" s="135"/>
      <c r="Q15" s="135"/>
      <c r="R15" s="135"/>
      <c r="S15" s="135"/>
      <c r="T15" s="135"/>
      <c r="U15" s="135"/>
      <c r="V15" s="132"/>
    </row>
    <row r="16" spans="1:22" s="26" customFormat="1" ht="13" x14ac:dyDescent="0.15">
      <c r="A16" s="115" t="s">
        <v>213</v>
      </c>
      <c r="B16" s="441">
        <v>220</v>
      </c>
      <c r="C16" s="143">
        <v>220</v>
      </c>
      <c r="D16" s="165"/>
      <c r="E16" s="165"/>
      <c r="F16" s="165"/>
      <c r="G16" s="183" t="s">
        <v>565</v>
      </c>
      <c r="H16" s="449" t="s">
        <v>540</v>
      </c>
      <c r="I16" s="450" t="s">
        <v>298</v>
      </c>
      <c r="J16" s="450" t="s">
        <v>433</v>
      </c>
      <c r="K16" s="450" t="s">
        <v>298</v>
      </c>
      <c r="L16" s="219"/>
      <c r="M16" s="137"/>
      <c r="N16" s="136"/>
      <c r="O16" s="136"/>
      <c r="P16" s="137"/>
      <c r="Q16" s="137"/>
      <c r="R16" s="138"/>
      <c r="S16" s="138"/>
      <c r="T16" s="132"/>
      <c r="U16" s="132"/>
      <c r="V16" s="132"/>
    </row>
    <row r="17" spans="1:22" s="95" customFormat="1" ht="13" x14ac:dyDescent="0.15">
      <c r="A17" s="115" t="s">
        <v>419</v>
      </c>
      <c r="B17" s="442">
        <v>0.22500000000000001</v>
      </c>
      <c r="C17" s="332">
        <f>percent_production_area_pilot*growing_area_mulitplier</f>
        <v>0.45</v>
      </c>
      <c r="D17" s="165"/>
      <c r="E17" s="165"/>
      <c r="F17" s="165"/>
      <c r="G17" s="184" t="s">
        <v>303</v>
      </c>
      <c r="H17" s="451">
        <v>0.9</v>
      </c>
      <c r="I17" s="452">
        <v>0</v>
      </c>
      <c r="J17" s="452">
        <v>0.1</v>
      </c>
      <c r="K17" s="451">
        <v>0</v>
      </c>
      <c r="L17" s="221">
        <f>SUM(H17:K17)</f>
        <v>1</v>
      </c>
      <c r="M17" s="137"/>
      <c r="N17" s="136"/>
      <c r="O17" s="136"/>
      <c r="P17" s="137"/>
      <c r="Q17" s="137"/>
      <c r="R17" s="138"/>
      <c r="S17" s="138"/>
      <c r="T17" s="132"/>
      <c r="U17" s="132"/>
      <c r="V17" s="132"/>
    </row>
    <row r="18" spans="1:22" ht="13" x14ac:dyDescent="0.15">
      <c r="A18" s="115" t="s">
        <v>291</v>
      </c>
      <c r="B18" s="144">
        <f>B16*B17</f>
        <v>49.5</v>
      </c>
      <c r="C18" s="145">
        <f>B18*B22</f>
        <v>99</v>
      </c>
      <c r="D18" s="165"/>
      <c r="E18" s="165"/>
      <c r="F18" s="120" t="s">
        <v>566</v>
      </c>
      <c r="G18" s="183" t="s">
        <v>297</v>
      </c>
      <c r="H18" s="450" t="s">
        <v>455</v>
      </c>
      <c r="I18" s="450" t="s">
        <v>455</v>
      </c>
      <c r="J18" s="450" t="s">
        <v>455</v>
      </c>
      <c r="K18" s="450" t="s">
        <v>455</v>
      </c>
      <c r="L18" s="220" t="s">
        <v>290</v>
      </c>
      <c r="M18" s="137"/>
      <c r="N18" s="136"/>
      <c r="O18" s="136"/>
      <c r="P18" s="137"/>
      <c r="Q18" s="137"/>
      <c r="R18" s="138"/>
      <c r="S18" s="138"/>
      <c r="T18" s="132"/>
      <c r="U18" s="132"/>
      <c r="V18" s="132"/>
    </row>
    <row r="19" spans="1:22" s="91" customFormat="1" ht="16" x14ac:dyDescent="0.2">
      <c r="A19" s="156" t="s">
        <v>77</v>
      </c>
      <c r="B19" s="443">
        <v>1</v>
      </c>
      <c r="C19" s="145">
        <v>1</v>
      </c>
      <c r="D19" s="165"/>
      <c r="E19" s="165"/>
      <c r="F19" s="416" t="s">
        <v>567</v>
      </c>
      <c r="G19" s="183" t="s">
        <v>299</v>
      </c>
      <c r="H19" s="116">
        <f>VLOOKUP(H16, Database!$A$8:$Y$64, 4, FALSE)</f>
        <v>16</v>
      </c>
      <c r="I19" s="116">
        <f>VLOOKUP(I16, Database!$A$8:$Y$64, 4, FALSE)</f>
        <v>0</v>
      </c>
      <c r="J19" s="116">
        <f>VLOOKUP(J16, Database!$A$8:$Y$64, 4, FALSE)</f>
        <v>14</v>
      </c>
      <c r="K19" s="116">
        <f>VLOOKUP(K16, Database!$A$8:$Y$64, 4, FALSE)</f>
        <v>0</v>
      </c>
      <c r="L19" s="119">
        <f>((H19*H17)+(I19*I17)+(J19*J17)+(K19*K17))</f>
        <v>15.8</v>
      </c>
      <c r="M19" s="137"/>
      <c r="N19" s="136"/>
      <c r="O19" s="136"/>
      <c r="P19" s="137"/>
      <c r="Q19" s="137"/>
      <c r="R19" s="138"/>
      <c r="S19" s="138"/>
      <c r="T19" s="132"/>
      <c r="U19" s="132"/>
      <c r="V19" s="132"/>
    </row>
    <row r="20" spans="1:22" s="91" customFormat="1" ht="16" x14ac:dyDescent="0.2">
      <c r="A20" s="158" t="s">
        <v>292</v>
      </c>
      <c r="B20" s="443">
        <f>IF(system_type="ZipRack", system_quantity*Database!F67, growing_levels_pilot*growing_area_pilot)</f>
        <v>195.85228799999999</v>
      </c>
      <c r="C20" s="146">
        <f>stacked_growing_area_pilot*growing_area_mulitplier</f>
        <v>391.70457599999997</v>
      </c>
      <c r="D20" s="165"/>
      <c r="E20" s="165"/>
      <c r="F20" s="416"/>
      <c r="G20" s="177" t="s">
        <v>878</v>
      </c>
      <c r="H20" s="369">
        <f>(VLOOKUP(H16, Database!$A$8:$Y$64, 5, FALSE))-VLOOKUP(crop_typ1, Database!A8:AB64, 28, FALSE)</f>
        <v>21</v>
      </c>
      <c r="I20" s="170">
        <f>(VLOOKUP(I16, Database!$A$8:$Y$64, 5, FALSE))-14</f>
        <v>-14</v>
      </c>
      <c r="J20" s="170">
        <f>(VLOOKUP(J16, Database!$A$8:$Y$64, 5, FALSE))-14</f>
        <v>28</v>
      </c>
      <c r="K20" s="170">
        <f>(VLOOKUP(K16, Database!$A$8:$Y$64, 5, FALSE))-14</f>
        <v>-14</v>
      </c>
      <c r="M20" s="132"/>
      <c r="N20" s="132"/>
      <c r="O20" s="132"/>
      <c r="P20" s="132"/>
      <c r="Q20" s="132"/>
      <c r="R20" s="132"/>
      <c r="S20" s="132"/>
      <c r="T20" s="132"/>
      <c r="U20" s="132"/>
      <c r="V20" s="132"/>
    </row>
    <row r="21" spans="1:22" ht="13" customHeight="1" x14ac:dyDescent="0.15">
      <c r="A21" s="115" t="s">
        <v>541</v>
      </c>
      <c r="B21" s="444" t="s">
        <v>542</v>
      </c>
      <c r="C21" s="147" t="s">
        <v>542</v>
      </c>
      <c r="D21" s="165"/>
      <c r="E21" s="165"/>
      <c r="F21" s="120" t="s">
        <v>112</v>
      </c>
      <c r="G21" s="183" t="s">
        <v>536</v>
      </c>
      <c r="H21" s="450">
        <v>0.1</v>
      </c>
      <c r="I21" s="450">
        <v>7.4999999999999997E-2</v>
      </c>
      <c r="J21" s="450">
        <v>7.4999999999999997E-2</v>
      </c>
      <c r="K21" s="450">
        <v>0.5</v>
      </c>
      <c r="L21" s="128"/>
      <c r="M21" s="132"/>
      <c r="N21" s="132"/>
      <c r="O21" s="132"/>
      <c r="P21" s="132"/>
      <c r="Q21" s="132"/>
      <c r="R21" s="132"/>
      <c r="S21" s="132"/>
      <c r="T21" s="132"/>
      <c r="U21" s="132"/>
      <c r="V21" s="132"/>
    </row>
    <row r="22" spans="1:22" s="91" customFormat="1" ht="14" customHeight="1" x14ac:dyDescent="0.15">
      <c r="A22" s="115" t="s">
        <v>306</v>
      </c>
      <c r="B22" s="445">
        <v>2</v>
      </c>
      <c r="C22" s="148"/>
      <c r="D22" s="165"/>
      <c r="E22" s="165"/>
      <c r="F22" s="120" t="s">
        <v>568</v>
      </c>
      <c r="G22" s="185" t="s">
        <v>561</v>
      </c>
      <c r="H22" s="450">
        <v>0.3</v>
      </c>
      <c r="I22" s="450">
        <v>7.4999999999999997E-2</v>
      </c>
      <c r="J22" s="450">
        <v>7.4999999999999997E-2</v>
      </c>
      <c r="K22" s="450">
        <v>0.5</v>
      </c>
      <c r="L22" s="171"/>
    </row>
    <row r="23" spans="1:22" s="108" customFormat="1" ht="13" customHeight="1" x14ac:dyDescent="0.15">
      <c r="A23" s="115" t="s">
        <v>454</v>
      </c>
      <c r="B23" s="445">
        <v>128</v>
      </c>
      <c r="C23" s="149">
        <f>B23*B22</f>
        <v>256</v>
      </c>
      <c r="D23" s="165"/>
      <c r="E23" s="165"/>
      <c r="F23" s="120" t="s">
        <v>547</v>
      </c>
      <c r="G23" s="185" t="s">
        <v>548</v>
      </c>
      <c r="H23" s="453">
        <v>0.85</v>
      </c>
      <c r="I23" s="453">
        <v>1</v>
      </c>
      <c r="J23" s="453">
        <v>1</v>
      </c>
      <c r="K23" s="450">
        <v>0</v>
      </c>
    </row>
    <row r="24" spans="1:22" s="91" customFormat="1" ht="28" customHeight="1" x14ac:dyDescent="0.15">
      <c r="A24" s="115" t="s">
        <v>1060</v>
      </c>
      <c r="B24" s="446">
        <v>1</v>
      </c>
      <c r="C24" s="261">
        <v>0.85</v>
      </c>
      <c r="D24" s="165"/>
      <c r="E24" s="165"/>
      <c r="F24" s="425" t="s">
        <v>302</v>
      </c>
      <c r="G24" s="186" t="s">
        <v>545</v>
      </c>
      <c r="H24" s="454">
        <v>7.5</v>
      </c>
      <c r="I24" s="454">
        <v>1.5</v>
      </c>
      <c r="J24" s="454">
        <v>1.5</v>
      </c>
      <c r="K24" s="454">
        <v>7.5</v>
      </c>
      <c r="L24" s="171"/>
    </row>
    <row r="25" spans="1:22" ht="23" customHeight="1" x14ac:dyDescent="0.15">
      <c r="A25" s="371" t="s">
        <v>955</v>
      </c>
      <c r="B25" s="447">
        <v>1.5</v>
      </c>
      <c r="C25" s="372">
        <v>1</v>
      </c>
      <c r="D25" s="165"/>
      <c r="E25" s="165"/>
      <c r="F25" s="425"/>
      <c r="G25" s="186" t="s">
        <v>546</v>
      </c>
      <c r="H25" s="454">
        <v>3</v>
      </c>
      <c r="I25" s="454">
        <v>0</v>
      </c>
      <c r="J25" s="454">
        <v>0</v>
      </c>
      <c r="K25" s="454">
        <v>7.5</v>
      </c>
      <c r="L25" s="44" t="s">
        <v>63</v>
      </c>
    </row>
    <row r="26" spans="1:22" ht="28" customHeight="1" x14ac:dyDescent="0.15">
      <c r="A26" s="142" t="s">
        <v>18</v>
      </c>
      <c r="B26" s="448">
        <v>0.02</v>
      </c>
      <c r="C26" s="151">
        <v>0.02</v>
      </c>
      <c r="D26" s="165"/>
      <c r="E26" s="165"/>
      <c r="F26" s="424" t="s">
        <v>499</v>
      </c>
      <c r="G26" s="183" t="s">
        <v>300</v>
      </c>
      <c r="H26" s="379">
        <f>VLOOKUP(H16, Database!$A$8:$Y$64, MATCH(H18,Database!$A$7:$AA$7, 0),0)*stacked_growing_area_pilot*H17/12</f>
        <v>580.94684927999992</v>
      </c>
      <c r="I26" s="379">
        <f>VLOOKUP(I16, Database!$A$8:$Y$64, MATCH(I18,Database!$A$7:$AA$7, 0),0)*stacked_growing_area_pilot*I17/12</f>
        <v>0</v>
      </c>
      <c r="J26" s="379">
        <f>VLOOKUP(J16, Database!$A$8:$Y$64, MATCH(J18,Database!$A$7:$AA$7, 0),0)*stacked_growing_area_pilot*J17/12</f>
        <v>63.997066678857131</v>
      </c>
      <c r="K26" s="379">
        <f>VLOOKUP(K16, Database!$A$8:$Y$64, MATCH(K18,Database!$A$7:$AA$7, 0),0)*stacked_growing_area_pilot*K17/12</f>
        <v>0</v>
      </c>
      <c r="L26" s="119">
        <f t="shared" ref="L26:L33" si="0">SUM(H26:K26)</f>
        <v>644.94391595885702</v>
      </c>
    </row>
    <row r="27" spans="1:22" ht="13" customHeight="1" x14ac:dyDescent="0.15">
      <c r="A27" s="115" t="s">
        <v>477</v>
      </c>
      <c r="B27" s="150">
        <f>SUM(F71:F74)</f>
        <v>385.55102982590131</v>
      </c>
      <c r="C27" s="149">
        <f>SUM(G71:G74)</f>
        <v>778.63408876984136</v>
      </c>
      <c r="D27" s="165"/>
      <c r="E27" s="165"/>
      <c r="F27" s="424"/>
      <c r="G27" s="183" t="s">
        <v>301</v>
      </c>
      <c r="H27" s="380">
        <f>VLOOKUP(H16, Database!$A$8:$Y$64, MATCH(H18,Database!$A$7:$AA$7, 0),0)*stacked_growing_area_full*H17/12</f>
        <v>1161.8936985599998</v>
      </c>
      <c r="I27" s="380">
        <f>VLOOKUP(I16, Database!$A$8:$Y$64, MATCH(I18,Database!$A$7:$AA$7, 0),0)*stacked_growing_area_full*I17/12</f>
        <v>0</v>
      </c>
      <c r="J27" s="380">
        <f>VLOOKUP(J16, Database!$A$8:$Y$64, MATCH(J18,Database!$A$7:$AA$7, 0),0)*stacked_growing_area_full*J17/12</f>
        <v>127.99413335771426</v>
      </c>
      <c r="K27" s="380">
        <f>VLOOKUP(K16, Database!$A$8:$Y$64, MATCH(K18,Database!$A$7:$AA$7, 0),0)*stacked_growing_area_full*K17/12</f>
        <v>0</v>
      </c>
      <c r="L27" s="119">
        <f t="shared" si="0"/>
        <v>1289.887831917714</v>
      </c>
    </row>
    <row r="28" spans="1:22" ht="14" customHeight="1" x14ac:dyDescent="0.15">
      <c r="A28" s="115" t="s">
        <v>476</v>
      </c>
      <c r="B28" s="262">
        <f>F75</f>
        <v>8666.0769801770366</v>
      </c>
      <c r="C28" s="263">
        <f>G75</f>
        <v>17501.452286916272</v>
      </c>
      <c r="F28" s="422" t="s">
        <v>538</v>
      </c>
      <c r="G28" s="120" t="s">
        <v>300</v>
      </c>
      <c r="H28" s="260">
        <f>(H26/H22)*H24</f>
        <v>14523.671231999999</v>
      </c>
      <c r="I28" s="260">
        <f>(I26/I22)*I24</f>
        <v>0</v>
      </c>
      <c r="J28" s="260">
        <f>(J26/J22)*J24</f>
        <v>1279.9413335771426</v>
      </c>
      <c r="K28" s="260">
        <f>(K26/K22)*K24</f>
        <v>0</v>
      </c>
      <c r="L28" s="119">
        <f t="shared" si="0"/>
        <v>15803.612565577141</v>
      </c>
    </row>
    <row r="29" spans="1:22" ht="29" customHeight="1" x14ac:dyDescent="0.2">
      <c r="A29" s="2" t="s">
        <v>79</v>
      </c>
      <c r="B29" s="45"/>
      <c r="C29" s="38"/>
      <c r="F29" s="423"/>
      <c r="G29" s="120" t="s">
        <v>301</v>
      </c>
      <c r="H29" s="291">
        <f>(H27/H22)*H24</f>
        <v>29047.342463999998</v>
      </c>
      <c r="I29" s="291">
        <f>(I27/I22)*I24</f>
        <v>0</v>
      </c>
      <c r="J29" s="291">
        <f>(J27/J22)*J24</f>
        <v>2559.8826671542852</v>
      </c>
      <c r="K29" s="291">
        <f>(K27/K22)*K24</f>
        <v>0</v>
      </c>
      <c r="L29" s="119">
        <f t="shared" si="0"/>
        <v>31607.225131154282</v>
      </c>
    </row>
    <row r="30" spans="1:22" ht="29" customHeight="1" x14ac:dyDescent="0.2">
      <c r="A30" s="156" t="s">
        <v>78</v>
      </c>
      <c r="B30" s="455" t="s">
        <v>951</v>
      </c>
      <c r="C30" s="38"/>
      <c r="F30" s="426" t="s">
        <v>537</v>
      </c>
      <c r="G30" s="120" t="s">
        <v>443</v>
      </c>
      <c r="H30" s="117">
        <f>H40/H21</f>
        <v>3811.5922781260797</v>
      </c>
      <c r="I30" s="117">
        <f>I40/I21</f>
        <v>0</v>
      </c>
      <c r="J30" s="117">
        <f>J40/J21</f>
        <v>559.84633930664234</v>
      </c>
      <c r="K30" s="117">
        <f>K40/K21</f>
        <v>0</v>
      </c>
      <c r="L30" s="119">
        <f t="shared" si="0"/>
        <v>4371.4386174327219</v>
      </c>
    </row>
    <row r="31" spans="1:22" s="26" customFormat="1" ht="16" x14ac:dyDescent="0.2">
      <c r="A31" s="156" t="s">
        <v>212</v>
      </c>
      <c r="B31" s="456" t="s">
        <v>83</v>
      </c>
      <c r="C31" s="114"/>
      <c r="F31" s="423"/>
      <c r="G31" s="120" t="s">
        <v>444</v>
      </c>
      <c r="H31" s="118">
        <f>H41/H21</f>
        <v>7623.1845562521594</v>
      </c>
      <c r="I31" s="118">
        <f>I41/I21</f>
        <v>0</v>
      </c>
      <c r="J31" s="118">
        <f>J41/J21</f>
        <v>1119.6926786132847</v>
      </c>
      <c r="K31" s="118">
        <f>K41/K21</f>
        <v>0</v>
      </c>
      <c r="L31" s="119">
        <f t="shared" si="0"/>
        <v>8742.8772348654438</v>
      </c>
    </row>
    <row r="32" spans="1:22" s="26" customFormat="1" ht="16" x14ac:dyDescent="0.2">
      <c r="A32" s="156" t="s">
        <v>76</v>
      </c>
      <c r="B32" s="457" t="s">
        <v>162</v>
      </c>
      <c r="C32" s="114"/>
      <c r="F32" s="418" t="s">
        <v>489</v>
      </c>
      <c r="G32" s="134" t="s">
        <v>300</v>
      </c>
      <c r="H32" s="130">
        <f>H30*LOOKUP(H16, Consumables!$A$36:$A$117, Consumables!$D$36:$D$117)*(1/LOOKUP(H16, Consumables!$A$36:$A$117, Consumables!$G$36:$G$117))</f>
        <v>117.88429726163135</v>
      </c>
      <c r="I32" s="130">
        <f>I30*LOOKUP(I16, Consumables!$A$36:$A$117, Consumables!$D$36:$D$117)*(1/LOOKUP(I16, Consumables!$A$36:$A$117, Consumables!$G$36:$G$117))</f>
        <v>0</v>
      </c>
      <c r="J32" s="130">
        <f>J30*LOOKUP(J16, Consumables!$A$36:$A$117, Consumables!$D$36:$D$117)*(1/LOOKUP(J16, Consumables!$A$36:$A$117, Consumables!$G$36:$G$117))</f>
        <v>17.314835236287909</v>
      </c>
      <c r="K32" s="130">
        <f>K30*LOOKUP(K16, Consumables!$A$36:$A$117, Consumables!$D$36:$D$117)*(1/LOOKUP(K16, Consumables!$A$36:$A$117, Consumables!$G$36:$G$117))</f>
        <v>0</v>
      </c>
      <c r="L32" s="119">
        <f t="shared" si="0"/>
        <v>135.19913249791927</v>
      </c>
    </row>
    <row r="33" spans="1:12" s="26" customFormat="1" ht="16" x14ac:dyDescent="0.2">
      <c r="A33" s="156" t="s">
        <v>75</v>
      </c>
      <c r="B33" s="455" t="s">
        <v>161</v>
      </c>
      <c r="C33" s="114"/>
      <c r="F33" s="419"/>
      <c r="G33" s="134" t="s">
        <v>301</v>
      </c>
      <c r="H33" s="130">
        <f>H31*LOOKUP(H16, Consumables!$A$36:$A$117, Consumables!$D$36:$D$117)*(1/LOOKUP(H16, Consumables!$A$36:$A$117, Consumables!$G$36:$G$117))</f>
        <v>235.76859452326269</v>
      </c>
      <c r="I33" s="130">
        <f>I31*LOOKUP(I16, Consumables!$A$36:$A$117, Consumables!$D$36:$D$117)*(1/LOOKUP(I16, Consumables!$A$36:$A$117, Consumables!$G$36:$G$117))</f>
        <v>0</v>
      </c>
      <c r="J33" s="130">
        <f>J31*LOOKUP(J16, Consumables!$A$36:$A$117, Consumables!$D$36:$D$117)*(1/LOOKUP(J16, Consumables!$A$36:$A$117, Consumables!$G$36:$G$117))</f>
        <v>34.629670472575818</v>
      </c>
      <c r="K33" s="130">
        <f>K31*LOOKUP(K16, Consumables!$A$36:$A$117, Consumables!$D$36:$D$117)*(1/LOOKUP(K16, Consumables!$A$36:$A$117, Consumables!$G$36:$G$117))</f>
        <v>0</v>
      </c>
      <c r="L33" s="119">
        <f t="shared" si="0"/>
        <v>270.39826499583853</v>
      </c>
    </row>
    <row r="34" spans="1:12" s="26" customFormat="1" ht="16" x14ac:dyDescent="0.2">
      <c r="A34" s="156" t="s">
        <v>74</v>
      </c>
      <c r="B34" s="458" t="s">
        <v>162</v>
      </c>
      <c r="C34" s="114"/>
      <c r="F34" s="169" t="s">
        <v>509</v>
      </c>
      <c r="G34" s="165"/>
      <c r="H34" s="260">
        <f>(H33/H31)+(H17*$G$87/H31)+(H17*$C$38*(VLOOKUP(Overview!$B$38,Database!$A$79:$X$100,6,FALSE)*H19*$B$48*H20)/(H31*1000))+VLOOKUP($B$40, Consumables!$A$23:$F$26, 2, FALSE)</f>
        <v>0.38726142355127502</v>
      </c>
      <c r="I34" s="260" t="e">
        <f>(I33/I31)+(I17*$G$87/I31)+(I17*$C$38*(VLOOKUP(Overview!$B$38,Database!$A$79:$X$100,6,FALSE)*I19*$B$48*I20)/(I31*1000))+VLOOKUP($B$40, Consumables!$A$23:$F$26, 2, FALSE)</f>
        <v>#DIV/0!</v>
      </c>
      <c r="J34" s="260">
        <f>(J33/J31)+(J17*$G$87/J31)+(J17*$C$38*(VLOOKUP(Overview!$B$38,Database!$A$79:$X$100,6,FALSE)*J19*$B$48*J20)/(J31*1000))+VLOOKUP($B$40, Consumables!$A$23:$F$26, 2, FALSE)</f>
        <v>0.31099475016314543</v>
      </c>
      <c r="K34" s="260" t="e">
        <f>(K33/K31)+(K17*$G$87/K31)+(K17*$C$38*(VLOOKUP(Overview!$B$38,Database!$A$79:$X$100,6,FALSE)*K19*$B$48*K20)/(K31*1000))+VLOOKUP($B$40, Consumables!$A$23:$F$26, 2, FALSE)</f>
        <v>#DIV/0!</v>
      </c>
      <c r="L34" s="171"/>
    </row>
    <row r="35" spans="1:12" s="26" customFormat="1" ht="16" x14ac:dyDescent="0.2">
      <c r="A35" s="156" t="s">
        <v>157</v>
      </c>
      <c r="B35" s="458" t="s">
        <v>162</v>
      </c>
      <c r="F35" s="417" t="s">
        <v>564</v>
      </c>
      <c r="G35" s="120" t="s">
        <v>490</v>
      </c>
      <c r="H35" s="167">
        <f>VLOOKUP($B34,Database!$A$119:$F$121,3,FALSE)</f>
        <v>0.9</v>
      </c>
      <c r="I35" s="167">
        <f>VLOOKUP($B34,Database!$A$119:$F$121,3,FALSE)</f>
        <v>0.9</v>
      </c>
      <c r="J35" s="167">
        <f>VLOOKUP($B34,Database!$A$119:$F$121,3,FALSE)</f>
        <v>0.9</v>
      </c>
      <c r="K35" s="167">
        <f>VLOOKUP($B34,Database!$A$119:$F$121,3,FALSE)</f>
        <v>0.9</v>
      </c>
      <c r="L35" s="171"/>
    </row>
    <row r="36" spans="1:12" s="26" customFormat="1" ht="16" x14ac:dyDescent="0.2">
      <c r="A36" s="163" t="s">
        <v>495</v>
      </c>
      <c r="B36" s="458" t="s">
        <v>162</v>
      </c>
      <c r="C36" s="159" t="s">
        <v>450</v>
      </c>
      <c r="F36" s="417"/>
      <c r="G36" s="120" t="s">
        <v>491</v>
      </c>
      <c r="H36" s="167">
        <f>VLOOKUP($B36,Database!$A$119:$F$121,4,FALSE)</f>
        <v>0.9</v>
      </c>
      <c r="I36" s="167">
        <f>VLOOKUP($B36,Database!$A$119:$F$121,4,FALSE)</f>
        <v>0.9</v>
      </c>
      <c r="J36" s="167">
        <f>VLOOKUP($B36,Database!$A$119:$F$121,4,FALSE)</f>
        <v>0.9</v>
      </c>
      <c r="K36" s="167">
        <f>VLOOKUP($B36,Database!$A$119:$F$121,4,FALSE)</f>
        <v>0.9</v>
      </c>
      <c r="L36" s="171"/>
    </row>
    <row r="37" spans="1:12" s="95" customFormat="1" ht="16" x14ac:dyDescent="0.2">
      <c r="A37" s="156" t="s">
        <v>73</v>
      </c>
      <c r="B37" s="459" t="s">
        <v>218</v>
      </c>
      <c r="C37" s="461">
        <v>8</v>
      </c>
      <c r="F37" s="417"/>
      <c r="G37" s="120" t="s">
        <v>492</v>
      </c>
      <c r="H37" s="167">
        <f>VLOOKUP($B35,Database!$A$119:$F$121,2,FALSE)</f>
        <v>0.9</v>
      </c>
      <c r="I37" s="167">
        <f>VLOOKUP($B35,Database!$A$119:$F$121,2,FALSE)</f>
        <v>0.9</v>
      </c>
      <c r="J37" s="167">
        <f>VLOOKUP($B35,Database!$A$119:$F$121,2,FALSE)</f>
        <v>0.9</v>
      </c>
      <c r="K37" s="167">
        <f>VLOOKUP($B35,Database!$A$119:$F$121,2,FALSE)</f>
        <v>0.9</v>
      </c>
      <c r="L37" s="171"/>
    </row>
    <row r="38" spans="1:12" s="26" customFormat="1" ht="16" x14ac:dyDescent="0.2">
      <c r="A38" s="157" t="s">
        <v>307</v>
      </c>
      <c r="B38" s="460" t="s">
        <v>367</v>
      </c>
      <c r="C38" s="152">
        <f>C37*16</f>
        <v>128</v>
      </c>
      <c r="F38" s="417"/>
      <c r="G38" s="120" t="s">
        <v>493</v>
      </c>
      <c r="H38" s="119">
        <f>VLOOKUP($B$44,Database!$A122:$F123, 6, FALSE)</f>
        <v>0.9</v>
      </c>
      <c r="I38" s="119">
        <f>VLOOKUP($B$44,Database!$A122:$F123, 6, FALSE)</f>
        <v>0.9</v>
      </c>
      <c r="J38" s="119">
        <f>VLOOKUP($B$44,Database!$A122:$F123, 6, FALSE)</f>
        <v>0.9</v>
      </c>
      <c r="K38" s="119">
        <f>VLOOKUP($B$44,Database!$A122:$F123, 6, FALSE)</f>
        <v>0.9</v>
      </c>
      <c r="L38" s="171"/>
    </row>
    <row r="39" spans="1:12" s="26" customFormat="1" ht="16" x14ac:dyDescent="0.2">
      <c r="A39" s="179" t="str">
        <f>Database!E66</f>
        <v>Plant sites</v>
      </c>
      <c r="B39" s="119">
        <f>C37*VLOOKUP(B37, Database!A67:J77, 5, FALSE)</f>
        <v>2880</v>
      </c>
      <c r="F39" s="417"/>
      <c r="G39" s="120" t="s">
        <v>494</v>
      </c>
      <c r="H39" s="119">
        <f>SUM(H35:H38)</f>
        <v>3.6</v>
      </c>
      <c r="I39" s="119">
        <f>SUM(I35:I38)</f>
        <v>3.6</v>
      </c>
      <c r="J39" s="119">
        <f>SUM(J35:J38)</f>
        <v>3.6</v>
      </c>
      <c r="K39" s="119">
        <f>SUM(K35:K38)</f>
        <v>3.6</v>
      </c>
      <c r="L39" s="171"/>
    </row>
    <row r="40" spans="1:12" s="26" customFormat="1" ht="16" x14ac:dyDescent="0.2">
      <c r="A40" s="180" t="s">
        <v>512</v>
      </c>
      <c r="B40" s="450" t="s">
        <v>952</v>
      </c>
      <c r="C40" s="114"/>
      <c r="F40" s="420" t="s">
        <v>539</v>
      </c>
      <c r="G40" s="134" t="s">
        <v>300</v>
      </c>
      <c r="H40" s="174">
        <f>H26*H35*H36*H37*H38</f>
        <v>381.15922781260798</v>
      </c>
      <c r="I40" s="174">
        <f>I26*I35*I36*I37*I38</f>
        <v>0</v>
      </c>
      <c r="J40" s="174">
        <f>J26*J35*J36*J37*J38</f>
        <v>41.988475447998169</v>
      </c>
      <c r="K40" s="174">
        <f>K26*K35*K36*K37*K38</f>
        <v>0</v>
      </c>
      <c r="L40" s="171"/>
    </row>
    <row r="41" spans="1:12" s="26" customFormat="1" ht="16" x14ac:dyDescent="0.2">
      <c r="A41" s="157" t="s">
        <v>371</v>
      </c>
      <c r="B41" s="462">
        <v>4</v>
      </c>
      <c r="C41" s="114"/>
      <c r="F41" s="421"/>
      <c r="G41" s="134" t="s">
        <v>301</v>
      </c>
      <c r="H41" s="178">
        <f>H27*H35*H36*H37*H38</f>
        <v>762.31845562521596</v>
      </c>
      <c r="I41" s="178">
        <f>I27*I35*I36*I37*I38</f>
        <v>0</v>
      </c>
      <c r="J41" s="178">
        <f>J27*J35*J36*J37*J38</f>
        <v>83.976950895996339</v>
      </c>
      <c r="K41" s="178">
        <f>K27*K35*K36*K37*K38</f>
        <v>0</v>
      </c>
      <c r="L41" s="211">
        <f>crop1_ayield_full*12</f>
        <v>9147.821467502592</v>
      </c>
    </row>
    <row r="42" spans="1:12" s="26" customFormat="1" ht="16" x14ac:dyDescent="0.2">
      <c r="A42" s="156" t="s">
        <v>72</v>
      </c>
      <c r="B42" s="455" t="s">
        <v>160</v>
      </c>
      <c r="C42" s="114"/>
      <c r="D42" s="46"/>
      <c r="F42" s="416" t="s">
        <v>562</v>
      </c>
      <c r="G42" s="177" t="s">
        <v>300</v>
      </c>
      <c r="H42" s="119">
        <f>(H30/VLOOKUP($B$37, Database!$A$67:$J$77, 5, FALSE))/4</f>
        <v>2.6469390820319996</v>
      </c>
      <c r="I42" s="119">
        <f>(I30/VLOOKUP($B$37, Database!$A$67:$J$77, 5, FALSE))/4</f>
        <v>0</v>
      </c>
      <c r="J42" s="119">
        <f>(J30/VLOOKUP($B$37, Database!$A$67:$J$77, 5, FALSE))/4</f>
        <v>0.38878218007405718</v>
      </c>
      <c r="K42" s="119">
        <f>(K30/VLOOKUP($B$37, Database!$A$67:$J$77, 5, FALSE))/4</f>
        <v>0</v>
      </c>
    </row>
    <row r="43" spans="1:12" s="95" customFormat="1" ht="16" x14ac:dyDescent="0.2">
      <c r="A43" s="156" t="s">
        <v>70</v>
      </c>
      <c r="B43" s="455" t="s">
        <v>163</v>
      </c>
      <c r="C43" s="114"/>
      <c r="F43" s="416"/>
      <c r="G43" s="134" t="s">
        <v>563</v>
      </c>
      <c r="H43" s="119">
        <f>H42*B22</f>
        <v>5.2938781640639991</v>
      </c>
      <c r="I43" s="119">
        <f>I42*C22</f>
        <v>0</v>
      </c>
      <c r="J43" s="119">
        <f>J42*D22</f>
        <v>0</v>
      </c>
      <c r="K43" s="119">
        <f>K42*E22</f>
        <v>0</v>
      </c>
    </row>
    <row r="44" spans="1:12" s="108" customFormat="1" ht="13" x14ac:dyDescent="0.15">
      <c r="A44" s="115" t="s">
        <v>221</v>
      </c>
      <c r="B44" s="463" t="s">
        <v>497</v>
      </c>
      <c r="C44" s="114"/>
      <c r="F44" s="427" t="s">
        <v>954</v>
      </c>
      <c r="G44" s="134" t="s">
        <v>300</v>
      </c>
      <c r="H44" s="119">
        <f>m1_wa_yield_crop1/crop1_product_weight</f>
        <v>1157.6441014048594</v>
      </c>
      <c r="I44" s="119">
        <f>m1_wa_yield_crop2/crop2_product_weight</f>
        <v>0</v>
      </c>
      <c r="J44" s="119">
        <f>m1_wa_yield_crop3/crop3_product_weight</f>
        <v>510.1039920592471</v>
      </c>
      <c r="K44" s="119">
        <f>m1_wa_yield_crop4/crop4_product_weight</f>
        <v>0</v>
      </c>
    </row>
    <row r="45" spans="1:12" s="108" customFormat="1" ht="13" x14ac:dyDescent="0.15">
      <c r="A45" s="115" t="s">
        <v>420</v>
      </c>
      <c r="B45" s="464" t="s">
        <v>638</v>
      </c>
      <c r="C45" s="114"/>
      <c r="F45" s="427"/>
      <c r="G45" s="134" t="s">
        <v>563</v>
      </c>
      <c r="H45" s="119">
        <f>m2_wa_yield_crop1/crop1_product_weight</f>
        <v>2337.9036503265997</v>
      </c>
      <c r="I45" s="119">
        <f>m2_wa_yield_crop2/crop2_product_weight</f>
        <v>0</v>
      </c>
      <c r="J45" s="119">
        <f>m2_wa_yield_crop3/crop3_product_weight</f>
        <v>1030.1732489581525</v>
      </c>
      <c r="K45" s="119">
        <f>m2_wa_yield_crop4/crop4_product_weight</f>
        <v>0</v>
      </c>
    </row>
    <row r="46" spans="1:12" s="111" customFormat="1" ht="13" x14ac:dyDescent="0.15">
      <c r="A46" s="115" t="s">
        <v>453</v>
      </c>
      <c r="B46" s="465">
        <v>1.91E-3</v>
      </c>
      <c r="C46" s="114"/>
      <c r="F46" s="108"/>
      <c r="G46" s="415" t="s">
        <v>552</v>
      </c>
      <c r="H46" s="415"/>
      <c r="I46" s="415"/>
      <c r="J46" s="108"/>
      <c r="K46" s="108"/>
      <c r="L46" s="108"/>
    </row>
    <row r="47" spans="1:12" s="370" customFormat="1" ht="13" x14ac:dyDescent="0.15">
      <c r="A47" s="115" t="s">
        <v>1054</v>
      </c>
      <c r="B47" s="466">
        <f>Database!I171</f>
        <v>102.652383</v>
      </c>
      <c r="C47" s="114"/>
      <c r="G47" s="378"/>
      <c r="H47" s="378"/>
      <c r="I47" s="378"/>
    </row>
    <row r="48" spans="1:12" s="95" customFormat="1" ht="16" x14ac:dyDescent="0.2">
      <c r="A48" s="115" t="s">
        <v>452</v>
      </c>
      <c r="B48" s="467">
        <v>7.3400000000000007E-2</v>
      </c>
      <c r="C48" s="114"/>
      <c r="F48" s="131" t="s">
        <v>480</v>
      </c>
      <c r="G48" s="134" t="s">
        <v>553</v>
      </c>
      <c r="H48" s="134" t="s">
        <v>508</v>
      </c>
      <c r="I48" s="165"/>
      <c r="J48" s="165" t="s">
        <v>560</v>
      </c>
      <c r="K48" s="165" t="s">
        <v>634</v>
      </c>
      <c r="L48" s="165" t="s">
        <v>635</v>
      </c>
    </row>
    <row r="49" spans="1:12" s="26" customFormat="1" ht="13" x14ac:dyDescent="0.15">
      <c r="A49" s="115" t="s">
        <v>456</v>
      </c>
      <c r="B49" s="153">
        <v>0.05</v>
      </c>
      <c r="C49" s="45"/>
      <c r="F49" s="120" t="s">
        <v>554</v>
      </c>
      <c r="G49" s="119">
        <f>SUM(I71:I74)</f>
        <v>9343.6090652380972</v>
      </c>
      <c r="H49" s="120" t="s">
        <v>472</v>
      </c>
      <c r="I49" s="119">
        <f>SUM(V71:V74)/growing_area_full</f>
        <v>99.360209788660143</v>
      </c>
      <c r="J49" s="450">
        <v>90</v>
      </c>
      <c r="K49" s="119">
        <f>I49/J49</f>
        <v>1.1040023309851128</v>
      </c>
      <c r="L49" s="165">
        <v>1</v>
      </c>
    </row>
    <row r="50" spans="1:12" s="26" customFormat="1" ht="13" x14ac:dyDescent="0.15">
      <c r="A50" s="96" t="s">
        <v>507</v>
      </c>
      <c r="B50" s="468">
        <v>0</v>
      </c>
      <c r="C50" s="45"/>
      <c r="F50" s="165" t="s">
        <v>481</v>
      </c>
      <c r="G50" s="119">
        <f>((C23*VLOOKUP(Overview!B38, Database!A79:X100, 6, FALSE)*L19*365/1000))+(B47*365)</f>
        <v>214630.359795</v>
      </c>
      <c r="H50" s="120" t="s">
        <v>471</v>
      </c>
      <c r="I50" s="119">
        <f>(SUM(I71:I74)/G50)</f>
        <v>4.35334920659056E-2</v>
      </c>
      <c r="J50" s="450">
        <v>7.0000000000000007E-2</v>
      </c>
      <c r="K50" s="119">
        <f>I50/J50</f>
        <v>0.62190702951293708</v>
      </c>
      <c r="L50" s="165">
        <v>1</v>
      </c>
    </row>
    <row r="51" spans="1:12" s="26" customFormat="1" ht="13" x14ac:dyDescent="0.15">
      <c r="A51" s="175" t="s">
        <v>549</v>
      </c>
      <c r="B51" s="469" t="s">
        <v>162</v>
      </c>
      <c r="C51" s="45"/>
      <c r="F51" s="120" t="s">
        <v>555</v>
      </c>
      <c r="G51" s="181">
        <f>'Production Technologies'!H72*12</f>
        <v>2132</v>
      </c>
      <c r="H51" s="120" t="s">
        <v>483</v>
      </c>
      <c r="I51" s="182">
        <f>G49/G51</f>
        <v>4.3825558467345669</v>
      </c>
      <c r="J51" s="450">
        <v>6</v>
      </c>
      <c r="K51" s="119">
        <f t="shared" ref="K51:K58" si="1">I51/J51</f>
        <v>0.73042597445576118</v>
      </c>
      <c r="L51" s="165">
        <v>1</v>
      </c>
    </row>
    <row r="52" spans="1:12" s="26" customFormat="1" ht="13" x14ac:dyDescent="0.15">
      <c r="A52" s="175" t="s">
        <v>795</v>
      </c>
      <c r="B52" s="450" t="s">
        <v>497</v>
      </c>
      <c r="C52" s="45"/>
      <c r="F52" s="120" t="s">
        <v>556</v>
      </c>
      <c r="G52" s="181">
        <f>(C37*0.95*365)+1900*12</f>
        <v>25574</v>
      </c>
      <c r="H52" s="115" t="s">
        <v>473</v>
      </c>
      <c r="I52" s="182">
        <f>G49/G52</f>
        <v>0.36535579358872672</v>
      </c>
      <c r="J52" s="450">
        <v>0.5</v>
      </c>
      <c r="K52" s="119">
        <f t="shared" si="1"/>
        <v>0.73071158717745344</v>
      </c>
      <c r="L52" s="165">
        <v>1</v>
      </c>
    </row>
    <row r="53" spans="1:12" s="81" customFormat="1" ht="13" x14ac:dyDescent="0.15">
      <c r="A53" s="175" t="s">
        <v>796</v>
      </c>
      <c r="B53" s="450" t="s">
        <v>497</v>
      </c>
      <c r="C53" s="45"/>
      <c r="F53" s="120" t="s">
        <v>557</v>
      </c>
      <c r="G53" s="181">
        <v>1000</v>
      </c>
      <c r="H53" s="120" t="s">
        <v>482</v>
      </c>
      <c r="I53" s="119">
        <f>G49/G53</f>
        <v>9.3436090652380965</v>
      </c>
      <c r="J53" s="450">
        <v>500</v>
      </c>
      <c r="K53" s="119">
        <f t="shared" si="1"/>
        <v>1.8687218130476194E-2</v>
      </c>
      <c r="L53" s="165">
        <v>1</v>
      </c>
    </row>
    <row r="54" spans="1:12" s="26" customFormat="1" ht="13" x14ac:dyDescent="0.15">
      <c r="A54" s="338" t="s">
        <v>884</v>
      </c>
      <c r="B54" s="450" t="s">
        <v>946</v>
      </c>
      <c r="C54" s="45"/>
      <c r="D54" s="46"/>
      <c r="E54" s="46"/>
      <c r="F54" s="120" t="s">
        <v>558</v>
      </c>
      <c r="G54" s="119">
        <f>B18*B19/2.5</f>
        <v>19.8</v>
      </c>
      <c r="H54" s="120" t="s">
        <v>484</v>
      </c>
      <c r="I54" s="119">
        <f>G49/G54</f>
        <v>471.89944773929784</v>
      </c>
      <c r="J54" s="450">
        <v>130</v>
      </c>
      <c r="K54" s="119">
        <f t="shared" si="1"/>
        <v>3.6299957518407524</v>
      </c>
      <c r="L54" s="165">
        <v>1</v>
      </c>
    </row>
    <row r="55" spans="1:12" s="26" customFormat="1" ht="13" x14ac:dyDescent="0.15">
      <c r="D55" s="6"/>
      <c r="E55" s="39"/>
      <c r="F55" s="120" t="s">
        <v>945</v>
      </c>
      <c r="G55" s="182">
        <f>(G50*Database!B141/1000000)</f>
        <v>50.008873832235004</v>
      </c>
      <c r="H55" s="120" t="s">
        <v>543</v>
      </c>
      <c r="I55" s="165">
        <f>G49/G55</f>
        <v>186.8390217420841</v>
      </c>
      <c r="J55" s="450">
        <v>500</v>
      </c>
      <c r="K55" s="119">
        <f t="shared" si="1"/>
        <v>0.37367804348416822</v>
      </c>
      <c r="L55" s="165">
        <v>1</v>
      </c>
    </row>
    <row r="56" spans="1:12" s="26" customFormat="1" ht="16" x14ac:dyDescent="0.2">
      <c r="A56" s="2" t="s">
        <v>200</v>
      </c>
      <c r="B56" s="51"/>
      <c r="C56" s="39"/>
      <c r="D56" s="6"/>
      <c r="E56" s="39"/>
      <c r="F56" s="120" t="s">
        <v>511</v>
      </c>
      <c r="G56" s="182">
        <f>((G50*B50*0.283)/1000)+((G52*20/1000000)*344/1000)</f>
        <v>0.17594912000000001</v>
      </c>
      <c r="H56" s="120" t="s">
        <v>544</v>
      </c>
      <c r="I56" s="119">
        <f>G49/G56</f>
        <v>53104.039765803296</v>
      </c>
      <c r="J56" s="450">
        <v>50000</v>
      </c>
      <c r="K56" s="119">
        <f>I56/J56</f>
        <v>1.062080795316066</v>
      </c>
      <c r="L56" s="165">
        <v>1</v>
      </c>
    </row>
    <row r="57" spans="1:12" s="26" customFormat="1" ht="16" x14ac:dyDescent="0.2">
      <c r="A57" s="154" t="s">
        <v>202</v>
      </c>
      <c r="B57" s="470">
        <v>158000</v>
      </c>
      <c r="C57" s="39"/>
      <c r="D57" s="6"/>
      <c r="E57" s="39"/>
      <c r="F57" s="120" t="s">
        <v>559</v>
      </c>
      <c r="G57" s="119">
        <f>G55-G56</f>
        <v>49.832924712235005</v>
      </c>
      <c r="H57" s="120" t="s">
        <v>550</v>
      </c>
      <c r="I57" s="119">
        <f>G49/G57</f>
        <v>187.49870932106961</v>
      </c>
      <c r="J57" s="450">
        <v>-1000</v>
      </c>
      <c r="K57" s="119">
        <f>I57/J57</f>
        <v>-0.1874987093210696</v>
      </c>
      <c r="L57" s="165">
        <v>1</v>
      </c>
    </row>
    <row r="58" spans="1:12" ht="16" x14ac:dyDescent="0.2">
      <c r="A58" s="155" t="s">
        <v>71</v>
      </c>
      <c r="B58" s="442">
        <v>0</v>
      </c>
      <c r="C58" s="39"/>
      <c r="D58" s="26"/>
      <c r="E58" s="26"/>
      <c r="F58" s="120" t="s">
        <v>637</v>
      </c>
      <c r="G58" s="119">
        <f>SUM(H31:K31)*12</f>
        <v>104914.52681838532</v>
      </c>
      <c r="H58" s="120" t="s">
        <v>636</v>
      </c>
      <c r="I58" s="119">
        <f>G58/C18</f>
        <v>1059.7426951352052</v>
      </c>
      <c r="J58" s="450">
        <v>800</v>
      </c>
      <c r="K58" s="119">
        <f t="shared" si="1"/>
        <v>1.3246783689190065</v>
      </c>
      <c r="L58" s="165">
        <v>1</v>
      </c>
    </row>
    <row r="59" spans="1:12" s="28" customFormat="1" ht="16" x14ac:dyDescent="0.2">
      <c r="A59" s="155" t="s">
        <v>201</v>
      </c>
      <c r="B59" s="442">
        <v>0.05</v>
      </c>
      <c r="C59" s="45"/>
      <c r="J59" s="26"/>
    </row>
    <row r="60" spans="1:12" s="84" customFormat="1" ht="16" x14ac:dyDescent="0.2">
      <c r="A60" s="155" t="s">
        <v>203</v>
      </c>
      <c r="B60" s="471">
        <v>7</v>
      </c>
      <c r="C60" s="45"/>
      <c r="J60" s="26"/>
    </row>
    <row r="61" spans="1:12" s="28" customFormat="1" ht="16" x14ac:dyDescent="0.2">
      <c r="A61" s="155" t="s">
        <v>208</v>
      </c>
      <c r="B61" s="471" t="s">
        <v>209</v>
      </c>
      <c r="C61" s="45"/>
      <c r="J61"/>
    </row>
    <row r="62" spans="1:12" s="370" customFormat="1" ht="16" x14ac:dyDescent="0.2">
      <c r="A62" s="155" t="s">
        <v>959</v>
      </c>
      <c r="B62" s="472">
        <v>89000</v>
      </c>
      <c r="C62" s="45"/>
    </row>
    <row r="63" spans="1:12" s="28" customFormat="1" ht="13" x14ac:dyDescent="0.15">
      <c r="A63" s="26"/>
      <c r="B63" s="26"/>
    </row>
    <row r="64" spans="1:12" s="95" customFormat="1" ht="16" x14ac:dyDescent="0.2">
      <c r="A64" s="222" t="s">
        <v>211</v>
      </c>
      <c r="B64" s="334"/>
      <c r="C64" s="28"/>
      <c r="J64" s="84"/>
    </row>
    <row r="65" spans="1:22" s="95" customFormat="1" ht="13" x14ac:dyDescent="0.15">
      <c r="A65" s="334" t="s">
        <v>3</v>
      </c>
      <c r="B65" s="335">
        <f>'CapEx Breakdown'!C21+'CapEx Breakdown'!D21</f>
        <v>25149</v>
      </c>
      <c r="J65" s="28"/>
    </row>
    <row r="66" spans="1:22" s="95" customFormat="1" ht="13" x14ac:dyDescent="0.15">
      <c r="A66" s="334" t="s">
        <v>30</v>
      </c>
      <c r="B66" s="335">
        <f>'CapEx Breakdown'!C35+'CapEx Breakdown'!D35</f>
        <v>154484</v>
      </c>
      <c r="J66" s="28"/>
    </row>
    <row r="67" spans="1:22" s="28" customFormat="1" ht="13" x14ac:dyDescent="0.15">
      <c r="A67" s="334" t="s">
        <v>31</v>
      </c>
      <c r="B67" s="296">
        <f>'CapEx Breakdown'!E38</f>
        <v>179633</v>
      </c>
    </row>
    <row r="68" spans="1:22" s="95" customFormat="1" ht="13" x14ac:dyDescent="0.15">
      <c r="A68" s="142" t="s">
        <v>582</v>
      </c>
      <c r="B68" s="336">
        <f>B57+grant_revenue_y1+grant_revenue_y2-B67</f>
        <v>156367</v>
      </c>
    </row>
    <row r="69" spans="1:22" s="95" customFormat="1" ht="13" x14ac:dyDescent="0.15"/>
    <row r="70" spans="1:22" s="28" customFormat="1" ht="16" x14ac:dyDescent="0.2">
      <c r="A70" s="2" t="s">
        <v>304</v>
      </c>
      <c r="B70" s="76"/>
      <c r="C70" s="45"/>
      <c r="F70" s="29" t="s">
        <v>459</v>
      </c>
      <c r="G70" s="44" t="s">
        <v>460</v>
      </c>
      <c r="H70" s="29" t="s">
        <v>21</v>
      </c>
      <c r="I70" s="29" t="s">
        <v>22</v>
      </c>
      <c r="J70" s="29" t="s">
        <v>144</v>
      </c>
      <c r="K70" s="44" t="s">
        <v>145</v>
      </c>
      <c r="L70" s="44" t="s">
        <v>146</v>
      </c>
      <c r="M70" s="44" t="s">
        <v>147</v>
      </c>
      <c r="N70" s="44" t="s">
        <v>148</v>
      </c>
      <c r="O70" s="44" t="s">
        <v>149</v>
      </c>
      <c r="P70" s="44" t="s">
        <v>150</v>
      </c>
      <c r="Q70" s="44" t="s">
        <v>151</v>
      </c>
      <c r="R70" s="44" t="s">
        <v>152</v>
      </c>
      <c r="S70" s="44" t="s">
        <v>153</v>
      </c>
      <c r="T70" s="44" t="s">
        <v>154</v>
      </c>
      <c r="U70" s="44" t="s">
        <v>155</v>
      </c>
      <c r="V70" s="44" t="s">
        <v>156</v>
      </c>
    </row>
    <row r="71" spans="1:22" ht="16" x14ac:dyDescent="0.2">
      <c r="A71" s="48" t="s">
        <v>501</v>
      </c>
      <c r="B71" s="94" t="s">
        <v>506</v>
      </c>
      <c r="C71" s="45"/>
      <c r="D71" s="28"/>
      <c r="E71" s="28"/>
      <c r="F71" s="11">
        <f>crop1_ayield_pilot-(LOOKUP($B$32,Database!$A$114:$A$116,Database!$B$114:$B$116)*crop1_ayield_pilot)</f>
        <v>347.29323042145779</v>
      </c>
      <c r="G71" s="122">
        <f>crop1_ayield_full-(LOOKUP($B$32,Database!$A$114:$A$116,Database!$C$114:$C$116)*crop1_ayield_full)</f>
        <v>701.37109509797995</v>
      </c>
      <c r="H71" s="96">
        <f>F71*12</f>
        <v>4167.5187650574935</v>
      </c>
      <c r="I71" s="122">
        <f>(crop1_ayield_full*12)-(LOOKUP($B$32, Database!$A$114:$A$115, Database!C114:C115)*(crop1_ayield_full*12))</f>
        <v>8416.4531411757598</v>
      </c>
      <c r="J71" s="105">
        <f>(crop1_ayield_full*12)-(LOOKUP($B$32, Database!$A$114:$A$115, Database!D114:D115)*(crop1_ayield_full*12))</f>
        <v>8489.6357129157805</v>
      </c>
      <c r="K71" s="105">
        <f>(crop1_ayield_full*12)-(LOOKUP($B$32, Database!$A$114:$A$115, Database!E114:E115)*(crop1_ayield_full*12))</f>
        <v>8542.2356863539208</v>
      </c>
      <c r="L71" s="105">
        <f>(crop1_ayield_full*12)-(LOOKUP($B$32, Database!$A$114:$A$115, Database!F114:F115)*(crop1_ayield_full*12))</f>
        <v>8590.719140131685</v>
      </c>
      <c r="M71" s="105">
        <f>(crop1_ayield_full*12)-(LOOKUP($B$32, Database!$A$114:$A$115, Database!G114:G115)*(crop1_ayield_full*12))</f>
        <v>8635.0860742490713</v>
      </c>
      <c r="N71" s="105">
        <f>(crop1_ayield_full*12)-(LOOKUP($B$32, Database!$A$114:$A$115, Database!H114:H115)*(crop1_ayield_full*12))</f>
        <v>8676.2512708528338</v>
      </c>
      <c r="O71" s="105">
        <f>(crop1_ayield_full*12)-(LOOKUP($B$32, Database!$A$114:$A$115, Database!I114:I115)*(crop1_ayield_full*12))</f>
        <v>8704.609517402092</v>
      </c>
      <c r="P71" s="105">
        <f>(crop1_ayield_full*12)-(LOOKUP($B$32, Database!$A$114:$A$115, Database!J114:J115)*(crop1_ayield_full*12))</f>
        <v>8731.1381996578493</v>
      </c>
      <c r="Q71" s="105">
        <f>(crop1_ayield_full*12)-(LOOKUP($B$32, Database!$A$114:$A$115, Database!K114:K115)*(crop1_ayield_full*12))</f>
        <v>8756.2947086934819</v>
      </c>
      <c r="R71" s="105">
        <f>(crop1_ayield_full*12)-(LOOKUP($B$32, Database!$A$114:$A$115, Database!L114:L115)*(crop1_ayield_full*12))</f>
        <v>8779.6216534356136</v>
      </c>
      <c r="S71" s="105">
        <f>(crop1_ayield_full*12)-(LOOKUP($B$32, Database!$A$114:$A$115, Database!M114:M115)*(crop1_ayield_full*12))</f>
        <v>8801.5764249576187</v>
      </c>
      <c r="T71" s="105">
        <f>(crop1_ayield_full*12)-(LOOKUP($B$32, Database!$A$114:$A$115, Database!N114:N115)*(crop1_ayield_full*12))</f>
        <v>8822.6164143328751</v>
      </c>
      <c r="U71" s="105">
        <f>(crop1_ayield_full*12)-(LOOKUP($B$32, Database!$A$114:$A$115, Database!O114:O115)*(crop1_ayield_full*12))</f>
        <v>8842.2842304880051</v>
      </c>
      <c r="V71" s="105">
        <f>(crop1_ayield_full*12)-(LOOKUP($B$32, Database!$A$114:$A$115, Database!P114:P115)*(crop1_ayield_full*12))</f>
        <v>8860.5798734230102</v>
      </c>
    </row>
    <row r="72" spans="1:22" ht="16" x14ac:dyDescent="0.2">
      <c r="A72" s="48" t="s">
        <v>502</v>
      </c>
      <c r="B72" s="94"/>
      <c r="C72" s="45"/>
      <c r="D72" s="95"/>
      <c r="E72" s="95"/>
      <c r="F72" s="100">
        <f>crop2_ayield_pilot-(LOOKUP($B$32,Database!$A$114:$A$115,Database!$B$114:$B$115)*crop2_ayield_pilot)</f>
        <v>0</v>
      </c>
      <c r="G72" s="122">
        <f>crop2_ayield_full-(LOOKUP($B$32,Database!$A$114:$A$116,Database!$C$114:$C$116)*crop2_ayield_full)</f>
        <v>0</v>
      </c>
      <c r="H72" s="129">
        <f>F72*12</f>
        <v>0</v>
      </c>
      <c r="I72" s="122">
        <f>(crop2_ayield_full*12)-(LOOKUP($B$32, Database!$A$114:$A$115, Database!C114:C115)*(crop2_ayield_full*12))</f>
        <v>0</v>
      </c>
      <c r="J72" s="105">
        <f>(crop2_ayield_full*12)-(LOOKUP($B$32, Database!$A$114:$A$115, Database!D114:D115)*(crop2_ayield_full*12))</f>
        <v>0</v>
      </c>
      <c r="K72" s="105">
        <f>(crop2_ayield_full*12)-(LOOKUP($B$32, Database!$A$114:$A$115, Database!E114:E115)*(crop2_ayield_full*12))</f>
        <v>0</v>
      </c>
      <c r="L72" s="105">
        <f>(crop2_ayield_full*12)-(LOOKUP($B$32, Database!$A$114:$A$115, Database!F114:F115)*(crop2_ayield_full*12))</f>
        <v>0</v>
      </c>
      <c r="M72" s="105">
        <f>(crop2_ayield_full*12)-(LOOKUP($B$32, Database!$A$114:$A$115, Database!G114:G115)*(crop2_ayield_full*12))</f>
        <v>0</v>
      </c>
      <c r="N72" s="105">
        <f>(crop2_ayield_full*12)-(LOOKUP($B$32, Database!$A$114:$A$115, Database!H114:H115)*(crop2_ayield_full*12))</f>
        <v>0</v>
      </c>
      <c r="O72" s="105">
        <f>(crop2_ayield_full*12)-(LOOKUP($B$32, Database!$A$114:$A$115, Database!I114:I115)*(crop2_ayield_full*12))</f>
        <v>0</v>
      </c>
      <c r="P72" s="105">
        <f>(crop2_ayield_full*12)-(LOOKUP($B$32, Database!$A$114:$A$115, Database!J114:J115)*(crop2_ayield_full*12))</f>
        <v>0</v>
      </c>
      <c r="Q72" s="105">
        <f>(crop2_ayield_full*12)-(LOOKUP($B$32, Database!$A$114:$A$115, Database!K114:K115)*(crop2_ayield_full*12))</f>
        <v>0</v>
      </c>
      <c r="R72" s="105">
        <f>(crop2_ayield_full*12)-(LOOKUP($B$32, Database!$A$114:$A$115, Database!L114:L115)*(crop2_ayield_full*12))</f>
        <v>0</v>
      </c>
      <c r="S72" s="105">
        <f>(crop2_ayield_full*12)-(LOOKUP($B$32, Database!$A$114:$A$115, Database!M114:M115)*(crop2_ayield_full*12))</f>
        <v>0</v>
      </c>
      <c r="T72" s="105">
        <f>(crop2_ayield_full*12)-(LOOKUP($B$32, Database!$A$114:$A$115, Database!N114:N115)*(crop2_ayield_full*12))</f>
        <v>0</v>
      </c>
      <c r="U72" s="105">
        <f>(crop2_ayield_full*12)-(LOOKUP($B$32, Database!$A$114:$A$115, Database!O114:O115)*(crop2_ayield_full*12))</f>
        <v>0</v>
      </c>
      <c r="V72" s="105">
        <f>(crop2_ayield_full*12)-(LOOKUP($B$32, Database!$A$114:$A$115, Database!P114:P115)*(crop2_ayield_full*12))</f>
        <v>0</v>
      </c>
    </row>
    <row r="73" spans="1:22" ht="16" x14ac:dyDescent="0.2">
      <c r="A73" s="48" t="s">
        <v>503</v>
      </c>
      <c r="B73" s="94"/>
      <c r="C73" s="45"/>
      <c r="D73" s="95"/>
      <c r="E73" s="95"/>
      <c r="F73" s="100">
        <f>crop3_ayield_pilot-(LOOKUP($B$32,Database!$A$114:$A$115,Database!$B$114:$B$115)*crop3_ayield_pilot)</f>
        <v>38.257799404443531</v>
      </c>
      <c r="G73" s="122">
        <f>crop3_ayield_full-(LOOKUP($B$32,Database!$A$114:$A$116,Database!$C$114:$C$116)*crop3_ayield_full)</f>
        <v>77.262993671861437</v>
      </c>
      <c r="H73" s="129">
        <f>F73*12</f>
        <v>459.09359285332238</v>
      </c>
      <c r="I73" s="122">
        <f>(crop3_ayield_full*12)-(LOOKUP($B$32,Database!$A$114:$A$115,Database!C114:C115)*(crop3_ayield_full*12))</f>
        <v>927.15592406233714</v>
      </c>
      <c r="J73" s="105">
        <f>(crop3_ayield_full*12)-(LOOKUP($B$32,Database!$A$114:$A$115,Database!D114:D115)*(crop3_ayield_full*12))</f>
        <v>935.21771134835285</v>
      </c>
      <c r="K73" s="105">
        <f>(crop3_ayield_full*12)-(LOOKUP($B$32,Database!$A$114:$A$115,Database!E114:E115)*(crop3_ayield_full*12))</f>
        <v>941.01212096017662</v>
      </c>
      <c r="L73" s="105">
        <f>(crop3_ayield_full*12)-(LOOKUP($B$32,Database!$A$114:$A$115,Database!F114:F115)*(crop3_ayield_full*12))</f>
        <v>946.35305503716199</v>
      </c>
      <c r="M73" s="105">
        <f>(crop3_ayield_full*12)-(LOOKUP($B$32,Database!$A$114:$A$115,Database!G114:G115)*(crop3_ayield_full*12))</f>
        <v>951.24051357930898</v>
      </c>
      <c r="N73" s="105">
        <f>(crop3_ayield_full*12)-(LOOKUP($B$32,Database!$A$114:$A$115,Database!H114:H115)*(crop3_ayield_full*12))</f>
        <v>955.77526892769276</v>
      </c>
      <c r="O73" s="105">
        <f>(crop3_ayield_full*12)-(LOOKUP($B$32,Database!$A$114:$A$115,Database!I114:I115)*(crop3_ayield_full*12))</f>
        <v>958.89921150102384</v>
      </c>
      <c r="P73" s="105">
        <f>(crop3_ayield_full*12)-(LOOKUP($B$32,Database!$A$114:$A$115,Database!J114:J115)*(crop3_ayield_full*12))</f>
        <v>961.82160939220444</v>
      </c>
      <c r="Q73" s="105">
        <f>(crop3_ayield_full*12)-(LOOKUP($B$32,Database!$A$114:$A$115,Database!K114:K115)*(crop3_ayield_full*12))</f>
        <v>964.59284877177231</v>
      </c>
      <c r="R73" s="105">
        <f>(crop3_ayield_full*12)-(LOOKUP($B$32,Database!$A$114:$A$115,Database!L114:L115)*(crop3_ayield_full*12))</f>
        <v>967.16254346918981</v>
      </c>
      <c r="S73" s="105">
        <f>(crop3_ayield_full*12)-(LOOKUP($B$32,Database!$A$114:$A$115,Database!M114:M115)*(crop3_ayield_full*12))</f>
        <v>969.58107965499448</v>
      </c>
      <c r="T73" s="105">
        <f>(crop3_ayield_full*12)-(LOOKUP($B$32,Database!$A$114:$A$115,Database!N114:N115)*(crop3_ayield_full*12))</f>
        <v>971.89884349972408</v>
      </c>
      <c r="U73" s="105">
        <f>(crop3_ayield_full*12)-(LOOKUP($B$32,Database!$A$114:$A$115,Database!O114:O115)*(crop3_ayield_full*12))</f>
        <v>974.06544883284073</v>
      </c>
      <c r="V73" s="105">
        <f>(crop3_ayield_full*12)-(LOOKUP($B$32,Database!$A$114:$A$115,Database!P114:P115)*(crop3_ayield_full*12))</f>
        <v>976.08089565434466</v>
      </c>
    </row>
    <row r="74" spans="1:22" ht="16" x14ac:dyDescent="0.2">
      <c r="A74" s="48" t="s">
        <v>504</v>
      </c>
      <c r="B74" s="76"/>
      <c r="C74" s="45"/>
      <c r="D74" s="128"/>
      <c r="E74" s="128"/>
      <c r="F74" s="100">
        <f>crop4_ayield_pilot-(LOOKUP($B$32,Database!$A$114:$A$115,Database!$B$114:$B$115)*crop4_ayield_pilot)</f>
        <v>0</v>
      </c>
      <c r="G74" s="122">
        <f>crop4_ayield_full-(LOOKUP($B$32,Database!$A$114:$A$116,Database!$C$114:$C$116)*crop4_ayield_full)</f>
        <v>0</v>
      </c>
      <c r="H74" s="129">
        <f>F74*12</f>
        <v>0</v>
      </c>
      <c r="I74" s="122">
        <f>(crop4_ayield_full*12)-(LOOKUP($B$32, Database!$A$114:$A$115, Database!C114:C115)*(crop4_ayield_full*12))</f>
        <v>0</v>
      </c>
      <c r="J74" s="105">
        <f>(crop4_ayield_full*12)-(LOOKUP($B$32, Database!$A$114:$A$115, Database!D114:D115)*(crop4_ayield_full*12))</f>
        <v>0</v>
      </c>
      <c r="K74" s="105">
        <f>(crop4_ayield_full*12)-(LOOKUP($B$32, Database!$A$114:$A$115, Database!E114:E115)*(crop4_ayield_full*12))</f>
        <v>0</v>
      </c>
      <c r="L74" s="105">
        <f>(crop4_ayield_full*12)-(LOOKUP($B$32, Database!$A$114:$A$115, Database!F114:F115)*(crop4_ayield_full*12))</f>
        <v>0</v>
      </c>
      <c r="M74" s="105">
        <f>(crop4_ayield_full*12)-(LOOKUP($B$32, Database!$A$114:$A$115, Database!G114:G115)*(crop4_ayield_full*12))</f>
        <v>0</v>
      </c>
      <c r="N74" s="105">
        <f>(crop4_ayield_full*12)-(LOOKUP($B$32, Database!$A$114:$A$115, Database!H114:H115)*(crop4_ayield_full*12))</f>
        <v>0</v>
      </c>
      <c r="O74" s="105">
        <f>(crop4_ayield_full*12)-(LOOKUP($B$32, Database!$A$114:$A$115, Database!I114:I115)*(crop4_ayield_full*12))</f>
        <v>0</v>
      </c>
      <c r="P74" s="105">
        <f>(crop4_ayield_full*12)-(LOOKUP($B$32, Database!$A$114:$A$115, Database!J114:J115)*(crop4_ayield_full*12))</f>
        <v>0</v>
      </c>
      <c r="Q74" s="105">
        <f>(crop4_ayield_full*12)-(LOOKUP($B$32, Database!$A$114:$A$115, Database!K114:K115)*(crop4_ayield_full*12))</f>
        <v>0</v>
      </c>
      <c r="R74" s="105">
        <f>(crop4_ayield_full*12)-(LOOKUP($B$32, Database!$A$114:$A$115, Database!L114:L115)*(crop4_ayield_full*12))</f>
        <v>0</v>
      </c>
      <c r="S74" s="105">
        <f>(crop4_ayield_full*12)-(LOOKUP($B$32, Database!$A$114:$A$115, Database!M114:M115)*(crop4_ayield_full*12))</f>
        <v>0</v>
      </c>
      <c r="T74" s="105">
        <f>(crop4_ayield_full*12)-(LOOKUP($B$32, Database!$A$114:$A$115, Database!N114:N115)*(crop4_ayield_full*12))</f>
        <v>0</v>
      </c>
      <c r="U74" s="105">
        <f>(crop4_ayield_full*12)-(LOOKUP($B$32, Database!$A$114:$A$115, Database!O114:O115)*(crop4_ayield_full*12))</f>
        <v>0</v>
      </c>
      <c r="V74" s="105">
        <f>(crop4_ayield_full*12)-(LOOKUP($B$32, Database!$A$114:$A$115, Database!P114:P115)*(crop4_ayield_full*12))</f>
        <v>0</v>
      </c>
    </row>
    <row r="75" spans="1:22" ht="16" x14ac:dyDescent="0.2">
      <c r="A75" s="48" t="s">
        <v>505</v>
      </c>
      <c r="B75" s="76"/>
      <c r="C75" s="45"/>
      <c r="D75" s="128"/>
      <c r="E75" s="128"/>
      <c r="F75" s="282">
        <f>((F71/$H$22)*($H$24*$H$23+$H$25*(1-$H$23)))+((F72/$I$22))*($I$24*$I$23+$I$25*(1-$I$23))+((F73/$J$22)*($J$24*$J$23+$J$25*(1-$J$23)))+((F74/$K$22)*($K$24*$K$23+$K$25*(1-$K$23)))</f>
        <v>8666.0769801770366</v>
      </c>
      <c r="G75" s="283">
        <f>((G71/$H$22)*($H$24*$H$23+$H$25*(1-$H$23)))+((G72/$I$22))*($I$24*$I$23+$I$25*(1-$I$23))+((G73/$J$22)*($J$24*$J$23+$J$25*(1-$J$23)))+((G74/$K$22)*($K$24*$K$23+$K$25*(1-$K$23)))</f>
        <v>17501.452286916272</v>
      </c>
      <c r="H75" s="282">
        <f>((H71/$H$22)*($H$24*$H$23+$H$25*(1-$H$23)))+((H72/$I$22))*($I$24*$I$23+$I$25*(1-$I$23))+((H73/$J$22)*($J$24*$J$23+$J$25*(1-$J$23)))+((H74/$K$22)*($K$24*$K$23+$K$25*(1-$K$23)))</f>
        <v>103992.92376212442</v>
      </c>
      <c r="I75" s="283">
        <f>((I71/$H$22)*($H$24*$H$23+$H$25*(1-$H$23)))+((I72/$I$22))*($I$24*$I$23+$I$25*(1-$I$23))+((I73/$J$22)*($J$24*$J$23+$J$25*(1-$J$23)))+((I74/$K$22)*($K$24*$K$23+$K$25*(1-$K$23)))</f>
        <v>210017.42744299531</v>
      </c>
      <c r="J75" s="282">
        <f>((J71/$H$22)*($H$24*$H$23+$H$25*(1-$H$23)))+((J72/$I$22))*($I$24*$I$23+$I$25*(1-$I$23))+((J73/$J$22)*($J$24*$J$23+$J$25*(1-$J$23)))+((J74/$K$22)*($K$24*$K$23+$K$25*(1-$K$23)))</f>
        <v>211843.56669580107</v>
      </c>
      <c r="K75" s="282">
        <f t="shared" ref="K75:U75" si="2">((K71/$H$22)*($H$24*$H$23+$H$25*(1-$H$23)))+((K72/$I$22))*($I$24*$I$23+$I$25*(1-$I$23))+((K73/$J$22)*($J$24*$J$23+$J$25*(1-$J$23)))+((K74/$K$22)*($K$24*$K$23+$K$25*(1-$K$23)))</f>
        <v>213156.10428375524</v>
      </c>
      <c r="L75" s="282">
        <f t="shared" si="2"/>
        <v>214365.92153873909</v>
      </c>
      <c r="M75" s="282">
        <f t="shared" si="2"/>
        <v>215473.01846075256</v>
      </c>
      <c r="N75" s="282">
        <f t="shared" si="2"/>
        <v>216500.22179045583</v>
      </c>
      <c r="O75" s="282">
        <f t="shared" si="2"/>
        <v>217207.85075091809</v>
      </c>
      <c r="P75" s="282">
        <f t="shared" si="2"/>
        <v>217869.82623006019</v>
      </c>
      <c r="Q75" s="282">
        <f t="shared" si="2"/>
        <v>218497.56159821217</v>
      </c>
      <c r="R75" s="282">
        <f t="shared" si="2"/>
        <v>219079.64348504401</v>
      </c>
      <c r="S75" s="282">
        <f t="shared" si="2"/>
        <v>219627.48526088573</v>
      </c>
      <c r="T75" s="282">
        <f t="shared" si="2"/>
        <v>220152.50029606742</v>
      </c>
      <c r="U75" s="282">
        <f t="shared" si="2"/>
        <v>220643.27522025895</v>
      </c>
      <c r="V75" s="282">
        <f>((V71/$H$22)*($H$24*$H$23+$H$25*(1-$H$23)))+((V72/$I$22))*($I$24*$I$23+$I$25*(1-$I$23))+((V73/$J$22)*($J$24*$J$23+$J$25*(1-$J$23)))+((V74/$K$22)*($K$24*$K$23+$K$25*(1-$K$23)))</f>
        <v>221099.81003346038</v>
      </c>
    </row>
    <row r="76" spans="1:22" ht="15.75" customHeight="1" x14ac:dyDescent="0.15">
      <c r="A76" s="110"/>
      <c r="B76" s="128"/>
      <c r="C76" s="128"/>
      <c r="D76" s="128"/>
      <c r="E76" s="128"/>
      <c r="F76" s="110"/>
      <c r="G76" s="128"/>
      <c r="H76" s="110">
        <v>1</v>
      </c>
      <c r="I76" s="110">
        <v>2</v>
      </c>
      <c r="J76" s="128">
        <v>3</v>
      </c>
      <c r="K76" s="110">
        <v>4</v>
      </c>
      <c r="L76" s="110">
        <v>5</v>
      </c>
      <c r="M76" s="110">
        <v>6</v>
      </c>
      <c r="N76" s="110">
        <v>7</v>
      </c>
      <c r="O76" s="110">
        <v>8</v>
      </c>
      <c r="P76" s="110">
        <v>9</v>
      </c>
      <c r="Q76" s="110">
        <v>10</v>
      </c>
      <c r="R76" s="110">
        <v>11</v>
      </c>
      <c r="S76" s="110">
        <v>12</v>
      </c>
      <c r="T76" s="110">
        <v>13</v>
      </c>
      <c r="U76" s="110">
        <v>14</v>
      </c>
      <c r="V76" s="110">
        <v>15</v>
      </c>
    </row>
    <row r="77" spans="1:22" ht="16" x14ac:dyDescent="0.2">
      <c r="A77" s="2" t="s">
        <v>123</v>
      </c>
      <c r="B77" s="110" t="s">
        <v>19</v>
      </c>
      <c r="C77" s="110" t="s">
        <v>461</v>
      </c>
      <c r="D77" s="128"/>
      <c r="E77" s="128"/>
      <c r="F77" s="110" t="s">
        <v>458</v>
      </c>
      <c r="G77" s="44" t="s">
        <v>457</v>
      </c>
      <c r="H77" s="110" t="s">
        <v>21</v>
      </c>
      <c r="I77" s="110" t="s">
        <v>22</v>
      </c>
      <c r="J77" s="51" t="s">
        <v>144</v>
      </c>
      <c r="K77" s="51" t="s">
        <v>145</v>
      </c>
      <c r="L77" s="51" t="s">
        <v>146</v>
      </c>
      <c r="M77" s="51" t="s">
        <v>147</v>
      </c>
      <c r="N77" s="51" t="s">
        <v>148</v>
      </c>
      <c r="O77" s="51" t="s">
        <v>149</v>
      </c>
      <c r="P77" s="51" t="s">
        <v>150</v>
      </c>
      <c r="Q77" s="51" t="s">
        <v>151</v>
      </c>
      <c r="R77" s="51" t="s">
        <v>152</v>
      </c>
      <c r="S77" s="51" t="s">
        <v>153</v>
      </c>
      <c r="T77" s="51" t="s">
        <v>154</v>
      </c>
      <c r="U77" s="51" t="s">
        <v>155</v>
      </c>
      <c r="V77" s="51" t="s">
        <v>156</v>
      </c>
    </row>
    <row r="78" spans="1:22" ht="13" x14ac:dyDescent="0.15">
      <c r="A78" s="127" t="s">
        <v>23</v>
      </c>
      <c r="B78" s="127" t="s">
        <v>24</v>
      </c>
      <c r="C78" s="123"/>
      <c r="D78" s="128"/>
      <c r="E78" s="128"/>
      <c r="F78" s="264">
        <f>F75</f>
        <v>8666.0769801770366</v>
      </c>
      <c r="G78" s="265">
        <f>G75</f>
        <v>17501.452286916272</v>
      </c>
      <c r="H78" s="264">
        <f t="shared" ref="H78:V78" si="3">H75</f>
        <v>103992.92376212442</v>
      </c>
      <c r="I78" s="264">
        <f t="shared" si="3"/>
        <v>210017.42744299531</v>
      </c>
      <c r="J78" s="264">
        <f t="shared" si="3"/>
        <v>211843.56669580107</v>
      </c>
      <c r="K78" s="264">
        <f t="shared" si="3"/>
        <v>213156.10428375524</v>
      </c>
      <c r="L78" s="264">
        <f t="shared" si="3"/>
        <v>214365.92153873909</v>
      </c>
      <c r="M78" s="264">
        <f t="shared" si="3"/>
        <v>215473.01846075256</v>
      </c>
      <c r="N78" s="264">
        <f t="shared" si="3"/>
        <v>216500.22179045583</v>
      </c>
      <c r="O78" s="264">
        <f t="shared" si="3"/>
        <v>217207.85075091809</v>
      </c>
      <c r="P78" s="264">
        <f t="shared" si="3"/>
        <v>217869.82623006019</v>
      </c>
      <c r="Q78" s="264">
        <f t="shared" si="3"/>
        <v>218497.56159821217</v>
      </c>
      <c r="R78" s="264">
        <f t="shared" si="3"/>
        <v>219079.64348504401</v>
      </c>
      <c r="S78" s="264">
        <f t="shared" si="3"/>
        <v>219627.48526088573</v>
      </c>
      <c r="T78" s="264">
        <f t="shared" si="3"/>
        <v>220152.50029606742</v>
      </c>
      <c r="U78" s="264">
        <f t="shared" si="3"/>
        <v>220643.27522025895</v>
      </c>
      <c r="V78" s="264">
        <f t="shared" si="3"/>
        <v>221099.81003346038</v>
      </c>
    </row>
    <row r="79" spans="1:22" ht="13" x14ac:dyDescent="0.15">
      <c r="A79" s="127" t="s">
        <v>25</v>
      </c>
      <c r="B79" s="127" t="s">
        <v>26</v>
      </c>
      <c r="C79" s="473">
        <v>1</v>
      </c>
      <c r="D79" s="128"/>
      <c r="E79" s="128"/>
      <c r="F79" s="474">
        <v>0</v>
      </c>
      <c r="G79" s="289">
        <f>F79*$C$79</f>
        <v>0</v>
      </c>
      <c r="H79" s="264">
        <f t="shared" ref="H79:I82" si="4">F79*12</f>
        <v>0</v>
      </c>
      <c r="I79" s="290">
        <f t="shared" si="4"/>
        <v>0</v>
      </c>
      <c r="J79" s="267">
        <f t="shared" ref="J79:V82" si="5">I79</f>
        <v>0</v>
      </c>
      <c r="K79" s="267">
        <f t="shared" si="5"/>
        <v>0</v>
      </c>
      <c r="L79" s="267">
        <f t="shared" si="5"/>
        <v>0</v>
      </c>
      <c r="M79" s="267">
        <f t="shared" si="5"/>
        <v>0</v>
      </c>
      <c r="N79" s="267">
        <f t="shared" si="5"/>
        <v>0</v>
      </c>
      <c r="O79" s="267">
        <f t="shared" si="5"/>
        <v>0</v>
      </c>
      <c r="P79" s="267">
        <f t="shared" si="5"/>
        <v>0</v>
      </c>
      <c r="Q79" s="267">
        <f t="shared" si="5"/>
        <v>0</v>
      </c>
      <c r="R79" s="267">
        <f t="shared" si="5"/>
        <v>0</v>
      </c>
      <c r="S79" s="267">
        <f t="shared" si="5"/>
        <v>0</v>
      </c>
      <c r="T79" s="267">
        <f t="shared" si="5"/>
        <v>0</v>
      </c>
      <c r="U79" s="267">
        <f t="shared" si="5"/>
        <v>0</v>
      </c>
      <c r="V79" s="267">
        <f t="shared" si="5"/>
        <v>0</v>
      </c>
    </row>
    <row r="80" spans="1:22" ht="13" x14ac:dyDescent="0.15">
      <c r="A80" s="127" t="s">
        <v>27</v>
      </c>
      <c r="B80" s="127" t="s">
        <v>26</v>
      </c>
      <c r="C80" s="473">
        <v>1.1499999999999999</v>
      </c>
      <c r="D80" s="128"/>
      <c r="E80" s="128"/>
      <c r="F80" s="474">
        <v>0</v>
      </c>
      <c r="G80" s="276">
        <f>F80*$C$80</f>
        <v>0</v>
      </c>
      <c r="H80" s="264">
        <f t="shared" si="4"/>
        <v>0</v>
      </c>
      <c r="I80" s="290">
        <f t="shared" si="4"/>
        <v>0</v>
      </c>
      <c r="J80" s="267">
        <f t="shared" ref="J80:V80" si="6">I80*$C$80</f>
        <v>0</v>
      </c>
      <c r="K80" s="267">
        <f t="shared" si="6"/>
        <v>0</v>
      </c>
      <c r="L80" s="267">
        <f t="shared" si="6"/>
        <v>0</v>
      </c>
      <c r="M80" s="267">
        <f t="shared" si="6"/>
        <v>0</v>
      </c>
      <c r="N80" s="267">
        <f t="shared" si="6"/>
        <v>0</v>
      </c>
      <c r="O80" s="267">
        <f t="shared" si="6"/>
        <v>0</v>
      </c>
      <c r="P80" s="267">
        <f t="shared" si="6"/>
        <v>0</v>
      </c>
      <c r="Q80" s="267">
        <f t="shared" si="6"/>
        <v>0</v>
      </c>
      <c r="R80" s="267">
        <f t="shared" si="6"/>
        <v>0</v>
      </c>
      <c r="S80" s="267">
        <f t="shared" si="6"/>
        <v>0</v>
      </c>
      <c r="T80" s="267">
        <f t="shared" si="6"/>
        <v>0</v>
      </c>
      <c r="U80" s="267">
        <f t="shared" si="6"/>
        <v>0</v>
      </c>
      <c r="V80" s="267">
        <f t="shared" si="6"/>
        <v>0</v>
      </c>
    </row>
    <row r="81" spans="1:22" ht="13" x14ac:dyDescent="0.15">
      <c r="A81" s="127" t="s">
        <v>28</v>
      </c>
      <c r="B81" s="127" t="s">
        <v>26</v>
      </c>
      <c r="C81" s="473">
        <v>1.1499999999999999</v>
      </c>
      <c r="D81" s="128"/>
      <c r="E81" s="128"/>
      <c r="F81" s="474">
        <v>0</v>
      </c>
      <c r="G81" s="276">
        <f>F81*$C$81</f>
        <v>0</v>
      </c>
      <c r="H81" s="264">
        <f t="shared" si="4"/>
        <v>0</v>
      </c>
      <c r="I81" s="290">
        <f t="shared" si="4"/>
        <v>0</v>
      </c>
      <c r="J81" s="267">
        <f t="shared" ref="J81:V81" si="7">I81*tourism_multiplier</f>
        <v>0</v>
      </c>
      <c r="K81" s="267">
        <f t="shared" si="7"/>
        <v>0</v>
      </c>
      <c r="L81" s="267">
        <f t="shared" si="7"/>
        <v>0</v>
      </c>
      <c r="M81" s="267">
        <f t="shared" si="7"/>
        <v>0</v>
      </c>
      <c r="N81" s="267">
        <f t="shared" si="7"/>
        <v>0</v>
      </c>
      <c r="O81" s="267">
        <f t="shared" si="7"/>
        <v>0</v>
      </c>
      <c r="P81" s="267">
        <f t="shared" si="7"/>
        <v>0</v>
      </c>
      <c r="Q81" s="267">
        <f t="shared" si="7"/>
        <v>0</v>
      </c>
      <c r="R81" s="267">
        <f t="shared" si="7"/>
        <v>0</v>
      </c>
      <c r="S81" s="267">
        <f t="shared" si="7"/>
        <v>0</v>
      </c>
      <c r="T81" s="267">
        <f t="shared" si="7"/>
        <v>0</v>
      </c>
      <c r="U81" s="267">
        <f t="shared" si="7"/>
        <v>0</v>
      </c>
      <c r="V81" s="267">
        <f t="shared" si="7"/>
        <v>0</v>
      </c>
    </row>
    <row r="82" spans="1:22" ht="13" x14ac:dyDescent="0.15">
      <c r="A82" s="127" t="s">
        <v>29</v>
      </c>
      <c r="B82" s="127" t="s">
        <v>26</v>
      </c>
      <c r="C82" s="473">
        <v>1</v>
      </c>
      <c r="D82" s="128"/>
      <c r="E82" s="128"/>
      <c r="F82" s="474">
        <v>0</v>
      </c>
      <c r="G82" s="276">
        <f>F82*$C$82</f>
        <v>0</v>
      </c>
      <c r="H82" s="264">
        <f t="shared" si="4"/>
        <v>0</v>
      </c>
      <c r="I82" s="290">
        <f t="shared" si="4"/>
        <v>0</v>
      </c>
      <c r="J82" s="267">
        <f t="shared" si="5"/>
        <v>0</v>
      </c>
      <c r="K82" s="267">
        <f t="shared" si="5"/>
        <v>0</v>
      </c>
      <c r="L82" s="267">
        <f t="shared" si="5"/>
        <v>0</v>
      </c>
      <c r="M82" s="267">
        <f t="shared" si="5"/>
        <v>0</v>
      </c>
      <c r="N82" s="267">
        <f t="shared" si="5"/>
        <v>0</v>
      </c>
      <c r="O82" s="267">
        <f t="shared" si="5"/>
        <v>0</v>
      </c>
      <c r="P82" s="267">
        <f t="shared" si="5"/>
        <v>0</v>
      </c>
      <c r="Q82" s="267">
        <f t="shared" si="5"/>
        <v>0</v>
      </c>
      <c r="R82" s="267">
        <f t="shared" si="5"/>
        <v>0</v>
      </c>
      <c r="S82" s="267">
        <f t="shared" si="5"/>
        <v>0</v>
      </c>
      <c r="T82" s="267">
        <f t="shared" si="5"/>
        <v>0</v>
      </c>
      <c r="U82" s="267">
        <f t="shared" si="5"/>
        <v>0</v>
      </c>
      <c r="V82" s="267">
        <f t="shared" si="5"/>
        <v>0</v>
      </c>
    </row>
    <row r="83" spans="1:22" ht="13" x14ac:dyDescent="0.15">
      <c r="A83" s="129" t="s">
        <v>488</v>
      </c>
      <c r="B83" s="160" t="s">
        <v>487</v>
      </c>
      <c r="C83" s="164"/>
      <c r="D83" s="128"/>
      <c r="E83" s="128"/>
      <c r="F83" s="161" t="s">
        <v>100</v>
      </c>
      <c r="G83" s="162" t="s">
        <v>100</v>
      </c>
      <c r="H83" s="475">
        <v>128000</v>
      </c>
      <c r="I83" s="476">
        <v>50000</v>
      </c>
      <c r="J83" s="477">
        <v>0</v>
      </c>
      <c r="K83" s="477">
        <v>0</v>
      </c>
      <c r="L83" s="477">
        <v>0</v>
      </c>
      <c r="M83" s="477">
        <v>0</v>
      </c>
      <c r="N83" s="477">
        <v>0</v>
      </c>
      <c r="O83" s="477">
        <v>0</v>
      </c>
      <c r="P83" s="477">
        <v>0</v>
      </c>
      <c r="Q83" s="477">
        <v>0</v>
      </c>
      <c r="R83" s="477">
        <v>0</v>
      </c>
      <c r="S83" s="477">
        <v>0</v>
      </c>
      <c r="T83" s="477">
        <v>0</v>
      </c>
      <c r="U83" s="477">
        <v>0</v>
      </c>
      <c r="V83" s="477">
        <v>0</v>
      </c>
    </row>
    <row r="84" spans="1:22" ht="13" x14ac:dyDescent="0.15">
      <c r="A84" s="20" t="s">
        <v>42</v>
      </c>
      <c r="B84" s="126"/>
      <c r="C84" s="126"/>
      <c r="D84" s="126"/>
      <c r="E84" s="126"/>
      <c r="F84" s="268">
        <f>SUM(F78:F83)</f>
        <v>8666.0769801770366</v>
      </c>
      <c r="G84" s="268">
        <f>SUM(G78:G83)</f>
        <v>17501.452286916272</v>
      </c>
      <c r="H84" s="268">
        <f>SUM(H78:H82)</f>
        <v>103992.92376212442</v>
      </c>
      <c r="I84" s="268">
        <f>SUM(I78:I82)</f>
        <v>210017.42744299531</v>
      </c>
      <c r="J84" s="268">
        <f t="shared" ref="J84:V84" si="8">SUM(J78:J82)</f>
        <v>211843.56669580107</v>
      </c>
      <c r="K84" s="268">
        <f t="shared" si="8"/>
        <v>213156.10428375524</v>
      </c>
      <c r="L84" s="268">
        <f t="shared" si="8"/>
        <v>214365.92153873909</v>
      </c>
      <c r="M84" s="268">
        <f t="shared" si="8"/>
        <v>215473.01846075256</v>
      </c>
      <c r="N84" s="268">
        <f t="shared" si="8"/>
        <v>216500.22179045583</v>
      </c>
      <c r="O84" s="268">
        <f t="shared" si="8"/>
        <v>217207.85075091809</v>
      </c>
      <c r="P84" s="268">
        <f t="shared" si="8"/>
        <v>217869.82623006019</v>
      </c>
      <c r="Q84" s="268">
        <f t="shared" si="8"/>
        <v>218497.56159821217</v>
      </c>
      <c r="R84" s="268">
        <f t="shared" si="8"/>
        <v>219079.64348504401</v>
      </c>
      <c r="S84" s="268">
        <f t="shared" si="8"/>
        <v>219627.48526088573</v>
      </c>
      <c r="T84" s="268">
        <f t="shared" si="8"/>
        <v>220152.50029606742</v>
      </c>
      <c r="U84" s="268">
        <f t="shared" si="8"/>
        <v>220643.27522025895</v>
      </c>
      <c r="V84" s="268">
        <f t="shared" si="8"/>
        <v>221099.81003346038</v>
      </c>
    </row>
    <row r="85" spans="1:22" ht="13" x14ac:dyDescent="0.15">
      <c r="A85" s="128"/>
      <c r="B85" s="128"/>
      <c r="C85" s="128"/>
      <c r="D85" s="128"/>
      <c r="E85" s="128"/>
      <c r="F85" s="128"/>
      <c r="G85" s="128"/>
      <c r="H85" s="128"/>
      <c r="I85" s="128"/>
      <c r="J85" s="128"/>
      <c r="K85" s="128"/>
      <c r="L85" s="128"/>
      <c r="M85" s="128"/>
      <c r="N85" s="128"/>
      <c r="O85" s="128"/>
      <c r="P85" s="128"/>
      <c r="Q85" s="128"/>
      <c r="R85" s="128"/>
      <c r="S85" s="128"/>
      <c r="T85" s="128"/>
      <c r="U85" s="128"/>
      <c r="V85" s="128"/>
    </row>
    <row r="86" spans="1:22" ht="16" x14ac:dyDescent="0.2">
      <c r="A86" s="2" t="s">
        <v>283</v>
      </c>
      <c r="B86" s="128"/>
      <c r="C86" s="128"/>
      <c r="D86" s="128"/>
      <c r="E86" s="128"/>
      <c r="F86" s="110" t="s">
        <v>20</v>
      </c>
      <c r="G86" s="44" t="s">
        <v>462</v>
      </c>
      <c r="H86" s="110" t="s">
        <v>21</v>
      </c>
      <c r="I86" s="110" t="s">
        <v>22</v>
      </c>
      <c r="J86" s="110" t="s">
        <v>144</v>
      </c>
      <c r="K86" s="44" t="s">
        <v>145</v>
      </c>
      <c r="L86" s="44" t="s">
        <v>146</v>
      </c>
      <c r="M86" s="44" t="s">
        <v>147</v>
      </c>
      <c r="N86" s="44" t="s">
        <v>148</v>
      </c>
      <c r="O86" s="44" t="s">
        <v>149</v>
      </c>
      <c r="P86" s="44" t="s">
        <v>150</v>
      </c>
      <c r="Q86" s="44" t="s">
        <v>151</v>
      </c>
      <c r="R86" s="44" t="s">
        <v>152</v>
      </c>
      <c r="S86" s="44" t="s">
        <v>153</v>
      </c>
      <c r="T86" s="44" t="s">
        <v>154</v>
      </c>
      <c r="U86" s="44" t="s">
        <v>155</v>
      </c>
      <c r="V86" s="44" t="s">
        <v>156</v>
      </c>
    </row>
    <row r="87" spans="1:22" ht="13" x14ac:dyDescent="0.15">
      <c r="A87" s="127" t="s">
        <v>43</v>
      </c>
      <c r="B87" s="127" t="s">
        <v>44</v>
      </c>
      <c r="C87" s="128"/>
      <c r="D87" s="128"/>
      <c r="E87" s="128"/>
      <c r="F87" s="264">
        <f>F120</f>
        <v>1646.54</v>
      </c>
      <c r="G87" s="276">
        <f>I87/12</f>
        <v>2470</v>
      </c>
      <c r="H87" s="264">
        <f>H120</f>
        <v>19758.48</v>
      </c>
      <c r="I87" s="266">
        <f>I120</f>
        <v>29640</v>
      </c>
      <c r="J87" s="267">
        <f>J120</f>
        <v>28158</v>
      </c>
      <c r="K87" s="267">
        <f t="shared" ref="K87:V87" si="9">K120</f>
        <v>26750.1</v>
      </c>
      <c r="L87" s="267">
        <f t="shared" si="9"/>
        <v>25412.594999999998</v>
      </c>
      <c r="M87" s="267">
        <f>M120</f>
        <v>24141.965249999997</v>
      </c>
      <c r="N87" s="267">
        <f t="shared" si="9"/>
        <v>22934.866987499998</v>
      </c>
      <c r="O87" s="267">
        <f t="shared" si="9"/>
        <v>21788.123638124998</v>
      </c>
      <c r="P87" s="267">
        <f t="shared" si="9"/>
        <v>20698.717456218747</v>
      </c>
      <c r="Q87" s="267">
        <f t="shared" si="9"/>
        <v>19663.781583407806</v>
      </c>
      <c r="R87" s="267">
        <f t="shared" si="9"/>
        <v>18680.592504237415</v>
      </c>
      <c r="S87" s="267">
        <f t="shared" si="9"/>
        <v>17746.562879025543</v>
      </c>
      <c r="T87" s="267">
        <f t="shared" si="9"/>
        <v>16859.234735074264</v>
      </c>
      <c r="U87" s="267">
        <f t="shared" si="9"/>
        <v>16016.27299832055</v>
      </c>
      <c r="V87" s="267">
        <f t="shared" si="9"/>
        <v>15215.459348404522</v>
      </c>
    </row>
    <row r="88" spans="1:22" ht="13" x14ac:dyDescent="0.15">
      <c r="A88" s="127" t="s">
        <v>45</v>
      </c>
      <c r="B88" s="127" t="s">
        <v>46</v>
      </c>
      <c r="C88" s="128"/>
      <c r="D88" s="128"/>
      <c r="E88" s="128"/>
      <c r="F88" s="284">
        <f>VLOOKUP(growing_media, Consumables!A23:B26, 2, FALSE)*(SUM(H30:K30))</f>
        <v>87.428772348654434</v>
      </c>
      <c r="G88" s="276">
        <f>VLOOKUP(growing_media, Consumables!A23:B26, 2, FALSE)*(SUM(H31:K31))</f>
        <v>174.85754469730887</v>
      </c>
      <c r="H88" s="264">
        <f>F88*12</f>
        <v>1049.1452681838532</v>
      </c>
      <c r="I88" s="266">
        <f>H88*B22</f>
        <v>2098.2905363677064</v>
      </c>
      <c r="J88" s="267">
        <f t="shared" ref="J88:V92" si="10">I88</f>
        <v>2098.2905363677064</v>
      </c>
      <c r="K88" s="267">
        <f t="shared" si="10"/>
        <v>2098.2905363677064</v>
      </c>
      <c r="L88" s="267">
        <f t="shared" si="10"/>
        <v>2098.2905363677064</v>
      </c>
      <c r="M88" s="267">
        <f t="shared" si="10"/>
        <v>2098.2905363677064</v>
      </c>
      <c r="N88" s="267">
        <f t="shared" si="10"/>
        <v>2098.2905363677064</v>
      </c>
      <c r="O88" s="267">
        <f t="shared" si="10"/>
        <v>2098.2905363677064</v>
      </c>
      <c r="P88" s="267">
        <f t="shared" si="10"/>
        <v>2098.2905363677064</v>
      </c>
      <c r="Q88" s="267">
        <f t="shared" si="10"/>
        <v>2098.2905363677064</v>
      </c>
      <c r="R88" s="267">
        <f t="shared" si="10"/>
        <v>2098.2905363677064</v>
      </c>
      <c r="S88" s="267">
        <f t="shared" si="10"/>
        <v>2098.2905363677064</v>
      </c>
      <c r="T88" s="267">
        <f t="shared" si="10"/>
        <v>2098.2905363677064</v>
      </c>
      <c r="U88" s="267">
        <f t="shared" si="10"/>
        <v>2098.2905363677064</v>
      </c>
      <c r="V88" s="267">
        <f t="shared" si="10"/>
        <v>2098.2905363677064</v>
      </c>
    </row>
    <row r="89" spans="1:22" ht="13" x14ac:dyDescent="0.15">
      <c r="A89" s="127" t="s">
        <v>47</v>
      </c>
      <c r="B89" s="127" t="s">
        <v>48</v>
      </c>
      <c r="C89" s="128"/>
      <c r="D89" s="128"/>
      <c r="E89" s="128"/>
      <c r="F89" s="264">
        <f>packaging_cost_pilot*((F71/crop1_product_weight)+(m1_wa_yield_crop2/crop2_product_weight)+(m1_wa_yield_crop3/crop3_product_weight)+(m1_wa_yield_crop4/crop4_product_weight))</f>
        <v>1667.7480934641064</v>
      </c>
      <c r="G89" s="276">
        <f>I89/12</f>
        <v>2862.8653643920402</v>
      </c>
      <c r="H89" s="264">
        <f>F89*12</f>
        <v>20012.977121569278</v>
      </c>
      <c r="I89" s="266">
        <f>packaging_cost_full*((y2_wa_yield_crop1/crop1_product_weight)+(y2_wa_yield_crop2/crop2_product_weight)+(y2_wa_yield_crop3/crop3_product_weight)+(y2_wa_yield_crop4/crop4_product_weight))</f>
        <v>34354.38437270448</v>
      </c>
      <c r="J89" s="285">
        <f>packaging_cost_full*((y3_wa_yield_crop1/crop1_product_weight)+(y3_wa_yield_crop2/crop2_product_weight)+(y3_wa_yield_crop3/crop3_product_weight)+(y3_wa_yield_crop4/crop4_product_weight))</f>
        <v>34653.10191520938</v>
      </c>
      <c r="K89" s="285">
        <f t="shared" ref="K89:V89" si="11">packaging_cost_full*((K71/crop1_product_weight)+(K72/crop2_product_weight)+(K73/crop3_product_weight)+(K74/crop4_product_weight))</f>
        <v>34867.805148884778</v>
      </c>
      <c r="L89" s="285">
        <f t="shared" si="11"/>
        <v>35065.705520794276</v>
      </c>
      <c r="M89" s="285">
        <f t="shared" si="11"/>
        <v>35246.803030937874</v>
      </c>
      <c r="N89" s="285">
        <f t="shared" si="11"/>
        <v>35414.831648596875</v>
      </c>
      <c r="O89" s="285">
        <f t="shared" si="11"/>
        <v>35530.584696317528</v>
      </c>
      <c r="P89" s="285">
        <f t="shared" si="11"/>
        <v>35638.869805475559</v>
      </c>
      <c r="Q89" s="285">
        <f t="shared" si="11"/>
        <v>35741.553960711615</v>
      </c>
      <c r="R89" s="285">
        <f t="shared" si="11"/>
        <v>35836.770177385057</v>
      </c>
      <c r="S89" s="285">
        <f t="shared" si="11"/>
        <v>35926.385440136524</v>
      </c>
      <c r="T89" s="285">
        <f t="shared" si="11"/>
        <v>36012.266733606688</v>
      </c>
      <c r="U89" s="285">
        <f t="shared" si="11"/>
        <v>36092.547073154878</v>
      </c>
      <c r="V89" s="285">
        <f t="shared" si="11"/>
        <v>36167.226458781101</v>
      </c>
    </row>
    <row r="90" spans="1:22" ht="13" x14ac:dyDescent="0.15">
      <c r="A90" s="127" t="s">
        <v>49</v>
      </c>
      <c r="B90" s="127" t="s">
        <v>50</v>
      </c>
      <c r="C90" s="128"/>
      <c r="D90" s="128"/>
      <c r="E90" s="128"/>
      <c r="F90" s="284">
        <f>(SUM(H32:K32)/0.25)-F88</f>
        <v>453.36775764302263</v>
      </c>
      <c r="G90" s="276">
        <f>(SUM(H33:K33)/0.25)-G88</f>
        <v>906.73551528604526</v>
      </c>
      <c r="H90" s="264">
        <f>F90*12</f>
        <v>5440.4130917162711</v>
      </c>
      <c r="I90" s="266">
        <f>G90*12</f>
        <v>10880.826183432542</v>
      </c>
      <c r="J90" s="267">
        <f t="shared" si="10"/>
        <v>10880.826183432542</v>
      </c>
      <c r="K90" s="267">
        <f t="shared" si="10"/>
        <v>10880.826183432542</v>
      </c>
      <c r="L90" s="267">
        <f t="shared" si="10"/>
        <v>10880.826183432542</v>
      </c>
      <c r="M90" s="267">
        <f t="shared" si="10"/>
        <v>10880.826183432542</v>
      </c>
      <c r="N90" s="267">
        <f t="shared" si="10"/>
        <v>10880.826183432542</v>
      </c>
      <c r="O90" s="267">
        <f t="shared" si="10"/>
        <v>10880.826183432542</v>
      </c>
      <c r="P90" s="267">
        <f t="shared" si="10"/>
        <v>10880.826183432542</v>
      </c>
      <c r="Q90" s="267">
        <f t="shared" si="10"/>
        <v>10880.826183432542</v>
      </c>
      <c r="R90" s="267">
        <f t="shared" si="10"/>
        <v>10880.826183432542</v>
      </c>
      <c r="S90" s="267">
        <f t="shared" si="10"/>
        <v>10880.826183432542</v>
      </c>
      <c r="T90" s="267">
        <f t="shared" si="10"/>
        <v>10880.826183432542</v>
      </c>
      <c r="U90" s="267">
        <f t="shared" si="10"/>
        <v>10880.826183432542</v>
      </c>
      <c r="V90" s="267">
        <f t="shared" si="10"/>
        <v>10880.826183432542</v>
      </c>
    </row>
    <row r="91" spans="1:22" ht="13" x14ac:dyDescent="0.15">
      <c r="A91" s="127" t="s">
        <v>51</v>
      </c>
      <c r="B91" s="127" t="s">
        <v>52</v>
      </c>
      <c r="C91" s="128"/>
      <c r="D91" s="128"/>
      <c r="E91" s="128"/>
      <c r="F91" s="286">
        <f>((C38*VLOOKUP(Overview!B38, Database!A79:X100, 6, FALSE)*L19*(365/12)/1000)+(B47*365/12))*B48</f>
        <v>771.00118341275015</v>
      </c>
      <c r="G91" s="276">
        <f>I91/12</f>
        <v>1312.8223674127501</v>
      </c>
      <c r="H91" s="264">
        <f>F91*12</f>
        <v>9252.0142009530027</v>
      </c>
      <c r="I91" s="266">
        <f>metric_energy*electricity_price</f>
        <v>15753.868408953002</v>
      </c>
      <c r="J91" s="267">
        <f>I91</f>
        <v>15753.868408953002</v>
      </c>
      <c r="K91" s="267">
        <f t="shared" si="10"/>
        <v>15753.868408953002</v>
      </c>
      <c r="L91" s="267">
        <f t="shared" si="10"/>
        <v>15753.868408953002</v>
      </c>
      <c r="M91" s="267">
        <f t="shared" si="10"/>
        <v>15753.868408953002</v>
      </c>
      <c r="N91" s="267">
        <f t="shared" si="10"/>
        <v>15753.868408953002</v>
      </c>
      <c r="O91" s="267">
        <f t="shared" si="10"/>
        <v>15753.868408953002</v>
      </c>
      <c r="P91" s="267">
        <f t="shared" si="10"/>
        <v>15753.868408953002</v>
      </c>
      <c r="Q91" s="267">
        <f t="shared" si="10"/>
        <v>15753.868408953002</v>
      </c>
      <c r="R91" s="267">
        <f t="shared" si="10"/>
        <v>15753.868408953002</v>
      </c>
      <c r="S91" s="267">
        <f t="shared" si="10"/>
        <v>15753.868408953002</v>
      </c>
      <c r="T91" s="267">
        <f t="shared" si="10"/>
        <v>15753.868408953002</v>
      </c>
      <c r="U91" s="267">
        <f t="shared" si="10"/>
        <v>15753.868408953002</v>
      </c>
      <c r="V91" s="267">
        <f t="shared" si="10"/>
        <v>15753.868408953002</v>
      </c>
    </row>
    <row r="92" spans="1:22" ht="13" x14ac:dyDescent="0.15">
      <c r="A92" s="127" t="s">
        <v>53</v>
      </c>
      <c r="B92" s="127" t="s">
        <v>52</v>
      </c>
      <c r="C92" s="128"/>
      <c r="D92" s="128"/>
      <c r="E92" s="128"/>
      <c r="F92" s="286">
        <f>(G52*B46)/12</f>
        <v>4.0705283333333329</v>
      </c>
      <c r="G92" s="276">
        <f>I92/12</f>
        <v>8.1410566666666657</v>
      </c>
      <c r="H92" s="264">
        <f>F92*12</f>
        <v>48.846339999999998</v>
      </c>
      <c r="I92" s="266">
        <f>H92*B22</f>
        <v>97.692679999999996</v>
      </c>
      <c r="J92" s="267">
        <f>I92</f>
        <v>97.692679999999996</v>
      </c>
      <c r="K92" s="267">
        <f t="shared" si="10"/>
        <v>97.692679999999996</v>
      </c>
      <c r="L92" s="267">
        <f t="shared" si="10"/>
        <v>97.692679999999996</v>
      </c>
      <c r="M92" s="267">
        <f t="shared" si="10"/>
        <v>97.692679999999996</v>
      </c>
      <c r="N92" s="267">
        <f t="shared" si="10"/>
        <v>97.692679999999996</v>
      </c>
      <c r="O92" s="267">
        <f t="shared" si="10"/>
        <v>97.692679999999996</v>
      </c>
      <c r="P92" s="267">
        <f t="shared" si="10"/>
        <v>97.692679999999996</v>
      </c>
      <c r="Q92" s="267">
        <f t="shared" si="10"/>
        <v>97.692679999999996</v>
      </c>
      <c r="R92" s="267">
        <f t="shared" si="10"/>
        <v>97.692679999999996</v>
      </c>
      <c r="S92" s="267">
        <f t="shared" si="10"/>
        <v>97.692679999999996</v>
      </c>
      <c r="T92" s="267">
        <f t="shared" si="10"/>
        <v>97.692679999999996</v>
      </c>
      <c r="U92" s="267">
        <f t="shared" si="10"/>
        <v>97.692679999999996</v>
      </c>
      <c r="V92" s="267">
        <f t="shared" si="10"/>
        <v>97.692679999999996</v>
      </c>
    </row>
    <row r="93" spans="1:22" ht="13" x14ac:dyDescent="0.15">
      <c r="A93" s="20" t="s">
        <v>54</v>
      </c>
      <c r="B93" s="21"/>
      <c r="C93" s="21"/>
      <c r="D93" s="21"/>
      <c r="E93" s="21"/>
      <c r="F93" s="268">
        <f>SUM(F87:F92)</f>
        <v>4630.1563352018675</v>
      </c>
      <c r="G93" s="287">
        <f>SUM(G87:G92)</f>
        <v>7735.421848454811</v>
      </c>
      <c r="H93" s="268">
        <f t="shared" ref="H93:V93" si="12">SUM(H87:H92)</f>
        <v>55561.876022422395</v>
      </c>
      <c r="I93" s="268">
        <f>SUM(I87:I92)</f>
        <v>92825.062181457717</v>
      </c>
      <c r="J93" s="268">
        <f t="shared" si="12"/>
        <v>91641.779723962623</v>
      </c>
      <c r="K93" s="268">
        <f t="shared" si="12"/>
        <v>90448.58295763802</v>
      </c>
      <c r="L93" s="268">
        <f t="shared" si="12"/>
        <v>89308.978329547506</v>
      </c>
      <c r="M93" s="268">
        <f t="shared" si="12"/>
        <v>88219.446089691104</v>
      </c>
      <c r="N93" s="268">
        <f t="shared" si="12"/>
        <v>87180.376444850117</v>
      </c>
      <c r="O93" s="268">
        <f t="shared" si="12"/>
        <v>86149.386143195763</v>
      </c>
      <c r="P93" s="268">
        <f t="shared" si="12"/>
        <v>85168.265070447538</v>
      </c>
      <c r="Q93" s="268">
        <f t="shared" si="12"/>
        <v>84236.013352872658</v>
      </c>
      <c r="R93" s="268">
        <f t="shared" si="12"/>
        <v>83348.040490375715</v>
      </c>
      <c r="S93" s="268">
        <f t="shared" si="12"/>
        <v>82503.626127915311</v>
      </c>
      <c r="T93" s="268">
        <f t="shared" si="12"/>
        <v>81702.179277434188</v>
      </c>
      <c r="U93" s="268">
        <f t="shared" si="12"/>
        <v>80939.497880228664</v>
      </c>
      <c r="V93" s="268">
        <f t="shared" si="12"/>
        <v>80213.363615938855</v>
      </c>
    </row>
    <row r="94" spans="1:22" s="84" customFormat="1" ht="13" x14ac:dyDescent="0.15">
      <c r="A94" s="110"/>
      <c r="B94" s="110"/>
      <c r="C94" s="128"/>
      <c r="D94" s="128"/>
      <c r="E94" s="128"/>
      <c r="F94" s="22"/>
      <c r="G94" s="128"/>
      <c r="H94" s="22"/>
      <c r="I94" s="22"/>
      <c r="J94" s="128"/>
      <c r="K94" s="128"/>
      <c r="L94" s="128"/>
      <c r="M94" s="128"/>
      <c r="N94" s="128"/>
      <c r="O94" s="128"/>
      <c r="P94" s="128"/>
      <c r="Q94" s="128"/>
      <c r="R94" s="128"/>
      <c r="S94" s="128"/>
      <c r="T94" s="128"/>
      <c r="U94" s="128"/>
      <c r="V94" s="128"/>
    </row>
    <row r="95" spans="1:22" ht="13" x14ac:dyDescent="0.15">
      <c r="A95" s="20" t="s">
        <v>55</v>
      </c>
      <c r="B95" s="20"/>
      <c r="C95" s="126"/>
      <c r="D95" s="126"/>
      <c r="E95" s="126"/>
      <c r="F95" s="288">
        <f>F84-F93</f>
        <v>4035.9206449751691</v>
      </c>
      <c r="G95" s="288">
        <f>G84-G93</f>
        <v>9766.030438461461</v>
      </c>
      <c r="H95" s="288">
        <f>H84-H93</f>
        <v>48431.04773970203</v>
      </c>
      <c r="I95" s="288">
        <f t="shared" ref="I95:V95" si="13">I84-I93</f>
        <v>117192.36526153759</v>
      </c>
      <c r="J95" s="288">
        <f t="shared" si="13"/>
        <v>120201.78697183845</v>
      </c>
      <c r="K95" s="288">
        <f t="shared" si="13"/>
        <v>122707.52132611722</v>
      </c>
      <c r="L95" s="288">
        <f t="shared" si="13"/>
        <v>125056.94320919158</v>
      </c>
      <c r="M95" s="288">
        <f t="shared" si="13"/>
        <v>127253.57237106145</v>
      </c>
      <c r="N95" s="288">
        <f t="shared" si="13"/>
        <v>129319.84534560572</v>
      </c>
      <c r="O95" s="288">
        <f t="shared" si="13"/>
        <v>131058.46460772233</v>
      </c>
      <c r="P95" s="288">
        <f t="shared" si="13"/>
        <v>132701.56115961267</v>
      </c>
      <c r="Q95" s="288">
        <f t="shared" si="13"/>
        <v>134261.54824533951</v>
      </c>
      <c r="R95" s="288">
        <f t="shared" si="13"/>
        <v>135731.6029946683</v>
      </c>
      <c r="S95" s="288">
        <f t="shared" si="13"/>
        <v>137123.85913297042</v>
      </c>
      <c r="T95" s="288">
        <f t="shared" si="13"/>
        <v>138450.32101863323</v>
      </c>
      <c r="U95" s="288">
        <f t="shared" si="13"/>
        <v>139703.7773400303</v>
      </c>
      <c r="V95" s="288">
        <f t="shared" si="13"/>
        <v>140886.44641752151</v>
      </c>
    </row>
    <row r="96" spans="1:22" ht="13" x14ac:dyDescent="0.15">
      <c r="A96" s="110"/>
      <c r="B96" s="110"/>
      <c r="C96" s="128"/>
      <c r="D96" s="128"/>
      <c r="E96" s="128"/>
      <c r="F96" s="110"/>
      <c r="G96" s="128"/>
      <c r="H96" s="110"/>
      <c r="I96" s="110"/>
      <c r="J96" s="128"/>
      <c r="K96" s="128"/>
      <c r="L96" s="128"/>
      <c r="M96" s="128"/>
      <c r="N96" s="128"/>
      <c r="O96" s="128"/>
      <c r="P96" s="128"/>
      <c r="Q96" s="128"/>
      <c r="R96" s="128"/>
      <c r="S96" s="128"/>
      <c r="T96" s="128"/>
      <c r="U96" s="128"/>
      <c r="V96" s="128"/>
    </row>
    <row r="97" spans="1:22" ht="16" x14ac:dyDescent="0.2">
      <c r="A97" s="2" t="s">
        <v>284</v>
      </c>
      <c r="B97" s="110"/>
      <c r="C97" s="128"/>
      <c r="D97" s="128"/>
      <c r="E97" s="128"/>
      <c r="F97" s="110" t="s">
        <v>20</v>
      </c>
      <c r="G97" s="44" t="s">
        <v>463</v>
      </c>
      <c r="H97" s="110" t="s">
        <v>21</v>
      </c>
      <c r="I97" s="110" t="s">
        <v>22</v>
      </c>
      <c r="J97" s="110" t="s">
        <v>144</v>
      </c>
      <c r="K97" s="44" t="s">
        <v>145</v>
      </c>
      <c r="L97" s="44" t="s">
        <v>146</v>
      </c>
      <c r="M97" s="44" t="s">
        <v>147</v>
      </c>
      <c r="N97" s="44" t="s">
        <v>148</v>
      </c>
      <c r="O97" s="44" t="s">
        <v>149</v>
      </c>
      <c r="P97" s="44" t="s">
        <v>150</v>
      </c>
      <c r="Q97" s="44" t="s">
        <v>151</v>
      </c>
      <c r="R97" s="44" t="s">
        <v>152</v>
      </c>
      <c r="S97" s="44" t="s">
        <v>153</v>
      </c>
      <c r="T97" s="44" t="s">
        <v>154</v>
      </c>
      <c r="U97" s="44" t="s">
        <v>155</v>
      </c>
      <c r="V97" s="44" t="s">
        <v>156</v>
      </c>
    </row>
    <row r="98" spans="1:22" s="26" customFormat="1" ht="13" x14ac:dyDescent="0.15">
      <c r="A98" s="127" t="s">
        <v>56</v>
      </c>
      <c r="B98" s="127"/>
      <c r="C98" s="128"/>
      <c r="D98" s="128"/>
      <c r="E98" s="128"/>
      <c r="F98" s="478">
        <v>0</v>
      </c>
      <c r="G98" s="479">
        <f>I98/12</f>
        <v>0</v>
      </c>
      <c r="H98" s="264">
        <f>F98*12</f>
        <v>0</v>
      </c>
      <c r="I98" s="266">
        <f>H98*B22</f>
        <v>0</v>
      </c>
      <c r="J98" s="267">
        <f>I98</f>
        <v>0</v>
      </c>
      <c r="K98" s="267">
        <f t="shared" ref="K98:V98" si="14">J98</f>
        <v>0</v>
      </c>
      <c r="L98" s="267">
        <f t="shared" si="14"/>
        <v>0</v>
      </c>
      <c r="M98" s="267">
        <f t="shared" si="14"/>
        <v>0</v>
      </c>
      <c r="N98" s="267">
        <f t="shared" si="14"/>
        <v>0</v>
      </c>
      <c r="O98" s="267">
        <f t="shared" si="14"/>
        <v>0</v>
      </c>
      <c r="P98" s="267">
        <f t="shared" si="14"/>
        <v>0</v>
      </c>
      <c r="Q98" s="267">
        <f t="shared" si="14"/>
        <v>0</v>
      </c>
      <c r="R98" s="267">
        <f t="shared" si="14"/>
        <v>0</v>
      </c>
      <c r="S98" s="267">
        <f t="shared" si="14"/>
        <v>0</v>
      </c>
      <c r="T98" s="267">
        <f t="shared" si="14"/>
        <v>0</v>
      </c>
      <c r="U98" s="267">
        <f t="shared" si="14"/>
        <v>0</v>
      </c>
      <c r="V98" s="267">
        <f t="shared" si="14"/>
        <v>0</v>
      </c>
    </row>
    <row r="99" spans="1:22" s="26" customFormat="1" ht="13" x14ac:dyDescent="0.15">
      <c r="A99" s="129" t="s">
        <v>285</v>
      </c>
      <c r="B99" s="127" t="s">
        <v>44</v>
      </c>
      <c r="C99" s="127"/>
      <c r="D99" s="128"/>
      <c r="E99" s="128"/>
      <c r="F99" s="275">
        <f>F130</f>
        <v>2784</v>
      </c>
      <c r="G99" s="276">
        <f>I99/12</f>
        <v>5853</v>
      </c>
      <c r="H99" s="264">
        <f>H130</f>
        <v>33408</v>
      </c>
      <c r="I99" s="266">
        <f>I130</f>
        <v>70236</v>
      </c>
      <c r="J99" s="267">
        <f>I99</f>
        <v>70236</v>
      </c>
      <c r="K99" s="267">
        <f t="shared" ref="K99:V99" si="15">J99</f>
        <v>70236</v>
      </c>
      <c r="L99" s="267">
        <f t="shared" si="15"/>
        <v>70236</v>
      </c>
      <c r="M99" s="267">
        <f t="shared" si="15"/>
        <v>70236</v>
      </c>
      <c r="N99" s="267">
        <f t="shared" si="15"/>
        <v>70236</v>
      </c>
      <c r="O99" s="267">
        <f t="shared" si="15"/>
        <v>70236</v>
      </c>
      <c r="P99" s="267">
        <f t="shared" si="15"/>
        <v>70236</v>
      </c>
      <c r="Q99" s="267">
        <f t="shared" si="15"/>
        <v>70236</v>
      </c>
      <c r="R99" s="267">
        <f t="shared" si="15"/>
        <v>70236</v>
      </c>
      <c r="S99" s="267">
        <f t="shared" si="15"/>
        <v>70236</v>
      </c>
      <c r="T99" s="267">
        <f t="shared" si="15"/>
        <v>70236</v>
      </c>
      <c r="U99" s="267">
        <f t="shared" si="15"/>
        <v>70236</v>
      </c>
      <c r="V99" s="267">
        <f t="shared" si="15"/>
        <v>70236</v>
      </c>
    </row>
    <row r="100" spans="1:22" s="26" customFormat="1" ht="13" x14ac:dyDescent="0.15">
      <c r="A100" s="129" t="s">
        <v>286</v>
      </c>
      <c r="B100" s="129" t="s">
        <v>289</v>
      </c>
      <c r="C100" s="128"/>
      <c r="D100" s="128"/>
      <c r="E100" s="128"/>
      <c r="F100" s="264">
        <f>F130*$B$26</f>
        <v>55.68</v>
      </c>
      <c r="G100" s="276">
        <f>I100/12</f>
        <v>117.06</v>
      </c>
      <c r="H100" s="264">
        <f>H130*B$26</f>
        <v>668.16</v>
      </c>
      <c r="I100" s="266">
        <f>I130*C$26</f>
        <v>1404.72</v>
      </c>
      <c r="J100" s="267">
        <f>I100</f>
        <v>1404.72</v>
      </c>
      <c r="K100" s="267">
        <f t="shared" ref="K100:V102" si="16">J100</f>
        <v>1404.72</v>
      </c>
      <c r="L100" s="267">
        <f t="shared" si="16"/>
        <v>1404.72</v>
      </c>
      <c r="M100" s="267">
        <f t="shared" si="16"/>
        <v>1404.72</v>
      </c>
      <c r="N100" s="267">
        <f t="shared" si="16"/>
        <v>1404.72</v>
      </c>
      <c r="O100" s="267">
        <f t="shared" si="16"/>
        <v>1404.72</v>
      </c>
      <c r="P100" s="267">
        <f t="shared" si="16"/>
        <v>1404.72</v>
      </c>
      <c r="Q100" s="267">
        <f t="shared" si="16"/>
        <v>1404.72</v>
      </c>
      <c r="R100" s="267">
        <f t="shared" si="16"/>
        <v>1404.72</v>
      </c>
      <c r="S100" s="267">
        <f t="shared" si="16"/>
        <v>1404.72</v>
      </c>
      <c r="T100" s="267">
        <f t="shared" si="16"/>
        <v>1404.72</v>
      </c>
      <c r="U100" s="267">
        <f t="shared" si="16"/>
        <v>1404.72</v>
      </c>
      <c r="V100" s="267">
        <f>U100</f>
        <v>1404.72</v>
      </c>
    </row>
    <row r="101" spans="1:22" ht="13" x14ac:dyDescent="0.15">
      <c r="A101" s="129" t="s">
        <v>287</v>
      </c>
      <c r="B101" s="129" t="s">
        <v>100</v>
      </c>
      <c r="C101" s="128"/>
      <c r="D101" s="128"/>
      <c r="E101" s="128"/>
      <c r="F101" s="480">
        <v>129.25</v>
      </c>
      <c r="G101" s="479">
        <v>129.25</v>
      </c>
      <c r="H101" s="277">
        <f>F101*12</f>
        <v>1551</v>
      </c>
      <c r="I101" s="277">
        <f>G101*12</f>
        <v>1551</v>
      </c>
      <c r="J101" s="267">
        <f>I101</f>
        <v>1551</v>
      </c>
      <c r="K101" s="267">
        <f t="shared" si="16"/>
        <v>1551</v>
      </c>
      <c r="L101" s="267">
        <f t="shared" si="16"/>
        <v>1551</v>
      </c>
      <c r="M101" s="267">
        <f t="shared" si="16"/>
        <v>1551</v>
      </c>
      <c r="N101" s="267">
        <f t="shared" si="16"/>
        <v>1551</v>
      </c>
      <c r="O101" s="267">
        <f t="shared" si="16"/>
        <v>1551</v>
      </c>
      <c r="P101" s="267">
        <f t="shared" si="16"/>
        <v>1551</v>
      </c>
      <c r="Q101" s="267">
        <f t="shared" si="16"/>
        <v>1551</v>
      </c>
      <c r="R101" s="267">
        <f t="shared" si="16"/>
        <v>1551</v>
      </c>
      <c r="S101" s="267">
        <f t="shared" si="16"/>
        <v>1551</v>
      </c>
      <c r="T101" s="267">
        <f t="shared" si="16"/>
        <v>1551</v>
      </c>
      <c r="U101" s="267">
        <f t="shared" si="16"/>
        <v>1551</v>
      </c>
      <c r="V101" s="267">
        <f t="shared" si="16"/>
        <v>1551</v>
      </c>
    </row>
    <row r="102" spans="1:22" ht="13" x14ac:dyDescent="0.15">
      <c r="A102" s="129" t="s">
        <v>288</v>
      </c>
      <c r="B102" s="129" t="s">
        <v>100</v>
      </c>
      <c r="C102" s="128"/>
      <c r="D102" s="128"/>
      <c r="E102" s="128"/>
      <c r="F102" s="373">
        <f>(K44+J44+I44+H44)*delivery_pilot</f>
        <v>2501.6221401961598</v>
      </c>
      <c r="G102" s="374">
        <f>(SUM(H45:K45)*delivery_full)</f>
        <v>3368.0768992847525</v>
      </c>
      <c r="H102" s="277">
        <f>F102*12</f>
        <v>30019.465682353919</v>
      </c>
      <c r="I102" s="277">
        <f>G102*12</f>
        <v>40416.922791417033</v>
      </c>
      <c r="J102" s="267">
        <f>I102</f>
        <v>40416.922791417033</v>
      </c>
      <c r="K102" s="267">
        <f t="shared" si="16"/>
        <v>40416.922791417033</v>
      </c>
      <c r="L102" s="267">
        <f t="shared" si="16"/>
        <v>40416.922791417033</v>
      </c>
      <c r="M102" s="267">
        <f t="shared" si="16"/>
        <v>40416.922791417033</v>
      </c>
      <c r="N102" s="267">
        <f t="shared" si="16"/>
        <v>40416.922791417033</v>
      </c>
      <c r="O102" s="267">
        <f t="shared" si="16"/>
        <v>40416.922791417033</v>
      </c>
      <c r="P102" s="267">
        <f t="shared" si="16"/>
        <v>40416.922791417033</v>
      </c>
      <c r="Q102" s="267">
        <f t="shared" si="16"/>
        <v>40416.922791417033</v>
      </c>
      <c r="R102" s="267">
        <f t="shared" si="16"/>
        <v>40416.922791417033</v>
      </c>
      <c r="S102" s="267">
        <f t="shared" si="16"/>
        <v>40416.922791417033</v>
      </c>
      <c r="T102" s="267">
        <f t="shared" si="16"/>
        <v>40416.922791417033</v>
      </c>
      <c r="U102" s="267">
        <f t="shared" si="16"/>
        <v>40416.922791417033</v>
      </c>
      <c r="V102" s="267">
        <f t="shared" si="16"/>
        <v>40416.922791417033</v>
      </c>
    </row>
    <row r="103" spans="1:22" ht="13" x14ac:dyDescent="0.15">
      <c r="A103" s="20" t="s">
        <v>57</v>
      </c>
      <c r="B103" s="126"/>
      <c r="C103" s="126"/>
      <c r="D103" s="126"/>
      <c r="E103" s="126"/>
      <c r="F103" s="268">
        <f t="shared" ref="F103:V103" si="17">SUM(F98:F102)</f>
        <v>5470.5521401961596</v>
      </c>
      <c r="G103" s="268">
        <f t="shared" si="17"/>
        <v>9467.3868992847529</v>
      </c>
      <c r="H103" s="268">
        <f t="shared" si="17"/>
        <v>65646.625682353915</v>
      </c>
      <c r="I103" s="268">
        <f t="shared" si="17"/>
        <v>113608.64279141703</v>
      </c>
      <c r="J103" s="268">
        <f>SUM(J98:J102)</f>
        <v>113608.64279141703</v>
      </c>
      <c r="K103" s="268">
        <f t="shared" si="17"/>
        <v>113608.64279141703</v>
      </c>
      <c r="L103" s="268">
        <f t="shared" si="17"/>
        <v>113608.64279141703</v>
      </c>
      <c r="M103" s="268">
        <f t="shared" si="17"/>
        <v>113608.64279141703</v>
      </c>
      <c r="N103" s="268">
        <f t="shared" si="17"/>
        <v>113608.64279141703</v>
      </c>
      <c r="O103" s="268">
        <f t="shared" si="17"/>
        <v>113608.64279141703</v>
      </c>
      <c r="P103" s="268">
        <f t="shared" si="17"/>
        <v>113608.64279141703</v>
      </c>
      <c r="Q103" s="268">
        <f t="shared" si="17"/>
        <v>113608.64279141703</v>
      </c>
      <c r="R103" s="268">
        <f t="shared" si="17"/>
        <v>113608.64279141703</v>
      </c>
      <c r="S103" s="268">
        <f t="shared" si="17"/>
        <v>113608.64279141703</v>
      </c>
      <c r="T103" s="268">
        <f t="shared" si="17"/>
        <v>113608.64279141703</v>
      </c>
      <c r="U103" s="268">
        <f t="shared" si="17"/>
        <v>113608.64279141703</v>
      </c>
      <c r="V103" s="268">
        <f t="shared" si="17"/>
        <v>113608.64279141703</v>
      </c>
    </row>
    <row r="104" spans="1:22" ht="13" x14ac:dyDescent="0.15">
      <c r="A104" s="110"/>
      <c r="B104" s="110"/>
      <c r="C104" s="110"/>
      <c r="D104" s="128"/>
      <c r="E104" s="128"/>
      <c r="F104" s="36"/>
      <c r="G104" s="128"/>
      <c r="H104" s="36"/>
      <c r="I104" s="36"/>
      <c r="J104" s="128"/>
      <c r="K104" s="128"/>
      <c r="L104" s="128"/>
      <c r="M104" s="128"/>
      <c r="N104" s="128"/>
      <c r="O104" s="128"/>
      <c r="P104" s="128"/>
      <c r="Q104" s="128"/>
      <c r="R104" s="128"/>
      <c r="S104" s="128"/>
      <c r="T104" s="128"/>
      <c r="U104" s="128"/>
      <c r="V104" s="128"/>
    </row>
    <row r="105" spans="1:22" ht="13" x14ac:dyDescent="0.15">
      <c r="A105" s="20" t="s">
        <v>197</v>
      </c>
      <c r="B105" s="125"/>
      <c r="C105" s="126"/>
      <c r="D105" s="126"/>
      <c r="E105" s="126"/>
      <c r="F105" s="278">
        <f>F95-F103</f>
        <v>-1434.6314952209905</v>
      </c>
      <c r="G105" s="278">
        <f>G95-G103</f>
        <v>298.64353917670815</v>
      </c>
      <c r="H105" s="278">
        <f>H95-H103</f>
        <v>-17215.577942651886</v>
      </c>
      <c r="I105" s="278">
        <f>I95-I103</f>
        <v>3583.722470120556</v>
      </c>
      <c r="J105" s="278">
        <f t="shared" ref="J105:V105" si="18">J95-J103</f>
        <v>6593.1441804214119</v>
      </c>
      <c r="K105" s="278">
        <f t="shared" si="18"/>
        <v>9098.8785347001831</v>
      </c>
      <c r="L105" s="278">
        <f t="shared" si="18"/>
        <v>11448.300417774546</v>
      </c>
      <c r="M105" s="278">
        <f t="shared" si="18"/>
        <v>13644.92957964442</v>
      </c>
      <c r="N105" s="278">
        <f t="shared" si="18"/>
        <v>15711.202554188683</v>
      </c>
      <c r="O105" s="278">
        <f t="shared" si="18"/>
        <v>17449.821816305295</v>
      </c>
      <c r="P105" s="278">
        <f t="shared" si="18"/>
        <v>19092.918368195635</v>
      </c>
      <c r="Q105" s="278">
        <f t="shared" si="18"/>
        <v>20652.905453922474</v>
      </c>
      <c r="R105" s="278">
        <f t="shared" si="18"/>
        <v>22122.960203251263</v>
      </c>
      <c r="S105" s="278">
        <f t="shared" si="18"/>
        <v>23515.216341553387</v>
      </c>
      <c r="T105" s="278">
        <f t="shared" si="18"/>
        <v>24841.678227216195</v>
      </c>
      <c r="U105" s="278">
        <f t="shared" si="18"/>
        <v>26095.134548613263</v>
      </c>
      <c r="V105" s="278">
        <f t="shared" si="18"/>
        <v>27277.803626104476</v>
      </c>
    </row>
    <row r="106" spans="1:22" ht="13" x14ac:dyDescent="0.15">
      <c r="A106" s="128"/>
      <c r="B106" s="110"/>
      <c r="C106" s="110"/>
      <c r="D106" s="128"/>
      <c r="E106" s="128"/>
      <c r="F106" s="36"/>
      <c r="G106" s="128"/>
      <c r="H106" s="36"/>
      <c r="I106" s="36"/>
      <c r="J106" s="128"/>
      <c r="K106" s="128"/>
      <c r="L106" s="128"/>
      <c r="M106" s="128"/>
      <c r="N106" s="128"/>
      <c r="O106" s="128"/>
      <c r="P106" s="128"/>
      <c r="Q106" s="128"/>
      <c r="R106" s="128"/>
      <c r="S106" s="128"/>
      <c r="T106" s="128"/>
      <c r="U106" s="128"/>
      <c r="V106" s="128"/>
    </row>
    <row r="107" spans="1:22" ht="13" x14ac:dyDescent="0.15">
      <c r="A107" s="66" t="s">
        <v>204</v>
      </c>
      <c r="B107" s="67"/>
      <c r="C107" s="128"/>
      <c r="D107" s="128"/>
      <c r="E107" s="128"/>
      <c r="F107" s="267">
        <f>H107/12</f>
        <v>2275.4609428745807</v>
      </c>
      <c r="G107" s="267">
        <f>I107/12</f>
        <v>2275.4609428745807</v>
      </c>
      <c r="H107" s="272">
        <f>IF($B$60/H76&gt;=1,  (Overview!$B$59*Overview!$B$57)/(1-(1+Overview!$B$59)^(-Overview!$B$60)), 0)</f>
        <v>27305.531314494969</v>
      </c>
      <c r="I107" s="272">
        <f t="shared" ref="I107:V107" si="19">IF($B$60/I76&gt;=1, H107, 0)</f>
        <v>27305.531314494969</v>
      </c>
      <c r="J107" s="272">
        <f t="shared" si="19"/>
        <v>27305.531314494969</v>
      </c>
      <c r="K107" s="272">
        <f t="shared" si="19"/>
        <v>27305.531314494969</v>
      </c>
      <c r="L107" s="272">
        <f t="shared" si="19"/>
        <v>27305.531314494969</v>
      </c>
      <c r="M107" s="272">
        <f t="shared" si="19"/>
        <v>27305.531314494969</v>
      </c>
      <c r="N107" s="272">
        <f t="shared" si="19"/>
        <v>27305.531314494969</v>
      </c>
      <c r="O107" s="272">
        <f t="shared" si="19"/>
        <v>0</v>
      </c>
      <c r="P107" s="272">
        <f t="shared" si="19"/>
        <v>0</v>
      </c>
      <c r="Q107" s="272">
        <f t="shared" si="19"/>
        <v>0</v>
      </c>
      <c r="R107" s="272">
        <f t="shared" si="19"/>
        <v>0</v>
      </c>
      <c r="S107" s="272">
        <f t="shared" si="19"/>
        <v>0</v>
      </c>
      <c r="T107" s="272">
        <f t="shared" si="19"/>
        <v>0</v>
      </c>
      <c r="U107" s="272">
        <f t="shared" si="19"/>
        <v>0</v>
      </c>
      <c r="V107" s="272">
        <f t="shared" si="19"/>
        <v>0</v>
      </c>
    </row>
    <row r="108" spans="1:22" ht="13" x14ac:dyDescent="0.15">
      <c r="A108" s="69" t="s">
        <v>205</v>
      </c>
      <c r="B108" s="70"/>
      <c r="C108" s="128"/>
      <c r="D108" s="128"/>
      <c r="E108" s="128"/>
      <c r="F108" s="273">
        <f>-(Overview!$B$57)</f>
        <v>-158000</v>
      </c>
      <c r="G108" s="274">
        <f>H108</f>
        <v>-138594.46868550504</v>
      </c>
      <c r="H108" s="273">
        <f>F108+H107+(F108*$B$59)</f>
        <v>-138594.46868550504</v>
      </c>
      <c r="I108" s="273">
        <f t="shared" ref="I108:V108" si="20">H108+I107+(H108*$B$59)</f>
        <v>-118218.66080528533</v>
      </c>
      <c r="J108" s="273">
        <f t="shared" si="20"/>
        <v>-96824.062531054631</v>
      </c>
      <c r="K108" s="273">
        <f t="shared" si="20"/>
        <v>-74359.734343112403</v>
      </c>
      <c r="L108" s="273">
        <f t="shared" si="20"/>
        <v>-50772.189745773052</v>
      </c>
      <c r="M108" s="273">
        <f t="shared" si="20"/>
        <v>-26005.267918566737</v>
      </c>
      <c r="N108" s="273">
        <f t="shared" si="20"/>
        <v>-1.0481926437932998E-10</v>
      </c>
      <c r="O108" s="273">
        <f t="shared" si="20"/>
        <v>-1.1006022759829648E-10</v>
      </c>
      <c r="P108" s="273">
        <f t="shared" si="20"/>
        <v>-1.155632389782113E-10</v>
      </c>
      <c r="Q108" s="273">
        <f t="shared" si="20"/>
        <v>-1.2134140092712186E-10</v>
      </c>
      <c r="R108" s="273">
        <f t="shared" si="20"/>
        <v>-1.2740847097347796E-10</v>
      </c>
      <c r="S108" s="273">
        <f t="shared" si="20"/>
        <v>-1.3377889452215187E-10</v>
      </c>
      <c r="T108" s="273">
        <f t="shared" si="20"/>
        <v>-1.4046783924825945E-10</v>
      </c>
      <c r="U108" s="273">
        <f t="shared" si="20"/>
        <v>-1.4749123121067243E-10</v>
      </c>
      <c r="V108" s="273">
        <f t="shared" si="20"/>
        <v>-1.5486579277120605E-10</v>
      </c>
    </row>
    <row r="109" spans="1:22" ht="13" x14ac:dyDescent="0.15">
      <c r="A109" s="74" t="s">
        <v>210</v>
      </c>
      <c r="B109" s="75"/>
      <c r="C109" s="64"/>
      <c r="D109" s="64"/>
      <c r="E109" s="64"/>
      <c r="F109" s="75"/>
      <c r="G109" s="128"/>
      <c r="H109" s="281">
        <f t="shared" ref="H109:V109" si="21">$B$58*H105</f>
        <v>0</v>
      </c>
      <c r="I109" s="281">
        <f t="shared" si="21"/>
        <v>0</v>
      </c>
      <c r="J109" s="281">
        <f t="shared" si="21"/>
        <v>0</v>
      </c>
      <c r="K109" s="281">
        <f t="shared" si="21"/>
        <v>0</v>
      </c>
      <c r="L109" s="281">
        <f t="shared" si="21"/>
        <v>0</v>
      </c>
      <c r="M109" s="281">
        <f t="shared" si="21"/>
        <v>0</v>
      </c>
      <c r="N109" s="281">
        <f t="shared" si="21"/>
        <v>0</v>
      </c>
      <c r="O109" s="281">
        <f t="shared" si="21"/>
        <v>0</v>
      </c>
      <c r="P109" s="281">
        <f t="shared" si="21"/>
        <v>0</v>
      </c>
      <c r="Q109" s="281">
        <f t="shared" si="21"/>
        <v>0</v>
      </c>
      <c r="R109" s="281">
        <f t="shared" si="21"/>
        <v>0</v>
      </c>
      <c r="S109" s="281">
        <f t="shared" si="21"/>
        <v>0</v>
      </c>
      <c r="T109" s="281">
        <f t="shared" si="21"/>
        <v>0</v>
      </c>
      <c r="U109" s="281">
        <f t="shared" si="21"/>
        <v>0</v>
      </c>
      <c r="V109" s="281">
        <f t="shared" si="21"/>
        <v>0</v>
      </c>
    </row>
    <row r="110" spans="1:22" ht="13" x14ac:dyDescent="0.15">
      <c r="A110" s="38" t="s">
        <v>282</v>
      </c>
      <c r="B110" s="110"/>
      <c r="C110" s="110"/>
      <c r="D110" s="128"/>
      <c r="E110" s="128"/>
      <c r="F110" s="271">
        <f ca="1">(H110/12)</f>
        <v>1133.0068173108332</v>
      </c>
      <c r="G110" s="279">
        <f ca="1">I110/12</f>
        <v>2266.0136346216664</v>
      </c>
      <c r="H110" s="280">
        <f ca="1">('CapEx Breakdown'!$I$38)/B22</f>
        <v>13596.081807729999</v>
      </c>
      <c r="I110" s="280">
        <f ca="1">'CapEx Breakdown'!$I$38</f>
        <v>27192.163615459998</v>
      </c>
      <c r="J110" s="280">
        <f ca="1">'CapEx Breakdown'!$I$38</f>
        <v>27192.163615459998</v>
      </c>
      <c r="K110" s="280">
        <f ca="1">'CapEx Breakdown'!$I$38</f>
        <v>27192.163615459998</v>
      </c>
      <c r="L110" s="280">
        <f ca="1">'CapEx Breakdown'!$I$38</f>
        <v>27192.163615459998</v>
      </c>
      <c r="M110" s="280">
        <f ca="1">'CapEx Breakdown'!$I$38</f>
        <v>27192.163615459998</v>
      </c>
      <c r="N110" s="280">
        <f ca="1">'CapEx Breakdown'!$I$38</f>
        <v>27192.163615459998</v>
      </c>
      <c r="O110" s="280">
        <f ca="1">'CapEx Breakdown'!$I$38</f>
        <v>27192.163615459998</v>
      </c>
      <c r="P110" s="280">
        <f ca="1">'CapEx Breakdown'!$I$38</f>
        <v>27192.163615459998</v>
      </c>
      <c r="Q110" s="280">
        <f ca="1">'CapEx Breakdown'!$I$38</f>
        <v>27192.163615459998</v>
      </c>
      <c r="R110" s="280">
        <f ca="1">'CapEx Breakdown'!$I$38</f>
        <v>27192.163615459998</v>
      </c>
      <c r="S110" s="280">
        <f ca="1">'CapEx Breakdown'!$I$38</f>
        <v>27192.163615459998</v>
      </c>
      <c r="T110" s="280">
        <f ca="1">'CapEx Breakdown'!$I$38</f>
        <v>27192.163615459998</v>
      </c>
      <c r="U110" s="280">
        <f ca="1">'CapEx Breakdown'!$I$38</f>
        <v>27192.163615459998</v>
      </c>
      <c r="V110" s="280">
        <f ca="1">'CapEx Breakdown'!$I$38</f>
        <v>27192.163615459998</v>
      </c>
    </row>
    <row r="111" spans="1:22" ht="13" x14ac:dyDescent="0.15">
      <c r="A111" s="110"/>
      <c r="B111" s="110"/>
      <c r="C111" s="110"/>
      <c r="D111" s="128"/>
      <c r="E111" s="128"/>
      <c r="F111" s="36"/>
      <c r="G111" s="128"/>
      <c r="H111" s="36"/>
      <c r="I111" s="36"/>
      <c r="J111" s="128"/>
      <c r="K111" s="128"/>
      <c r="L111" s="128"/>
      <c r="M111" s="128"/>
      <c r="N111" s="128"/>
      <c r="O111" s="128"/>
      <c r="P111" s="128"/>
      <c r="Q111" s="128"/>
      <c r="R111" s="128"/>
      <c r="S111" s="128"/>
      <c r="T111" s="128"/>
      <c r="U111" s="128"/>
      <c r="V111" s="128"/>
    </row>
    <row r="112" spans="1:22" ht="13" x14ac:dyDescent="0.15">
      <c r="A112" s="110" t="s">
        <v>196</v>
      </c>
      <c r="B112" s="110"/>
      <c r="C112" s="110"/>
      <c r="D112" s="128"/>
      <c r="E112" s="128"/>
      <c r="F112" s="271">
        <f>F105</f>
        <v>-1434.6314952209905</v>
      </c>
      <c r="G112" s="271">
        <f>G105</f>
        <v>298.64353917670815</v>
      </c>
      <c r="H112" s="271">
        <f t="shared" ref="H112:V112" ca="1" si="22">H105-H109-H107-H110</f>
        <v>-58117.191064876853</v>
      </c>
      <c r="I112" s="271">
        <f t="shared" ca="1" si="22"/>
        <v>-50913.972459834411</v>
      </c>
      <c r="J112" s="271">
        <f t="shared" ca="1" si="22"/>
        <v>-47904.550749533555</v>
      </c>
      <c r="K112" s="271">
        <f t="shared" ca="1" si="22"/>
        <v>-45398.816395254784</v>
      </c>
      <c r="L112" s="271">
        <f t="shared" ca="1" si="22"/>
        <v>-43049.394512180421</v>
      </c>
      <c r="M112" s="271">
        <f t="shared" ca="1" si="22"/>
        <v>-40852.765350310547</v>
      </c>
      <c r="N112" s="271">
        <f t="shared" ca="1" si="22"/>
        <v>-38786.492375766284</v>
      </c>
      <c r="O112" s="271">
        <f t="shared" ca="1" si="22"/>
        <v>-9742.341799154703</v>
      </c>
      <c r="P112" s="271">
        <f t="shared" ca="1" si="22"/>
        <v>-8099.2452472643636</v>
      </c>
      <c r="Q112" s="271">
        <f t="shared" ca="1" si="22"/>
        <v>-6539.2581615375238</v>
      </c>
      <c r="R112" s="271">
        <f t="shared" ca="1" si="22"/>
        <v>-5069.2034122087352</v>
      </c>
      <c r="S112" s="271">
        <f t="shared" ca="1" si="22"/>
        <v>-3676.9472739066114</v>
      </c>
      <c r="T112" s="271">
        <f t="shared" ca="1" si="22"/>
        <v>-2350.4853882438038</v>
      </c>
      <c r="U112" s="271">
        <f t="shared" ca="1" si="22"/>
        <v>-1097.0290668467351</v>
      </c>
      <c r="V112" s="271">
        <f t="shared" ca="1" si="22"/>
        <v>85.640010644478025</v>
      </c>
    </row>
    <row r="113" spans="1:22" ht="13" x14ac:dyDescent="0.15">
      <c r="A113" s="110"/>
      <c r="B113" s="110"/>
      <c r="C113" s="110"/>
      <c r="D113" s="128"/>
      <c r="E113" s="128"/>
      <c r="F113" s="110"/>
      <c r="G113" s="128"/>
      <c r="H113" s="110"/>
      <c r="I113" s="110"/>
      <c r="J113" s="128"/>
      <c r="K113" s="128"/>
      <c r="L113" s="128"/>
      <c r="M113" s="128"/>
      <c r="N113" s="128"/>
      <c r="O113" s="128"/>
      <c r="P113" s="128"/>
      <c r="Q113" s="128"/>
      <c r="R113" s="128"/>
      <c r="S113" s="128"/>
      <c r="T113" s="128"/>
      <c r="U113" s="128"/>
      <c r="V113" s="128"/>
    </row>
    <row r="114" spans="1:22" ht="13" x14ac:dyDescent="0.15">
      <c r="A114" s="23" t="s">
        <v>58</v>
      </c>
      <c r="B114" s="23"/>
      <c r="C114" s="23"/>
      <c r="D114" s="24"/>
      <c r="E114" s="24"/>
      <c r="F114" s="23"/>
      <c r="G114" s="23"/>
      <c r="H114" s="23"/>
      <c r="I114" s="23"/>
      <c r="J114" s="128"/>
      <c r="K114" s="128"/>
      <c r="L114" s="128"/>
      <c r="M114" s="128"/>
      <c r="N114" s="128"/>
      <c r="O114" s="128"/>
      <c r="P114" s="128"/>
      <c r="Q114" s="128"/>
      <c r="R114" s="128"/>
      <c r="S114" s="128"/>
      <c r="T114" s="128"/>
      <c r="U114" s="128"/>
      <c r="V114" s="128"/>
    </row>
    <row r="115" spans="1:22" ht="13" x14ac:dyDescent="0.15">
      <c r="A115" s="110"/>
      <c r="B115" s="110"/>
      <c r="C115" s="110"/>
      <c r="D115" s="128"/>
      <c r="E115" s="128"/>
      <c r="F115" s="110"/>
      <c r="G115" s="128"/>
      <c r="H115" s="110"/>
      <c r="I115" s="110"/>
      <c r="J115" s="128"/>
      <c r="K115" s="128"/>
      <c r="L115" s="128"/>
      <c r="M115" s="128"/>
      <c r="N115" s="128"/>
      <c r="O115" s="128"/>
      <c r="P115" s="128"/>
      <c r="Q115" s="128"/>
      <c r="R115" s="128"/>
      <c r="S115" s="128"/>
      <c r="T115" s="128"/>
      <c r="U115" s="128"/>
      <c r="V115" s="128"/>
    </row>
    <row r="116" spans="1:22" ht="13" x14ac:dyDescent="0.15">
      <c r="A116" s="110" t="s">
        <v>465</v>
      </c>
      <c r="B116" s="110" t="s">
        <v>59</v>
      </c>
      <c r="C116" s="110" t="s">
        <v>60</v>
      </c>
      <c r="D116" s="128"/>
      <c r="E116" s="128"/>
      <c r="F116" s="110" t="s">
        <v>20</v>
      </c>
      <c r="G116" s="110" t="s">
        <v>463</v>
      </c>
      <c r="H116" s="110" t="s">
        <v>21</v>
      </c>
      <c r="I116" s="110" t="s">
        <v>22</v>
      </c>
      <c r="J116" s="110" t="s">
        <v>144</v>
      </c>
      <c r="K116" s="44" t="s">
        <v>145</v>
      </c>
      <c r="L116" s="44" t="s">
        <v>146</v>
      </c>
      <c r="M116" s="44" t="s">
        <v>147</v>
      </c>
      <c r="N116" s="44" t="s">
        <v>148</v>
      </c>
      <c r="O116" s="44" t="s">
        <v>149</v>
      </c>
      <c r="P116" s="44" t="s">
        <v>150</v>
      </c>
      <c r="Q116" s="44" t="s">
        <v>151</v>
      </c>
      <c r="R116" s="44" t="s">
        <v>152</v>
      </c>
      <c r="S116" s="44" t="s">
        <v>153</v>
      </c>
      <c r="T116" s="44" t="s">
        <v>154</v>
      </c>
      <c r="U116" s="44" t="s">
        <v>155</v>
      </c>
      <c r="V116" s="44" t="s">
        <v>156</v>
      </c>
    </row>
    <row r="117" spans="1:22" ht="13" x14ac:dyDescent="0.15">
      <c r="A117" s="127" t="s">
        <v>61</v>
      </c>
      <c r="B117" s="481">
        <v>1500</v>
      </c>
      <c r="C117" s="264">
        <f>B117*12</f>
        <v>18000</v>
      </c>
      <c r="D117" s="35"/>
      <c r="E117" s="35"/>
      <c r="F117" s="264">
        <f>F139*B117</f>
        <v>0</v>
      </c>
      <c r="G117" s="265">
        <f>G139*B117</f>
        <v>0</v>
      </c>
      <c r="H117" s="264">
        <f>F139*$C117</f>
        <v>0</v>
      </c>
      <c r="I117" s="266">
        <f>G139*$C117</f>
        <v>0</v>
      </c>
      <c r="J117" s="267">
        <f>I117</f>
        <v>0</v>
      </c>
      <c r="K117" s="267">
        <f t="shared" ref="K117:Q117" si="23">J117</f>
        <v>0</v>
      </c>
      <c r="L117" s="267">
        <f t="shared" si="23"/>
        <v>0</v>
      </c>
      <c r="M117" s="267">
        <f t="shared" si="23"/>
        <v>0</v>
      </c>
      <c r="N117" s="267">
        <f t="shared" si="23"/>
        <v>0</v>
      </c>
      <c r="O117" s="267">
        <f t="shared" si="23"/>
        <v>0</v>
      </c>
      <c r="P117" s="267">
        <f t="shared" si="23"/>
        <v>0</v>
      </c>
      <c r="Q117" s="267">
        <f t="shared" si="23"/>
        <v>0</v>
      </c>
      <c r="R117" s="267">
        <f t="shared" ref="R117:V118" si="24">Q117</f>
        <v>0</v>
      </c>
      <c r="S117" s="267">
        <f t="shared" si="24"/>
        <v>0</v>
      </c>
      <c r="T117" s="267">
        <f t="shared" si="24"/>
        <v>0</v>
      </c>
      <c r="U117" s="267">
        <f t="shared" si="24"/>
        <v>0</v>
      </c>
      <c r="V117" s="267">
        <f t="shared" si="24"/>
        <v>0</v>
      </c>
    </row>
    <row r="118" spans="1:22" ht="15.75" customHeight="1" x14ac:dyDescent="0.15">
      <c r="A118" s="127" t="s">
        <v>62</v>
      </c>
      <c r="B118" s="481">
        <v>1500</v>
      </c>
      <c r="C118" s="264">
        <f>B118*12</f>
        <v>18000</v>
      </c>
      <c r="D118" s="35"/>
      <c r="E118" s="35"/>
      <c r="F118" s="264">
        <f>F140*B118</f>
        <v>0</v>
      </c>
      <c r="G118" s="265">
        <f>G140*B118</f>
        <v>0</v>
      </c>
      <c r="H118" s="264">
        <f>F140*$C118</f>
        <v>0</v>
      </c>
      <c r="I118" s="266">
        <f>G140*$C118</f>
        <v>0</v>
      </c>
      <c r="J118" s="267">
        <f>I118</f>
        <v>0</v>
      </c>
      <c r="K118" s="267">
        <f t="shared" ref="K118:Q118" si="25">J118</f>
        <v>0</v>
      </c>
      <c r="L118" s="267">
        <f t="shared" si="25"/>
        <v>0</v>
      </c>
      <c r="M118" s="267">
        <f t="shared" si="25"/>
        <v>0</v>
      </c>
      <c r="N118" s="267">
        <f t="shared" si="25"/>
        <v>0</v>
      </c>
      <c r="O118" s="267">
        <f t="shared" si="25"/>
        <v>0</v>
      </c>
      <c r="P118" s="267">
        <f t="shared" si="25"/>
        <v>0</v>
      </c>
      <c r="Q118" s="267">
        <f t="shared" si="25"/>
        <v>0</v>
      </c>
      <c r="R118" s="267">
        <f t="shared" si="24"/>
        <v>0</v>
      </c>
      <c r="S118" s="267">
        <f t="shared" si="24"/>
        <v>0</v>
      </c>
      <c r="T118" s="267">
        <f t="shared" si="24"/>
        <v>0</v>
      </c>
      <c r="U118" s="267">
        <f t="shared" si="24"/>
        <v>0</v>
      </c>
      <c r="V118" s="267">
        <f t="shared" si="24"/>
        <v>0</v>
      </c>
    </row>
    <row r="119" spans="1:22" s="171" customFormat="1" ht="15.75" customHeight="1" x14ac:dyDescent="0.15">
      <c r="A119" s="129" t="s">
        <v>957</v>
      </c>
      <c r="B119" s="482">
        <v>9.5</v>
      </c>
      <c r="C119" s="264"/>
      <c r="D119" s="35"/>
      <c r="E119" s="35"/>
      <c r="F119" s="264">
        <f>F142*part</f>
        <v>1646.54</v>
      </c>
      <c r="G119" s="265">
        <f>parttime_count_y2*part</f>
        <v>2470</v>
      </c>
      <c r="H119" s="264">
        <f>F119*12</f>
        <v>19758.48</v>
      </c>
      <c r="I119" s="266">
        <f>G119*12</f>
        <v>29640</v>
      </c>
      <c r="J119" s="267">
        <f t="shared" ref="J119:V119" si="26">I119*(1-labour_improvement)</f>
        <v>28158</v>
      </c>
      <c r="K119" s="267">
        <f t="shared" si="26"/>
        <v>26750.1</v>
      </c>
      <c r="L119" s="267">
        <f t="shared" si="26"/>
        <v>25412.594999999998</v>
      </c>
      <c r="M119" s="267">
        <f t="shared" si="26"/>
        <v>24141.965249999997</v>
      </c>
      <c r="N119" s="267">
        <f t="shared" si="26"/>
        <v>22934.866987499998</v>
      </c>
      <c r="O119" s="267">
        <f t="shared" si="26"/>
        <v>21788.123638124998</v>
      </c>
      <c r="P119" s="267">
        <f t="shared" si="26"/>
        <v>20698.717456218747</v>
      </c>
      <c r="Q119" s="267">
        <f t="shared" si="26"/>
        <v>19663.781583407806</v>
      </c>
      <c r="R119" s="267">
        <f t="shared" si="26"/>
        <v>18680.592504237415</v>
      </c>
      <c r="S119" s="267">
        <f t="shared" si="26"/>
        <v>17746.562879025543</v>
      </c>
      <c r="T119" s="267">
        <f t="shared" si="26"/>
        <v>16859.234735074264</v>
      </c>
      <c r="U119" s="267">
        <f t="shared" si="26"/>
        <v>16016.27299832055</v>
      </c>
      <c r="V119" s="267">
        <f t="shared" si="26"/>
        <v>15215.459348404522</v>
      </c>
    </row>
    <row r="120" spans="1:22" ht="13" x14ac:dyDescent="0.15">
      <c r="A120" s="20" t="s">
        <v>63</v>
      </c>
      <c r="B120" s="37"/>
      <c r="C120" s="37"/>
      <c r="D120" s="37"/>
      <c r="E120" s="37"/>
      <c r="F120" s="268">
        <f>H120/12</f>
        <v>1646.54</v>
      </c>
      <c r="G120" s="268">
        <f>I120/12</f>
        <v>2470</v>
      </c>
      <c r="H120" s="268">
        <f>SUM(H116:H119)</f>
        <v>19758.48</v>
      </c>
      <c r="I120" s="269">
        <f>SUM(I116:I119)</f>
        <v>29640</v>
      </c>
      <c r="J120" s="270">
        <f>SUM(J116:J119)</f>
        <v>28158</v>
      </c>
      <c r="K120" s="270">
        <f t="shared" ref="K120:V120" si="27">SUM(K116:K119)</f>
        <v>26750.1</v>
      </c>
      <c r="L120" s="270">
        <f t="shared" si="27"/>
        <v>25412.594999999998</v>
      </c>
      <c r="M120" s="270">
        <f t="shared" si="27"/>
        <v>24141.965249999997</v>
      </c>
      <c r="N120" s="270">
        <f t="shared" si="27"/>
        <v>22934.866987499998</v>
      </c>
      <c r="O120" s="270">
        <f t="shared" si="27"/>
        <v>21788.123638124998</v>
      </c>
      <c r="P120" s="270">
        <f t="shared" si="27"/>
        <v>20698.717456218747</v>
      </c>
      <c r="Q120" s="270">
        <f t="shared" si="27"/>
        <v>19663.781583407806</v>
      </c>
      <c r="R120" s="270">
        <f t="shared" si="27"/>
        <v>18680.592504237415</v>
      </c>
      <c r="S120" s="270">
        <f t="shared" si="27"/>
        <v>17746.562879025543</v>
      </c>
      <c r="T120" s="270">
        <f t="shared" si="27"/>
        <v>16859.234735074264</v>
      </c>
      <c r="U120" s="270">
        <f t="shared" si="27"/>
        <v>16016.27299832055</v>
      </c>
      <c r="V120" s="270">
        <f t="shared" si="27"/>
        <v>15215.459348404522</v>
      </c>
    </row>
    <row r="121" spans="1:22" ht="13" x14ac:dyDescent="0.15">
      <c r="A121" s="110"/>
      <c r="B121" s="110"/>
      <c r="C121" s="110"/>
      <c r="D121" s="128"/>
      <c r="E121" s="128"/>
      <c r="F121" s="110"/>
      <c r="G121" s="128"/>
      <c r="H121" s="110"/>
      <c r="I121" s="110"/>
      <c r="J121" s="128"/>
      <c r="K121" s="128"/>
      <c r="L121" s="128"/>
      <c r="M121" s="128"/>
      <c r="N121" s="128"/>
      <c r="O121" s="128"/>
      <c r="P121" s="128"/>
      <c r="Q121" s="128"/>
      <c r="R121" s="128"/>
      <c r="S121" s="128"/>
      <c r="T121" s="128"/>
      <c r="U121" s="128"/>
      <c r="V121" s="128"/>
    </row>
    <row r="122" spans="1:22" ht="13" x14ac:dyDescent="0.15">
      <c r="A122" s="110" t="s">
        <v>466</v>
      </c>
      <c r="B122" s="110" t="s">
        <v>59</v>
      </c>
      <c r="C122" s="110" t="s">
        <v>60</v>
      </c>
      <c r="D122" s="128"/>
      <c r="E122" s="128"/>
      <c r="F122" s="110"/>
      <c r="G122" s="110"/>
      <c r="H122" s="110" t="s">
        <v>21</v>
      </c>
      <c r="I122" s="110" t="s">
        <v>22</v>
      </c>
      <c r="J122" s="110" t="s">
        <v>144</v>
      </c>
      <c r="K122" s="44" t="s">
        <v>145</v>
      </c>
      <c r="L122" s="44" t="s">
        <v>146</v>
      </c>
      <c r="M122" s="44" t="s">
        <v>147</v>
      </c>
      <c r="N122" s="44" t="s">
        <v>148</v>
      </c>
      <c r="O122" s="44" t="s">
        <v>149</v>
      </c>
      <c r="P122" s="44" t="s">
        <v>150</v>
      </c>
      <c r="Q122" s="44" t="s">
        <v>151</v>
      </c>
      <c r="R122" s="44" t="s">
        <v>152</v>
      </c>
      <c r="S122" s="44" t="s">
        <v>153</v>
      </c>
      <c r="T122" s="44" t="s">
        <v>154</v>
      </c>
      <c r="U122" s="44" t="s">
        <v>155</v>
      </c>
      <c r="V122" s="44" t="s">
        <v>156</v>
      </c>
    </row>
    <row r="123" spans="1:22" ht="13" x14ac:dyDescent="0.15">
      <c r="A123" s="129" t="s">
        <v>64</v>
      </c>
      <c r="B123" s="481">
        <v>2025</v>
      </c>
      <c r="C123" s="264">
        <f>B123*12</f>
        <v>24300</v>
      </c>
      <c r="D123" s="35"/>
      <c r="E123" s="35"/>
      <c r="F123" s="124" t="s">
        <v>100</v>
      </c>
      <c r="G123" s="124" t="s">
        <v>100</v>
      </c>
      <c r="H123" s="264">
        <f t="shared" ref="H123:I128" si="28">F133*$C123</f>
        <v>0</v>
      </c>
      <c r="I123" s="266">
        <f t="shared" si="28"/>
        <v>0</v>
      </c>
      <c r="J123" s="267">
        <f>I123</f>
        <v>0</v>
      </c>
      <c r="K123" s="267">
        <f t="shared" ref="K123:Q123" si="29">J123</f>
        <v>0</v>
      </c>
      <c r="L123" s="267">
        <f t="shared" si="29"/>
        <v>0</v>
      </c>
      <c r="M123" s="267">
        <f t="shared" si="29"/>
        <v>0</v>
      </c>
      <c r="N123" s="267">
        <f t="shared" si="29"/>
        <v>0</v>
      </c>
      <c r="O123" s="267">
        <f t="shared" si="29"/>
        <v>0</v>
      </c>
      <c r="P123" s="267">
        <f t="shared" si="29"/>
        <v>0</v>
      </c>
      <c r="Q123" s="267">
        <f t="shared" si="29"/>
        <v>0</v>
      </c>
      <c r="R123" s="267">
        <f t="shared" ref="R123:V129" si="30">Q123</f>
        <v>0</v>
      </c>
      <c r="S123" s="267">
        <f t="shared" si="30"/>
        <v>0</v>
      </c>
      <c r="T123" s="267">
        <f t="shared" si="30"/>
        <v>0</v>
      </c>
      <c r="U123" s="267">
        <f t="shared" si="30"/>
        <v>0</v>
      </c>
      <c r="V123" s="267">
        <f t="shared" si="30"/>
        <v>0</v>
      </c>
    </row>
    <row r="124" spans="1:22" ht="13" x14ac:dyDescent="0.15">
      <c r="A124" s="127" t="s">
        <v>65</v>
      </c>
      <c r="B124" s="481">
        <v>1560</v>
      </c>
      <c r="C124" s="264">
        <f t="shared" ref="C124:C129" si="31">B124*12</f>
        <v>18720</v>
      </c>
      <c r="D124" s="35"/>
      <c r="E124" s="35"/>
      <c r="F124" s="124" t="s">
        <v>100</v>
      </c>
      <c r="G124" s="124" t="s">
        <v>100</v>
      </c>
      <c r="H124" s="264">
        <f t="shared" si="28"/>
        <v>0</v>
      </c>
      <c r="I124" s="266">
        <f t="shared" si="28"/>
        <v>18720</v>
      </c>
      <c r="J124" s="267">
        <f t="shared" ref="J124:Q129" si="32">I124</f>
        <v>18720</v>
      </c>
      <c r="K124" s="267">
        <f t="shared" si="32"/>
        <v>18720</v>
      </c>
      <c r="L124" s="267">
        <f t="shared" si="32"/>
        <v>18720</v>
      </c>
      <c r="M124" s="267">
        <f t="shared" si="32"/>
        <v>18720</v>
      </c>
      <c r="N124" s="267">
        <f t="shared" si="32"/>
        <v>18720</v>
      </c>
      <c r="O124" s="267">
        <f t="shared" si="32"/>
        <v>18720</v>
      </c>
      <c r="P124" s="267">
        <f t="shared" si="32"/>
        <v>18720</v>
      </c>
      <c r="Q124" s="267">
        <f t="shared" si="32"/>
        <v>18720</v>
      </c>
      <c r="R124" s="267">
        <f t="shared" si="30"/>
        <v>18720</v>
      </c>
      <c r="S124" s="267">
        <f t="shared" si="30"/>
        <v>18720</v>
      </c>
      <c r="T124" s="267">
        <f t="shared" si="30"/>
        <v>18720</v>
      </c>
      <c r="U124" s="267">
        <f t="shared" si="30"/>
        <v>18720</v>
      </c>
      <c r="V124" s="267">
        <f t="shared" si="30"/>
        <v>18720</v>
      </c>
    </row>
    <row r="125" spans="1:22" ht="13" x14ac:dyDescent="0.15">
      <c r="A125" s="129" t="s">
        <v>66</v>
      </c>
      <c r="B125" s="481">
        <v>1518</v>
      </c>
      <c r="C125" s="264">
        <f t="shared" si="31"/>
        <v>18216</v>
      </c>
      <c r="D125" s="35"/>
      <c r="E125" s="35"/>
      <c r="F125" s="124" t="s">
        <v>100</v>
      </c>
      <c r="G125" s="124" t="s">
        <v>100</v>
      </c>
      <c r="H125" s="264">
        <f t="shared" si="28"/>
        <v>9108</v>
      </c>
      <c r="I125" s="266">
        <f t="shared" si="28"/>
        <v>18216</v>
      </c>
      <c r="J125" s="267">
        <f t="shared" si="32"/>
        <v>18216</v>
      </c>
      <c r="K125" s="267">
        <f t="shared" si="32"/>
        <v>18216</v>
      </c>
      <c r="L125" s="267">
        <f t="shared" si="32"/>
        <v>18216</v>
      </c>
      <c r="M125" s="267">
        <f t="shared" si="32"/>
        <v>18216</v>
      </c>
      <c r="N125" s="267">
        <f t="shared" si="32"/>
        <v>18216</v>
      </c>
      <c r="O125" s="267">
        <f t="shared" si="32"/>
        <v>18216</v>
      </c>
      <c r="P125" s="267">
        <f t="shared" si="32"/>
        <v>18216</v>
      </c>
      <c r="Q125" s="267">
        <f t="shared" si="32"/>
        <v>18216</v>
      </c>
      <c r="R125" s="267">
        <f t="shared" si="30"/>
        <v>18216</v>
      </c>
      <c r="S125" s="267">
        <f t="shared" si="30"/>
        <v>18216</v>
      </c>
      <c r="T125" s="267">
        <f t="shared" si="30"/>
        <v>18216</v>
      </c>
      <c r="U125" s="267">
        <f t="shared" si="30"/>
        <v>18216</v>
      </c>
      <c r="V125" s="267">
        <f t="shared" si="30"/>
        <v>18216</v>
      </c>
    </row>
    <row r="126" spans="1:22" ht="13" x14ac:dyDescent="0.15">
      <c r="A126" s="127" t="s">
        <v>67</v>
      </c>
      <c r="B126" s="481">
        <v>3000</v>
      </c>
      <c r="C126" s="264">
        <f>B126*12</f>
        <v>36000</v>
      </c>
      <c r="D126" s="35"/>
      <c r="E126" s="35"/>
      <c r="F126" s="124" t="s">
        <v>100</v>
      </c>
      <c r="G126" s="124" t="s">
        <v>100</v>
      </c>
      <c r="H126" s="264">
        <f t="shared" si="28"/>
        <v>0</v>
      </c>
      <c r="I126" s="266">
        <f t="shared" si="28"/>
        <v>9000</v>
      </c>
      <c r="J126" s="267">
        <f t="shared" si="32"/>
        <v>9000</v>
      </c>
      <c r="K126" s="267">
        <f t="shared" si="32"/>
        <v>9000</v>
      </c>
      <c r="L126" s="267">
        <f t="shared" si="32"/>
        <v>9000</v>
      </c>
      <c r="M126" s="267">
        <f t="shared" si="32"/>
        <v>9000</v>
      </c>
      <c r="N126" s="267">
        <f t="shared" si="32"/>
        <v>9000</v>
      </c>
      <c r="O126" s="267">
        <f t="shared" si="32"/>
        <v>9000</v>
      </c>
      <c r="P126" s="267">
        <f t="shared" si="32"/>
        <v>9000</v>
      </c>
      <c r="Q126" s="267">
        <f t="shared" si="32"/>
        <v>9000</v>
      </c>
      <c r="R126" s="267">
        <f t="shared" si="30"/>
        <v>9000</v>
      </c>
      <c r="S126" s="267">
        <f t="shared" si="30"/>
        <v>9000</v>
      </c>
      <c r="T126" s="267">
        <f t="shared" si="30"/>
        <v>9000</v>
      </c>
      <c r="U126" s="267">
        <f t="shared" si="30"/>
        <v>9000</v>
      </c>
      <c r="V126" s="267">
        <f t="shared" si="30"/>
        <v>9000</v>
      </c>
    </row>
    <row r="127" spans="1:22" ht="13" x14ac:dyDescent="0.15">
      <c r="A127" s="127" t="s">
        <v>68</v>
      </c>
      <c r="B127" s="481">
        <v>1560</v>
      </c>
      <c r="C127" s="264">
        <f t="shared" si="31"/>
        <v>18720</v>
      </c>
      <c r="D127" s="35"/>
      <c r="E127" s="35"/>
      <c r="F127" s="124" t="s">
        <v>100</v>
      </c>
      <c r="G127" s="124" t="s">
        <v>100</v>
      </c>
      <c r="H127" s="264">
        <f t="shared" si="28"/>
        <v>0</v>
      </c>
      <c r="I127" s="266">
        <f t="shared" si="28"/>
        <v>0</v>
      </c>
      <c r="J127" s="267">
        <f t="shared" si="32"/>
        <v>0</v>
      </c>
      <c r="K127" s="267">
        <f t="shared" si="32"/>
        <v>0</v>
      </c>
      <c r="L127" s="267">
        <f t="shared" si="32"/>
        <v>0</v>
      </c>
      <c r="M127" s="267">
        <f t="shared" si="32"/>
        <v>0</v>
      </c>
      <c r="N127" s="267">
        <f t="shared" si="32"/>
        <v>0</v>
      </c>
      <c r="O127" s="267">
        <f t="shared" si="32"/>
        <v>0</v>
      </c>
      <c r="P127" s="267">
        <f t="shared" si="32"/>
        <v>0</v>
      </c>
      <c r="Q127" s="267">
        <f t="shared" si="32"/>
        <v>0</v>
      </c>
      <c r="R127" s="267">
        <f t="shared" si="30"/>
        <v>0</v>
      </c>
      <c r="S127" s="267">
        <f t="shared" si="30"/>
        <v>0</v>
      </c>
      <c r="T127" s="267">
        <f t="shared" si="30"/>
        <v>0</v>
      </c>
      <c r="U127" s="267">
        <f t="shared" si="30"/>
        <v>0</v>
      </c>
      <c r="V127" s="267">
        <f t="shared" si="30"/>
        <v>0</v>
      </c>
    </row>
    <row r="128" spans="1:22" s="133" customFormat="1" ht="13" x14ac:dyDescent="0.15">
      <c r="A128" s="129" t="s">
        <v>486</v>
      </c>
      <c r="B128" s="481">
        <v>2025</v>
      </c>
      <c r="C128" s="264">
        <f t="shared" si="31"/>
        <v>24300</v>
      </c>
      <c r="D128" s="35"/>
      <c r="E128" s="35"/>
      <c r="F128" s="124" t="s">
        <v>100</v>
      </c>
      <c r="G128" s="124" t="s">
        <v>100</v>
      </c>
      <c r="H128" s="264">
        <f t="shared" si="28"/>
        <v>24300</v>
      </c>
      <c r="I128" s="266">
        <f t="shared" si="28"/>
        <v>24300</v>
      </c>
      <c r="J128" s="267">
        <f>I128</f>
        <v>24300</v>
      </c>
      <c r="K128" s="267">
        <f t="shared" si="32"/>
        <v>24300</v>
      </c>
      <c r="L128" s="267">
        <f t="shared" si="32"/>
        <v>24300</v>
      </c>
      <c r="M128" s="267">
        <f t="shared" si="32"/>
        <v>24300</v>
      </c>
      <c r="N128" s="267">
        <f t="shared" si="32"/>
        <v>24300</v>
      </c>
      <c r="O128" s="267">
        <f t="shared" si="32"/>
        <v>24300</v>
      </c>
      <c r="P128" s="267">
        <f t="shared" si="32"/>
        <v>24300</v>
      </c>
      <c r="Q128" s="267">
        <f t="shared" si="32"/>
        <v>24300</v>
      </c>
      <c r="R128" s="267">
        <f t="shared" si="30"/>
        <v>24300</v>
      </c>
      <c r="S128" s="267">
        <f t="shared" si="30"/>
        <v>24300</v>
      </c>
      <c r="T128" s="267">
        <f t="shared" si="30"/>
        <v>24300</v>
      </c>
      <c r="U128" s="267">
        <f t="shared" si="30"/>
        <v>24300</v>
      </c>
      <c r="V128" s="267">
        <f t="shared" si="30"/>
        <v>24300</v>
      </c>
    </row>
    <row r="129" spans="1:22" ht="13" x14ac:dyDescent="0.15">
      <c r="A129" s="129" t="s">
        <v>485</v>
      </c>
      <c r="B129" s="481">
        <v>624</v>
      </c>
      <c r="C129" s="264">
        <f t="shared" si="31"/>
        <v>7488</v>
      </c>
      <c r="D129" s="35"/>
      <c r="E129" s="35"/>
      <c r="F129" s="124" t="s">
        <v>100</v>
      </c>
      <c r="G129" s="124" t="s">
        <v>100</v>
      </c>
      <c r="H129" s="264">
        <f>F141*$C129</f>
        <v>0</v>
      </c>
      <c r="I129" s="266">
        <f>G141*$C129</f>
        <v>0</v>
      </c>
      <c r="J129" s="267">
        <f t="shared" si="32"/>
        <v>0</v>
      </c>
      <c r="K129" s="267">
        <f t="shared" si="32"/>
        <v>0</v>
      </c>
      <c r="L129" s="267">
        <f t="shared" si="32"/>
        <v>0</v>
      </c>
      <c r="M129" s="267">
        <f t="shared" si="32"/>
        <v>0</v>
      </c>
      <c r="N129" s="267">
        <f t="shared" si="32"/>
        <v>0</v>
      </c>
      <c r="O129" s="267">
        <f t="shared" si="32"/>
        <v>0</v>
      </c>
      <c r="P129" s="267">
        <f t="shared" si="32"/>
        <v>0</v>
      </c>
      <c r="Q129" s="267">
        <f t="shared" si="32"/>
        <v>0</v>
      </c>
      <c r="R129" s="267">
        <f t="shared" si="30"/>
        <v>0</v>
      </c>
      <c r="S129" s="267">
        <f t="shared" si="30"/>
        <v>0</v>
      </c>
      <c r="T129" s="267">
        <f t="shared" si="30"/>
        <v>0</v>
      </c>
      <c r="U129" s="267">
        <f t="shared" si="30"/>
        <v>0</v>
      </c>
      <c r="V129" s="267">
        <f t="shared" si="30"/>
        <v>0</v>
      </c>
    </row>
    <row r="130" spans="1:22" ht="13" x14ac:dyDescent="0.15">
      <c r="A130" s="20" t="s">
        <v>63</v>
      </c>
      <c r="B130" s="37"/>
      <c r="C130" s="37"/>
      <c r="D130" s="37"/>
      <c r="E130" s="37"/>
      <c r="F130" s="268">
        <f>H130/12</f>
        <v>2784</v>
      </c>
      <c r="G130" s="268">
        <f>I130/12</f>
        <v>5853</v>
      </c>
      <c r="H130" s="268">
        <f t="shared" ref="H130:V130" si="33">SUM(H123:H129)</f>
        <v>33408</v>
      </c>
      <c r="I130" s="269">
        <f t="shared" si="33"/>
        <v>70236</v>
      </c>
      <c r="J130" s="270">
        <f t="shared" si="33"/>
        <v>70236</v>
      </c>
      <c r="K130" s="270">
        <f t="shared" si="33"/>
        <v>70236</v>
      </c>
      <c r="L130" s="270">
        <f t="shared" si="33"/>
        <v>70236</v>
      </c>
      <c r="M130" s="270">
        <f t="shared" si="33"/>
        <v>70236</v>
      </c>
      <c r="N130" s="270">
        <f t="shared" si="33"/>
        <v>70236</v>
      </c>
      <c r="O130" s="270">
        <f t="shared" si="33"/>
        <v>70236</v>
      </c>
      <c r="P130" s="270">
        <f t="shared" si="33"/>
        <v>70236</v>
      </c>
      <c r="Q130" s="270">
        <f t="shared" si="33"/>
        <v>70236</v>
      </c>
      <c r="R130" s="270">
        <f t="shared" si="33"/>
        <v>70236</v>
      </c>
      <c r="S130" s="270">
        <f t="shared" si="33"/>
        <v>70236</v>
      </c>
      <c r="T130" s="270">
        <f t="shared" si="33"/>
        <v>70236</v>
      </c>
      <c r="U130" s="270">
        <f t="shared" si="33"/>
        <v>70236</v>
      </c>
      <c r="V130" s="270">
        <f t="shared" si="33"/>
        <v>70236</v>
      </c>
    </row>
    <row r="131" spans="1:22" ht="15.75" customHeight="1" x14ac:dyDescent="0.15">
      <c r="A131" s="128"/>
      <c r="B131" s="128"/>
      <c r="C131" s="128"/>
      <c r="D131" s="128"/>
      <c r="E131" s="128"/>
      <c r="F131" s="128"/>
      <c r="G131" s="128"/>
      <c r="H131" s="128"/>
      <c r="I131" s="128"/>
      <c r="J131" s="128"/>
      <c r="K131" s="128"/>
      <c r="L131" s="128"/>
      <c r="M131" s="128"/>
      <c r="N131" s="128"/>
      <c r="O131" s="128"/>
      <c r="P131" s="128"/>
      <c r="Q131" s="128"/>
      <c r="R131" s="128"/>
      <c r="S131" s="128"/>
      <c r="T131" s="128"/>
      <c r="U131" s="128"/>
      <c r="V131" s="128"/>
    </row>
    <row r="132" spans="1:22" ht="15.75" customHeight="1" x14ac:dyDescent="0.15">
      <c r="A132" s="110" t="s">
        <v>464</v>
      </c>
      <c r="B132" s="110"/>
      <c r="C132" s="128"/>
      <c r="D132" s="128"/>
      <c r="E132" s="128"/>
      <c r="F132" s="110" t="s">
        <v>21</v>
      </c>
      <c r="G132" s="110" t="s">
        <v>22</v>
      </c>
      <c r="H132" s="110" t="s">
        <v>144</v>
      </c>
      <c r="I132" s="44" t="s">
        <v>145</v>
      </c>
      <c r="J132" s="44" t="s">
        <v>146</v>
      </c>
      <c r="K132" s="44" t="s">
        <v>147</v>
      </c>
      <c r="L132" s="44" t="s">
        <v>148</v>
      </c>
      <c r="M132" s="44" t="s">
        <v>149</v>
      </c>
      <c r="N132" s="44" t="s">
        <v>150</v>
      </c>
      <c r="O132" s="44" t="s">
        <v>151</v>
      </c>
      <c r="P132" s="44" t="s">
        <v>152</v>
      </c>
      <c r="Q132" s="44" t="s">
        <v>153</v>
      </c>
      <c r="R132" s="44" t="s">
        <v>154</v>
      </c>
      <c r="S132" s="44" t="s">
        <v>155</v>
      </c>
      <c r="T132" s="44" t="s">
        <v>156</v>
      </c>
      <c r="U132" s="128"/>
      <c r="V132" s="128"/>
    </row>
    <row r="133" spans="1:22" ht="15.75" customHeight="1" x14ac:dyDescent="0.15">
      <c r="A133" s="127" t="s">
        <v>64</v>
      </c>
      <c r="B133" s="128"/>
      <c r="C133" s="128"/>
      <c r="D133" s="128"/>
      <c r="E133" s="128"/>
      <c r="F133" s="473">
        <v>0</v>
      </c>
      <c r="G133" s="27">
        <v>0</v>
      </c>
      <c r="H133" s="128">
        <f>G133</f>
        <v>0</v>
      </c>
      <c r="I133" s="128">
        <f t="shared" ref="I133:O133" si="34">H133</f>
        <v>0</v>
      </c>
      <c r="J133" s="128">
        <f t="shared" si="34"/>
        <v>0</v>
      </c>
      <c r="K133" s="128">
        <f t="shared" si="34"/>
        <v>0</v>
      </c>
      <c r="L133" s="128">
        <f t="shared" si="34"/>
        <v>0</v>
      </c>
      <c r="M133" s="128">
        <f t="shared" si="34"/>
        <v>0</v>
      </c>
      <c r="N133" s="128">
        <f t="shared" si="34"/>
        <v>0</v>
      </c>
      <c r="O133" s="128">
        <f t="shared" si="34"/>
        <v>0</v>
      </c>
      <c r="P133" s="128">
        <f t="shared" ref="P133:T142" si="35">O133</f>
        <v>0</v>
      </c>
      <c r="Q133" s="128">
        <f t="shared" si="35"/>
        <v>0</v>
      </c>
      <c r="R133" s="128">
        <f t="shared" si="35"/>
        <v>0</v>
      </c>
      <c r="S133" s="128">
        <f t="shared" si="35"/>
        <v>0</v>
      </c>
      <c r="T133" s="128">
        <f t="shared" si="35"/>
        <v>0</v>
      </c>
      <c r="U133" s="128"/>
      <c r="V133" s="128"/>
    </row>
    <row r="134" spans="1:22" ht="15.75" customHeight="1" x14ac:dyDescent="0.15">
      <c r="A134" s="129" t="s">
        <v>65</v>
      </c>
      <c r="B134" s="128"/>
      <c r="C134" s="128"/>
      <c r="D134" s="128"/>
      <c r="E134" s="128"/>
      <c r="F134" s="473">
        <v>0</v>
      </c>
      <c r="G134" s="27">
        <v>1</v>
      </c>
      <c r="H134" s="128">
        <f t="shared" ref="H134:O142" si="36">G134</f>
        <v>1</v>
      </c>
      <c r="I134" s="128">
        <f t="shared" si="36"/>
        <v>1</v>
      </c>
      <c r="J134" s="128">
        <f t="shared" si="36"/>
        <v>1</v>
      </c>
      <c r="K134" s="128">
        <f t="shared" si="36"/>
        <v>1</v>
      </c>
      <c r="L134" s="128">
        <f t="shared" si="36"/>
        <v>1</v>
      </c>
      <c r="M134" s="128">
        <f t="shared" si="36"/>
        <v>1</v>
      </c>
      <c r="N134" s="128">
        <f t="shared" si="36"/>
        <v>1</v>
      </c>
      <c r="O134" s="128">
        <f t="shared" si="36"/>
        <v>1</v>
      </c>
      <c r="P134" s="128">
        <f t="shared" si="35"/>
        <v>1</v>
      </c>
      <c r="Q134" s="128">
        <f t="shared" si="35"/>
        <v>1</v>
      </c>
      <c r="R134" s="128">
        <f t="shared" si="35"/>
        <v>1</v>
      </c>
      <c r="S134" s="128">
        <f t="shared" si="35"/>
        <v>1</v>
      </c>
      <c r="T134" s="128">
        <f t="shared" si="35"/>
        <v>1</v>
      </c>
      <c r="U134" s="128"/>
      <c r="V134" s="128"/>
    </row>
    <row r="135" spans="1:22" ht="15.75" customHeight="1" x14ac:dyDescent="0.15">
      <c r="A135" s="129" t="s">
        <v>66</v>
      </c>
      <c r="B135" s="128"/>
      <c r="C135" s="128"/>
      <c r="D135" s="128"/>
      <c r="E135" s="128"/>
      <c r="F135" s="473">
        <v>0.5</v>
      </c>
      <c r="G135" s="27">
        <v>1</v>
      </c>
      <c r="H135" s="128">
        <f t="shared" si="36"/>
        <v>1</v>
      </c>
      <c r="I135" s="128">
        <f t="shared" si="36"/>
        <v>1</v>
      </c>
      <c r="J135" s="128">
        <f t="shared" si="36"/>
        <v>1</v>
      </c>
      <c r="K135" s="128">
        <f t="shared" si="36"/>
        <v>1</v>
      </c>
      <c r="L135" s="128">
        <f t="shared" si="36"/>
        <v>1</v>
      </c>
      <c r="M135" s="128">
        <f t="shared" si="36"/>
        <v>1</v>
      </c>
      <c r="N135" s="128">
        <f t="shared" si="36"/>
        <v>1</v>
      </c>
      <c r="O135" s="128">
        <f t="shared" si="36"/>
        <v>1</v>
      </c>
      <c r="P135" s="128">
        <f t="shared" si="35"/>
        <v>1</v>
      </c>
      <c r="Q135" s="128">
        <f t="shared" si="35"/>
        <v>1</v>
      </c>
      <c r="R135" s="128">
        <f t="shared" si="35"/>
        <v>1</v>
      </c>
      <c r="S135" s="128">
        <f t="shared" si="35"/>
        <v>1</v>
      </c>
      <c r="T135" s="128">
        <f t="shared" si="35"/>
        <v>1</v>
      </c>
      <c r="U135" s="128"/>
      <c r="V135" s="128"/>
    </row>
    <row r="136" spans="1:22" ht="15.75" customHeight="1" x14ac:dyDescent="0.15">
      <c r="A136" s="129" t="s">
        <v>67</v>
      </c>
      <c r="B136" s="128"/>
      <c r="C136" s="128"/>
      <c r="D136" s="128"/>
      <c r="E136" s="128"/>
      <c r="F136" s="473">
        <v>0</v>
      </c>
      <c r="G136" s="27">
        <v>0.25</v>
      </c>
      <c r="H136" s="128">
        <f t="shared" si="36"/>
        <v>0.25</v>
      </c>
      <c r="I136" s="128">
        <f t="shared" si="36"/>
        <v>0.25</v>
      </c>
      <c r="J136" s="128">
        <f t="shared" si="36"/>
        <v>0.25</v>
      </c>
      <c r="K136" s="128">
        <f t="shared" si="36"/>
        <v>0.25</v>
      </c>
      <c r="L136" s="128">
        <f t="shared" si="36"/>
        <v>0.25</v>
      </c>
      <c r="M136" s="128">
        <f t="shared" si="36"/>
        <v>0.25</v>
      </c>
      <c r="N136" s="128">
        <f t="shared" si="36"/>
        <v>0.25</v>
      </c>
      <c r="O136" s="128">
        <f t="shared" si="36"/>
        <v>0.25</v>
      </c>
      <c r="P136" s="128">
        <f t="shared" si="35"/>
        <v>0.25</v>
      </c>
      <c r="Q136" s="128">
        <f t="shared" si="35"/>
        <v>0.25</v>
      </c>
      <c r="R136" s="128">
        <f t="shared" si="35"/>
        <v>0.25</v>
      </c>
      <c r="S136" s="128">
        <f t="shared" si="35"/>
        <v>0.25</v>
      </c>
      <c r="T136" s="128">
        <f t="shared" si="35"/>
        <v>0.25</v>
      </c>
      <c r="U136" s="128"/>
      <c r="V136" s="128"/>
    </row>
    <row r="137" spans="1:22" ht="15.75" customHeight="1" x14ac:dyDescent="0.15">
      <c r="A137" s="129" t="s">
        <v>68</v>
      </c>
      <c r="B137" s="128"/>
      <c r="C137" s="128"/>
      <c r="D137" s="128"/>
      <c r="E137" s="128"/>
      <c r="F137" s="473">
        <v>0</v>
      </c>
      <c r="G137" s="27">
        <v>0</v>
      </c>
      <c r="H137" s="128">
        <f t="shared" si="36"/>
        <v>0</v>
      </c>
      <c r="I137" s="128">
        <f t="shared" si="36"/>
        <v>0</v>
      </c>
      <c r="J137" s="128">
        <f t="shared" si="36"/>
        <v>0</v>
      </c>
      <c r="K137" s="128">
        <f t="shared" si="36"/>
        <v>0</v>
      </c>
      <c r="L137" s="128">
        <f t="shared" si="36"/>
        <v>0</v>
      </c>
      <c r="M137" s="128">
        <f t="shared" si="36"/>
        <v>0</v>
      </c>
      <c r="N137" s="128">
        <f t="shared" si="36"/>
        <v>0</v>
      </c>
      <c r="O137" s="128">
        <f t="shared" si="36"/>
        <v>0</v>
      </c>
      <c r="P137" s="128">
        <f t="shared" si="35"/>
        <v>0</v>
      </c>
      <c r="Q137" s="128">
        <f t="shared" si="35"/>
        <v>0</v>
      </c>
      <c r="R137" s="128">
        <f t="shared" si="35"/>
        <v>0</v>
      </c>
      <c r="S137" s="128">
        <f t="shared" si="35"/>
        <v>0</v>
      </c>
      <c r="T137" s="128">
        <f t="shared" si="35"/>
        <v>0</v>
      </c>
      <c r="U137" s="128"/>
      <c r="V137" s="128"/>
    </row>
    <row r="138" spans="1:22" s="133" customFormat="1" ht="15.75" customHeight="1" x14ac:dyDescent="0.15">
      <c r="A138" s="129" t="s">
        <v>486</v>
      </c>
      <c r="F138" s="473">
        <v>1</v>
      </c>
      <c r="G138" s="27">
        <v>1</v>
      </c>
      <c r="H138" s="133">
        <f t="shared" si="36"/>
        <v>1</v>
      </c>
      <c r="I138" s="133">
        <f t="shared" si="36"/>
        <v>1</v>
      </c>
      <c r="J138" s="133">
        <f t="shared" si="36"/>
        <v>1</v>
      </c>
      <c r="K138" s="133">
        <f t="shared" si="36"/>
        <v>1</v>
      </c>
      <c r="L138" s="133">
        <f t="shared" si="36"/>
        <v>1</v>
      </c>
      <c r="M138" s="133">
        <f t="shared" si="36"/>
        <v>1</v>
      </c>
      <c r="N138" s="133">
        <f t="shared" si="36"/>
        <v>1</v>
      </c>
      <c r="O138" s="133">
        <f t="shared" si="36"/>
        <v>1</v>
      </c>
      <c r="P138" s="133">
        <f t="shared" si="35"/>
        <v>1</v>
      </c>
      <c r="Q138" s="133">
        <f t="shared" si="35"/>
        <v>1</v>
      </c>
      <c r="R138" s="133">
        <f t="shared" si="35"/>
        <v>1</v>
      </c>
      <c r="S138" s="133">
        <f t="shared" si="35"/>
        <v>1</v>
      </c>
      <c r="T138" s="133">
        <f t="shared" si="35"/>
        <v>1</v>
      </c>
    </row>
    <row r="139" spans="1:22" ht="15.75" customHeight="1" x14ac:dyDescent="0.15">
      <c r="A139" s="127" t="s">
        <v>61</v>
      </c>
      <c r="B139" s="128"/>
      <c r="C139" s="128"/>
      <c r="D139" s="128"/>
      <c r="E139" s="128"/>
      <c r="F139" s="473">
        <v>0</v>
      </c>
      <c r="G139" s="27">
        <v>0</v>
      </c>
      <c r="H139" s="128">
        <f t="shared" si="36"/>
        <v>0</v>
      </c>
      <c r="I139" s="128">
        <f t="shared" si="36"/>
        <v>0</v>
      </c>
      <c r="J139" s="128">
        <f t="shared" si="36"/>
        <v>0</v>
      </c>
      <c r="K139" s="128">
        <f t="shared" si="36"/>
        <v>0</v>
      </c>
      <c r="L139" s="128">
        <f t="shared" si="36"/>
        <v>0</v>
      </c>
      <c r="M139" s="128">
        <f t="shared" si="36"/>
        <v>0</v>
      </c>
      <c r="N139" s="128">
        <f t="shared" si="36"/>
        <v>0</v>
      </c>
      <c r="O139" s="128">
        <f t="shared" si="36"/>
        <v>0</v>
      </c>
      <c r="P139" s="128">
        <f t="shared" si="35"/>
        <v>0</v>
      </c>
      <c r="Q139" s="128">
        <f t="shared" si="35"/>
        <v>0</v>
      </c>
      <c r="R139" s="128">
        <f t="shared" si="35"/>
        <v>0</v>
      </c>
      <c r="S139" s="128">
        <f t="shared" si="35"/>
        <v>0</v>
      </c>
      <c r="T139" s="128">
        <f t="shared" si="35"/>
        <v>0</v>
      </c>
      <c r="U139" s="128"/>
      <c r="V139" s="128"/>
    </row>
    <row r="140" spans="1:22" ht="15.75" customHeight="1" x14ac:dyDescent="0.15">
      <c r="A140" s="129" t="s">
        <v>62</v>
      </c>
      <c r="B140" s="128"/>
      <c r="C140" s="128"/>
      <c r="D140" s="128"/>
      <c r="E140" s="128"/>
      <c r="F140" s="473">
        <v>0</v>
      </c>
      <c r="G140" s="27">
        <v>0</v>
      </c>
      <c r="H140" s="128">
        <f t="shared" si="36"/>
        <v>0</v>
      </c>
      <c r="I140" s="128">
        <f t="shared" si="36"/>
        <v>0</v>
      </c>
      <c r="J140" s="128">
        <f t="shared" si="36"/>
        <v>0</v>
      </c>
      <c r="K140" s="128">
        <f t="shared" si="36"/>
        <v>0</v>
      </c>
      <c r="L140" s="128">
        <f t="shared" si="36"/>
        <v>0</v>
      </c>
      <c r="M140" s="128">
        <f t="shared" si="36"/>
        <v>0</v>
      </c>
      <c r="N140" s="128">
        <f t="shared" si="36"/>
        <v>0</v>
      </c>
      <c r="O140" s="128">
        <f t="shared" si="36"/>
        <v>0</v>
      </c>
      <c r="P140" s="128">
        <f t="shared" si="35"/>
        <v>0</v>
      </c>
      <c r="Q140" s="128">
        <f t="shared" si="35"/>
        <v>0</v>
      </c>
      <c r="R140" s="128">
        <f t="shared" si="35"/>
        <v>0</v>
      </c>
      <c r="S140" s="128">
        <f t="shared" si="35"/>
        <v>0</v>
      </c>
      <c r="T140" s="128">
        <f t="shared" si="35"/>
        <v>0</v>
      </c>
      <c r="U140" s="128"/>
      <c r="V140" s="128"/>
    </row>
    <row r="141" spans="1:22" ht="15.75" customHeight="1" x14ac:dyDescent="0.15">
      <c r="A141" s="129" t="s">
        <v>485</v>
      </c>
      <c r="B141" s="128"/>
      <c r="C141" s="128"/>
      <c r="D141" s="128"/>
      <c r="E141" s="128"/>
      <c r="F141" s="473">
        <v>0</v>
      </c>
      <c r="G141" s="27">
        <v>0</v>
      </c>
      <c r="H141" s="128">
        <f t="shared" si="36"/>
        <v>0</v>
      </c>
      <c r="I141" s="128">
        <f t="shared" si="36"/>
        <v>0</v>
      </c>
      <c r="J141" s="128">
        <f t="shared" si="36"/>
        <v>0</v>
      </c>
      <c r="K141" s="128">
        <f t="shared" si="36"/>
        <v>0</v>
      </c>
      <c r="L141" s="128">
        <f t="shared" si="36"/>
        <v>0</v>
      </c>
      <c r="M141" s="128">
        <f t="shared" si="36"/>
        <v>0</v>
      </c>
      <c r="N141" s="128">
        <f t="shared" si="36"/>
        <v>0</v>
      </c>
      <c r="O141" s="128">
        <f t="shared" si="36"/>
        <v>0</v>
      </c>
      <c r="P141" s="128">
        <f t="shared" si="35"/>
        <v>0</v>
      </c>
      <c r="Q141" s="128">
        <f t="shared" si="35"/>
        <v>0</v>
      </c>
      <c r="R141" s="128">
        <f t="shared" si="35"/>
        <v>0</v>
      </c>
      <c r="S141" s="128">
        <f t="shared" si="35"/>
        <v>0</v>
      </c>
      <c r="T141" s="128">
        <f t="shared" si="35"/>
        <v>0</v>
      </c>
      <c r="U141" s="128"/>
      <c r="V141" s="128"/>
    </row>
    <row r="142" spans="1:22" s="171" customFormat="1" ht="15.75" customHeight="1" x14ac:dyDescent="0.15">
      <c r="A142" s="129" t="s">
        <v>972</v>
      </c>
      <c r="F142" s="473">
        <f>40*4.333</f>
        <v>173.32</v>
      </c>
      <c r="G142" s="27">
        <v>260</v>
      </c>
      <c r="H142" s="171">
        <f t="shared" si="36"/>
        <v>260</v>
      </c>
      <c r="I142" s="171">
        <f t="shared" si="36"/>
        <v>260</v>
      </c>
      <c r="J142" s="171">
        <f t="shared" si="36"/>
        <v>260</v>
      </c>
      <c r="K142" s="171">
        <f t="shared" si="36"/>
        <v>260</v>
      </c>
      <c r="L142" s="171">
        <f t="shared" si="36"/>
        <v>260</v>
      </c>
      <c r="M142" s="171">
        <f t="shared" si="36"/>
        <v>260</v>
      </c>
      <c r="N142" s="171">
        <f t="shared" si="36"/>
        <v>260</v>
      </c>
      <c r="O142" s="171">
        <f t="shared" si="36"/>
        <v>260</v>
      </c>
      <c r="P142" s="171">
        <f t="shared" si="35"/>
        <v>260</v>
      </c>
      <c r="Q142" s="171">
        <f t="shared" si="35"/>
        <v>260</v>
      </c>
      <c r="R142" s="171">
        <f t="shared" si="35"/>
        <v>260</v>
      </c>
      <c r="S142" s="171">
        <f t="shared" si="35"/>
        <v>260</v>
      </c>
      <c r="T142" s="171">
        <f t="shared" si="35"/>
        <v>260</v>
      </c>
    </row>
    <row r="143" spans="1:22" ht="15.75" customHeight="1" x14ac:dyDescent="0.15">
      <c r="A143" s="20" t="s">
        <v>69</v>
      </c>
      <c r="B143" s="126"/>
      <c r="C143" s="126"/>
      <c r="D143" s="126"/>
      <c r="E143" s="126"/>
      <c r="F143" s="126">
        <f>SUM(F133:F141)</f>
        <v>1.5</v>
      </c>
      <c r="G143" s="25">
        <f>SUM(G133:G141)</f>
        <v>3.25</v>
      </c>
      <c r="H143" s="71">
        <f>SUM(H133:H141)</f>
        <v>3.25</v>
      </c>
      <c r="I143" s="71">
        <f t="shared" ref="I143:T143" si="37">SUM(I133:I141)</f>
        <v>3.25</v>
      </c>
      <c r="J143" s="71">
        <f t="shared" si="37"/>
        <v>3.25</v>
      </c>
      <c r="K143" s="71">
        <f t="shared" si="37"/>
        <v>3.25</v>
      </c>
      <c r="L143" s="71">
        <f t="shared" si="37"/>
        <v>3.25</v>
      </c>
      <c r="M143" s="71">
        <f t="shared" si="37"/>
        <v>3.25</v>
      </c>
      <c r="N143" s="71">
        <f t="shared" si="37"/>
        <v>3.25</v>
      </c>
      <c r="O143" s="71">
        <f t="shared" si="37"/>
        <v>3.25</v>
      </c>
      <c r="P143" s="71">
        <f t="shared" si="37"/>
        <v>3.25</v>
      </c>
      <c r="Q143" s="71">
        <f t="shared" si="37"/>
        <v>3.25</v>
      </c>
      <c r="R143" s="71">
        <f t="shared" si="37"/>
        <v>3.25</v>
      </c>
      <c r="S143" s="71">
        <f t="shared" si="37"/>
        <v>3.25</v>
      </c>
      <c r="T143" s="71">
        <f t="shared" si="37"/>
        <v>3.25</v>
      </c>
      <c r="U143" s="128"/>
      <c r="V143" s="128"/>
    </row>
    <row r="146" spans="16:17" ht="15.75" customHeight="1" x14ac:dyDescent="0.15">
      <c r="P146" s="38" t="s">
        <v>639</v>
      </c>
    </row>
    <row r="147" spans="16:17" ht="15.75" customHeight="1" x14ac:dyDescent="0.15">
      <c r="P147" s="38" t="s">
        <v>647</v>
      </c>
      <c r="Q147" s="38" t="s">
        <v>527</v>
      </c>
    </row>
    <row r="148" spans="16:17" ht="15.75" customHeight="1" x14ac:dyDescent="0.15">
      <c r="P148" s="38" t="s">
        <v>533</v>
      </c>
      <c r="Q148" s="135">
        <v>3</v>
      </c>
    </row>
    <row r="149" spans="16:17" ht="15.75" customHeight="1" x14ac:dyDescent="0.15">
      <c r="P149" s="38" t="s">
        <v>640</v>
      </c>
      <c r="Q149" s="135">
        <v>7</v>
      </c>
    </row>
    <row r="150" spans="16:17" ht="15.75" customHeight="1" x14ac:dyDescent="0.15">
      <c r="P150" s="38" t="s">
        <v>641</v>
      </c>
      <c r="Q150" s="135">
        <v>21</v>
      </c>
    </row>
    <row r="151" spans="16:17" ht="15.75" customHeight="1" x14ac:dyDescent="0.15">
      <c r="P151" s="38" t="s">
        <v>642</v>
      </c>
      <c r="Q151" s="135">
        <v>38</v>
      </c>
    </row>
    <row r="152" spans="16:17" ht="15.75" customHeight="1" x14ac:dyDescent="0.15">
      <c r="P152" s="38" t="s">
        <v>643</v>
      </c>
      <c r="Q152" s="135">
        <v>12</v>
      </c>
    </row>
    <row r="153" spans="16:17" ht="15.75" customHeight="1" x14ac:dyDescent="0.15">
      <c r="P153" s="38" t="s">
        <v>644</v>
      </c>
      <c r="Q153" s="135">
        <v>6</v>
      </c>
    </row>
    <row r="154" spans="16:17" ht="15.75" customHeight="1" x14ac:dyDescent="0.15">
      <c r="P154" s="38" t="s">
        <v>645</v>
      </c>
      <c r="Q154" s="135">
        <v>6</v>
      </c>
    </row>
    <row r="155" spans="16:17" ht="15.75" customHeight="1" x14ac:dyDescent="0.15">
      <c r="P155" s="38" t="s">
        <v>646</v>
      </c>
      <c r="Q155" s="135">
        <v>7</v>
      </c>
    </row>
    <row r="156" spans="16:17" ht="15.75" customHeight="1" x14ac:dyDescent="0.15">
      <c r="P156" s="38" t="s">
        <v>63</v>
      </c>
      <c r="Q156">
        <f>SUM(Q148:Q155)</f>
        <v>100</v>
      </c>
    </row>
  </sheetData>
  <mergeCells count="16">
    <mergeCell ref="G46:I46"/>
    <mergeCell ref="F42:F43"/>
    <mergeCell ref="F35:F39"/>
    <mergeCell ref="F19:F20"/>
    <mergeCell ref="F32:F33"/>
    <mergeCell ref="F40:F41"/>
    <mergeCell ref="F28:F29"/>
    <mergeCell ref="F26:F27"/>
    <mergeCell ref="F24:F25"/>
    <mergeCell ref="F30:F31"/>
    <mergeCell ref="F44:F45"/>
    <mergeCell ref="T14:U14"/>
    <mergeCell ref="A1:H2"/>
    <mergeCell ref="A4:H4"/>
    <mergeCell ref="A5:H5"/>
    <mergeCell ref="A7:H7"/>
  </mergeCells>
  <phoneticPr fontId="33" type="noConversion"/>
  <conditionalFormatting sqref="L17">
    <cfRule type="cellIs" dxfId="28" priority="19" operator="greaterThan">
      <formula>1</formula>
    </cfRule>
    <cfRule type="cellIs" dxfId="27" priority="20" operator="greaterThan">
      <formula>100</formula>
    </cfRule>
    <cfRule type="cellIs" dxfId="26" priority="21" operator="lessThan">
      <formula>1</formula>
    </cfRule>
  </conditionalFormatting>
  <conditionalFormatting sqref="I55">
    <cfRule type="cellIs" dxfId="25" priority="13" operator="lessThan">
      <formula>0</formula>
    </cfRule>
    <cfRule type="cellIs" dxfId="24" priority="14" operator="greaterThan">
      <formula>0</formula>
    </cfRule>
  </conditionalFormatting>
  <conditionalFormatting sqref="B19">
    <cfRule type="cellIs" dxfId="23" priority="27" operator="greaterThan">
      <formula>$B$41*2.5</formula>
    </cfRule>
  </conditionalFormatting>
  <conditionalFormatting sqref="H24:K25 H28:L29 B24:C24 B28:C28 B46 B57 B65:B68 B117:B119 B123:C129 C117:C118 F75:V75 F98:V103 F105:V105 F107:V110 F112:V112 F123:V130 C25 F78:V84 F117:V120 F87:V93 B48 H34:K34">
    <cfRule type="expression" dxfId="22" priority="7">
      <formula>currency="EUR"</formula>
    </cfRule>
    <cfRule type="expression" dxfId="21" priority="8">
      <formula>currency="JPY"</formula>
    </cfRule>
    <cfRule type="expression" dxfId="20" priority="9">
      <formula>currency="USD"</formula>
    </cfRule>
    <cfRule type="expression" dxfId="19" priority="11">
      <formula>currency="AUD"</formula>
    </cfRule>
    <cfRule type="expression" dxfId="18" priority="12">
      <formula>currency="GBP"</formula>
    </cfRule>
  </conditionalFormatting>
  <conditionalFormatting sqref="F95:V95">
    <cfRule type="expression" dxfId="17" priority="1">
      <formula>currency="JPY"</formula>
    </cfRule>
    <cfRule type="expression" dxfId="16" priority="2">
      <formula>currency="AUD"</formula>
    </cfRule>
    <cfRule type="expression" dxfId="15" priority="3">
      <formula>currency="EUR"</formula>
    </cfRule>
    <cfRule type="expression" dxfId="14" priority="4">
      <formula>currency="GBP"</formula>
    </cfRule>
  </conditionalFormatting>
  <dataValidations count="9">
    <dataValidation type="list" allowBlank="1" showInputMessage="1" showErrorMessage="1" sqref="B42 B32:B33 B51" xr:uid="{7D71A6BF-D46C-2B45-AA0C-5B85E55589B2}">
      <formula1>"High, Medium, Low"</formula1>
    </dataValidation>
    <dataValidation type="list" allowBlank="1" showInputMessage="1" showErrorMessage="1" sqref="B32 B30" xr:uid="{242E409D-204C-2D42-A4BC-0F1B4901AD7C}">
      <formula1>"Container, Greenhouse, Basement, Plant Factory"</formula1>
    </dataValidation>
    <dataValidation type="whole" allowBlank="1" showInputMessage="1" showErrorMessage="1" sqref="B19" xr:uid="{6B6D35A5-35CC-524E-9619-989B825012CA}">
      <formula1>0</formula1>
      <formula2>30</formula2>
    </dataValidation>
    <dataValidation type="list" allowBlank="1" showInputMessage="1" showErrorMessage="1" sqref="B33" xr:uid="{6F920468-5209-A44D-A9FB-464AED246916}">
      <formula1>"HIgh, Med, Low"</formula1>
    </dataValidation>
    <dataValidation type="list" allowBlank="1" showInputMessage="1" showErrorMessage="1" sqref="B43" xr:uid="{6FA659DB-36A0-DB41-BC4B-A98B31225F76}">
      <formula1>"Pitched roof, Flat roof"</formula1>
    </dataValidation>
    <dataValidation type="list" allowBlank="1" showInputMessage="1" showErrorMessage="1" sqref="B61" xr:uid="{A459DD22-BA10-A141-9360-472E62E9697B}">
      <formula1>"Standard"</formula1>
    </dataValidation>
    <dataValidation type="list" allowBlank="1" showInputMessage="1" showErrorMessage="1" sqref="B31" xr:uid="{EF0D7628-D52D-C04B-9260-03EC3F18C0B2}">
      <formula1>"Retail, Wholesale, Hybrid"</formula1>
    </dataValidation>
    <dataValidation type="list" allowBlank="1" showInputMessage="1" showErrorMessage="1" sqref="B52:B53" xr:uid="{687EBD68-1C3F-8C4B-AE82-97178D4132B8}">
      <formula1>"Yes, No"</formula1>
    </dataValidation>
    <dataValidation type="list" allowBlank="1" showInputMessage="1" showErrorMessage="1" sqref="B12" xr:uid="{6B737750-6C3D-EB4F-994A-C7379482DCC4}">
      <formula1>"GBP, USD, AUD, JPY, EUR"</formula1>
    </dataValidation>
  </dataValidations>
  <pageMargins left="0.7" right="0.7" top="0.75" bottom="0.75" header="0.3" footer="0.3"/>
  <drawing r:id="rId1"/>
  <legacyDrawing r:id="rId2"/>
  <extLst>
    <ext xmlns:x14="http://schemas.microsoft.com/office/spreadsheetml/2009/9/main" uri="{CCE6A557-97BC-4b89-ADB6-D9C93CAAB3DF}">
      <x14:dataValidations xmlns:xm="http://schemas.microsoft.com/office/excel/2006/main" count="8">
        <x14:dataValidation type="list" allowBlank="1" showInputMessage="1" showErrorMessage="1" xr:uid="{31094004-AF44-FF4B-98D6-6553A3B2E253}">
          <x14:formula1>
            <xm:f>Database!$A$67:$A$77</xm:f>
          </x14:formula1>
          <xm:sqref>B37</xm:sqref>
        </x14:dataValidation>
        <x14:dataValidation type="list" allowBlank="1" showInputMessage="1" showErrorMessage="1" xr:uid="{B040B8C7-4C94-3143-8951-7E5B713B4E1B}">
          <x14:formula1>
            <xm:f>Database!$I$7:$Q$7</xm:f>
          </x14:formula1>
          <xm:sqref>H18:K18</xm:sqref>
        </x14:dataValidation>
        <x14:dataValidation type="list" allowBlank="1" showInputMessage="1" showErrorMessage="1" xr:uid="{DADEF9AE-A93C-B141-9B3C-41FCDF0EFECA}">
          <x14:formula1>
            <xm:f>Consumables!$A$23:$A$26</xm:f>
          </x14:formula1>
          <xm:sqref>B40</xm:sqref>
        </x14:dataValidation>
        <x14:dataValidation type="list" allowBlank="1" showInputMessage="1" showErrorMessage="1" xr:uid="{AFF2748E-6DC2-3442-B8E8-9748F213AD6C}">
          <x14:formula1>
            <xm:f>Database!$A$80:$A$99</xm:f>
          </x14:formula1>
          <xm:sqref>B38</xm:sqref>
        </x14:dataValidation>
        <x14:dataValidation type="list" allowBlank="1" showInputMessage="1" showErrorMessage="1" xr:uid="{4B10787A-800B-9D42-B419-A06AEEE02813}">
          <x14:formula1>
            <xm:f>Database!$A$122:$A$123</xm:f>
          </x14:formula1>
          <xm:sqref>B44</xm:sqref>
        </x14:dataValidation>
        <x14:dataValidation type="list" allowBlank="1" showInputMessage="1" showErrorMessage="1" xr:uid="{E38F3D01-73D8-FD42-9DA6-591B867B7CB5}">
          <x14:formula1>
            <xm:f>Database!$A$119:$A$121</xm:f>
          </x14:formula1>
          <xm:sqref>B34:B36</xm:sqref>
        </x14:dataValidation>
        <x14:dataValidation type="list" allowBlank="1" showInputMessage="1" showErrorMessage="1" xr:uid="{52CC3C23-990D-0842-AC90-8ED684E8D11C}">
          <x14:formula1>
            <xm:f>Database!$C$130:$S$130</xm:f>
          </x14:formula1>
          <xm:sqref>B54</xm:sqref>
        </x14:dataValidation>
        <x14:dataValidation type="list" allowBlank="1" showInputMessage="1" showErrorMessage="1" xr:uid="{86EA2E2C-A4D5-9B4E-A9D2-704975BB8049}">
          <x14:formula1>
            <xm:f>Database!$A$8:$A$64</xm:f>
          </x14:formula1>
          <xm:sqref>H16:K16</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AB830-BB86-434F-80B6-DAC5753A91A4}">
  <dimension ref="A1:K80"/>
  <sheetViews>
    <sheetView tabSelected="1" topLeftCell="A9" zoomScale="92" workbookViewId="0">
      <selection activeCell="C9" sqref="C9"/>
    </sheetView>
  </sheetViews>
  <sheetFormatPr baseColWidth="10" defaultRowHeight="13" x14ac:dyDescent="0.15"/>
  <cols>
    <col min="1" max="1" width="34.83203125" customWidth="1"/>
    <col min="2" max="2" width="27.5" style="81" customWidth="1"/>
    <col min="3" max="3" width="32.83203125" customWidth="1"/>
    <col min="4" max="4" width="24.83203125" style="81" customWidth="1"/>
    <col min="5" max="5" width="25.33203125" style="81" bestFit="1" customWidth="1"/>
    <col min="6" max="6" width="22.5" style="81" bestFit="1" customWidth="1"/>
    <col min="7" max="7" width="25.33203125" bestFit="1" customWidth="1"/>
    <col min="8" max="8" width="17.83203125" bestFit="1" customWidth="1"/>
    <col min="9" max="9" width="25.83203125" bestFit="1" customWidth="1"/>
    <col min="10" max="10" width="29.1640625" bestFit="1" customWidth="1"/>
  </cols>
  <sheetData>
    <row r="1" spans="1:11" x14ac:dyDescent="0.15">
      <c r="A1" s="50" t="s">
        <v>165</v>
      </c>
      <c r="B1" s="50"/>
      <c r="C1" s="81"/>
      <c r="G1" s="81"/>
      <c r="H1" s="81"/>
      <c r="I1" s="81"/>
      <c r="J1" s="81"/>
      <c r="K1" s="81"/>
    </row>
    <row r="2" spans="1:11" x14ac:dyDescent="0.15">
      <c r="A2" s="413" t="s">
        <v>158</v>
      </c>
      <c r="B2" s="413"/>
      <c r="C2" s="412"/>
      <c r="D2" s="412"/>
      <c r="E2" s="412"/>
      <c r="F2" s="412"/>
      <c r="G2" s="412"/>
      <c r="H2" s="412"/>
      <c r="I2" s="412"/>
      <c r="J2" s="412"/>
      <c r="K2" s="412"/>
    </row>
    <row r="3" spans="1:11" s="81" customFormat="1" x14ac:dyDescent="0.15">
      <c r="A3" s="438" t="s">
        <v>1059</v>
      </c>
      <c r="B3" s="438"/>
      <c r="C3" s="439"/>
      <c r="D3" s="439"/>
      <c r="E3" s="439"/>
      <c r="F3" s="439"/>
      <c r="G3" s="439"/>
      <c r="H3" s="439"/>
      <c r="I3" s="439"/>
      <c r="J3" s="439"/>
      <c r="K3" s="439"/>
    </row>
    <row r="4" spans="1:11" s="81" customFormat="1" x14ac:dyDescent="0.15">
      <c r="A4" s="77" t="s">
        <v>214</v>
      </c>
      <c r="B4" s="77"/>
      <c r="C4" s="78"/>
      <c r="D4" s="78"/>
      <c r="E4" s="78"/>
      <c r="F4" s="78"/>
      <c r="G4" s="78"/>
      <c r="H4" s="78"/>
      <c r="I4" s="78"/>
      <c r="J4" s="78"/>
      <c r="K4" s="78"/>
    </row>
    <row r="5" spans="1:11" x14ac:dyDescent="0.15">
      <c r="A5" s="414" t="s">
        <v>159</v>
      </c>
      <c r="B5" s="414"/>
      <c r="C5" s="412"/>
      <c r="D5" s="412"/>
      <c r="E5" s="412"/>
      <c r="F5" s="412"/>
      <c r="G5" s="412"/>
      <c r="H5" s="412"/>
      <c r="I5" s="412"/>
      <c r="J5" s="412"/>
      <c r="K5" s="412"/>
    </row>
    <row r="6" spans="1:11" x14ac:dyDescent="0.15">
      <c r="A6" s="79" t="s">
        <v>215</v>
      </c>
      <c r="B6" s="79"/>
      <c r="C6" s="80"/>
      <c r="D6" s="80"/>
      <c r="E6" s="80"/>
      <c r="F6" s="80"/>
      <c r="G6" s="80"/>
      <c r="H6" s="80"/>
      <c r="I6" s="80"/>
      <c r="J6" s="80"/>
      <c r="K6" s="80"/>
    </row>
    <row r="7" spans="1:11" x14ac:dyDescent="0.15">
      <c r="A7" s="72" t="s">
        <v>206</v>
      </c>
      <c r="B7" s="72"/>
      <c r="C7" s="81"/>
      <c r="G7" s="81"/>
      <c r="H7" s="81"/>
      <c r="I7" s="81"/>
      <c r="J7" s="81"/>
      <c r="K7" s="81"/>
    </row>
    <row r="8" spans="1:11" s="81" customFormat="1" x14ac:dyDescent="0.15">
      <c r="A8" s="47" t="s">
        <v>164</v>
      </c>
      <c r="B8" s="47"/>
      <c r="C8" s="47"/>
      <c r="D8" s="47"/>
      <c r="E8" s="47"/>
      <c r="F8" s="47"/>
      <c r="G8" s="47"/>
      <c r="H8" s="47"/>
      <c r="I8" s="47"/>
      <c r="J8" s="47"/>
      <c r="K8" s="47"/>
    </row>
    <row r="9" spans="1:11" s="81" customFormat="1" x14ac:dyDescent="0.15">
      <c r="A9"/>
      <c r="C9"/>
      <c r="G9"/>
      <c r="H9"/>
      <c r="I9"/>
      <c r="J9"/>
      <c r="K9"/>
    </row>
    <row r="10" spans="1:11" s="81" customFormat="1" ht="16" x14ac:dyDescent="0.2">
      <c r="A10" s="2" t="s">
        <v>211</v>
      </c>
      <c r="B10" s="2"/>
      <c r="C10" s="83"/>
      <c r="D10" s="83"/>
      <c r="E10" s="83"/>
      <c r="F10" s="83"/>
      <c r="H10"/>
      <c r="I10"/>
      <c r="J10"/>
      <c r="K10"/>
    </row>
    <row r="11" spans="1:11" s="97" customFormat="1" ht="16" x14ac:dyDescent="0.2">
      <c r="A11" s="2"/>
      <c r="B11" s="155" t="s">
        <v>879</v>
      </c>
      <c r="C11" s="155" t="s">
        <v>880</v>
      </c>
      <c r="D11" s="98"/>
      <c r="E11" s="98"/>
      <c r="F11" s="98"/>
    </row>
    <row r="12" spans="1:11" s="97" customFormat="1" ht="16" x14ac:dyDescent="0.2">
      <c r="A12" s="155" t="s">
        <v>231</v>
      </c>
      <c r="B12" s="321">
        <f>facility_size_pilot</f>
        <v>220</v>
      </c>
      <c r="C12" s="333">
        <f>facility_size_pilot*percent_production_area_pilot</f>
        <v>49.5</v>
      </c>
      <c r="D12" s="98"/>
      <c r="E12" s="98"/>
      <c r="F12" s="98"/>
    </row>
    <row r="13" spans="1:11" s="97" customFormat="1" ht="16" x14ac:dyDescent="0.2">
      <c r="A13" s="155" t="s">
        <v>423</v>
      </c>
      <c r="B13" s="321">
        <f>facility_size_full</f>
        <v>220</v>
      </c>
      <c r="C13" s="333">
        <f>facility_size_full*percent_production_area_full</f>
        <v>99</v>
      </c>
      <c r="D13" s="98"/>
      <c r="E13" s="98"/>
      <c r="F13" s="98"/>
    </row>
    <row r="14" spans="1:11" ht="16" x14ac:dyDescent="0.2">
      <c r="A14" s="2"/>
      <c r="B14" s="2"/>
      <c r="C14" s="83"/>
      <c r="D14" s="83"/>
      <c r="E14" s="83"/>
      <c r="F14" s="428" t="s">
        <v>248</v>
      </c>
      <c r="G14" s="428"/>
      <c r="H14" s="428"/>
      <c r="I14" s="428"/>
      <c r="J14" s="81"/>
      <c r="K14" s="81"/>
    </row>
    <row r="15" spans="1:11" ht="17" x14ac:dyDescent="0.2">
      <c r="A15" s="222" t="s">
        <v>230</v>
      </c>
      <c r="B15" s="155" t="s">
        <v>235</v>
      </c>
      <c r="C15" s="155" t="s">
        <v>231</v>
      </c>
      <c r="D15" s="155" t="s">
        <v>424</v>
      </c>
      <c r="E15" s="155" t="s">
        <v>249</v>
      </c>
      <c r="F15" s="223" t="s">
        <v>233</v>
      </c>
      <c r="G15" s="224" t="s">
        <v>232</v>
      </c>
      <c r="H15" s="154" t="s">
        <v>228</v>
      </c>
      <c r="I15" s="154" t="s">
        <v>229</v>
      </c>
      <c r="J15" s="81"/>
      <c r="K15" s="38"/>
    </row>
    <row r="16" spans="1:11" s="81" customFormat="1" ht="16" x14ac:dyDescent="0.2">
      <c r="A16" s="155" t="s">
        <v>256</v>
      </c>
      <c r="B16" s="319">
        <v>0</v>
      </c>
      <c r="C16" s="295">
        <v>0</v>
      </c>
      <c r="D16" s="295">
        <v>0</v>
      </c>
      <c r="E16" s="226">
        <f>D16/$D$38</f>
        <v>0</v>
      </c>
      <c r="F16" s="227"/>
      <c r="G16" s="154">
        <v>15</v>
      </c>
      <c r="H16" s="228">
        <f>1/G16</f>
        <v>6.6666666666666666E-2</v>
      </c>
      <c r="I16" s="292">
        <f t="shared" ref="I16:I20" si="0">H16*(D16+C16)</f>
        <v>0</v>
      </c>
      <c r="J16"/>
      <c r="K16" s="38"/>
    </row>
    <row r="17" spans="1:11" s="81" customFormat="1" ht="16" x14ac:dyDescent="0.2">
      <c r="A17" s="155" t="s">
        <v>257</v>
      </c>
      <c r="B17" s="319">
        <v>0</v>
      </c>
      <c r="C17" s="295">
        <v>0</v>
      </c>
      <c r="D17" s="295">
        <v>3850</v>
      </c>
      <c r="E17" s="226">
        <f>D17/$D$38</f>
        <v>3.795758609470664E-2</v>
      </c>
      <c r="F17" s="227"/>
      <c r="G17" s="155">
        <v>15</v>
      </c>
      <c r="H17" s="228">
        <f>1/G17</f>
        <v>6.6666666666666666E-2</v>
      </c>
      <c r="I17" s="292">
        <f t="shared" si="0"/>
        <v>256.66666666666669</v>
      </c>
      <c r="J17"/>
      <c r="K17"/>
    </row>
    <row r="18" spans="1:11" s="81" customFormat="1" ht="16" x14ac:dyDescent="0.2">
      <c r="A18" s="155" t="s">
        <v>258</v>
      </c>
      <c r="B18" s="319">
        <v>0</v>
      </c>
      <c r="C18" s="295">
        <v>0</v>
      </c>
      <c r="D18" s="295">
        <v>4250</v>
      </c>
      <c r="E18" s="226">
        <f>D18/$D$38</f>
        <v>4.1901231403247592E-2</v>
      </c>
      <c r="F18" s="227"/>
      <c r="G18" s="154">
        <v>15</v>
      </c>
      <c r="H18" s="228">
        <f>1/G18</f>
        <v>6.6666666666666666E-2</v>
      </c>
      <c r="I18" s="292">
        <f>H18*(D18+C18)</f>
        <v>283.33333333333331</v>
      </c>
      <c r="J18"/>
      <c r="K18"/>
    </row>
    <row r="19" spans="1:11" s="81" customFormat="1" ht="16" x14ac:dyDescent="0.2">
      <c r="A19" s="155" t="s">
        <v>255</v>
      </c>
      <c r="B19" s="319">
        <v>0</v>
      </c>
      <c r="C19" s="295">
        <v>0</v>
      </c>
      <c r="D19" s="295">
        <v>0</v>
      </c>
      <c r="E19" s="226">
        <f>D19/$D$38</f>
        <v>0</v>
      </c>
      <c r="F19" s="227"/>
      <c r="G19" s="229"/>
      <c r="H19" s="230"/>
      <c r="I19" s="292">
        <f t="shared" si="0"/>
        <v>0</v>
      </c>
    </row>
    <row r="20" spans="1:11" s="81" customFormat="1" ht="16" x14ac:dyDescent="0.2">
      <c r="A20" s="155" t="s">
        <v>237</v>
      </c>
      <c r="B20" s="295">
        <v>0</v>
      </c>
      <c r="C20" s="295">
        <v>0</v>
      </c>
      <c r="D20" s="295">
        <v>9029</v>
      </c>
      <c r="E20" s="226">
        <f>D20/$D$38</f>
        <v>8.9017933727040588E-2</v>
      </c>
      <c r="F20" s="227"/>
      <c r="G20" s="229"/>
      <c r="H20" s="230"/>
      <c r="I20" s="292">
        <f t="shared" si="0"/>
        <v>0</v>
      </c>
    </row>
    <row r="21" spans="1:11" s="81" customFormat="1" ht="16" x14ac:dyDescent="0.2">
      <c r="A21" s="222" t="s">
        <v>227</v>
      </c>
      <c r="B21" s="295">
        <f>SUM(B16:B20)</f>
        <v>0</v>
      </c>
      <c r="C21" s="295">
        <v>10220</v>
      </c>
      <c r="D21" s="295">
        <v>14929</v>
      </c>
      <c r="E21" s="226">
        <f>D21/D38</f>
        <v>0.14718670202801959</v>
      </c>
      <c r="F21" s="227"/>
      <c r="G21" s="229"/>
      <c r="H21" s="230"/>
      <c r="I21" s="293">
        <f>SUM(I16:I20)</f>
        <v>540</v>
      </c>
    </row>
    <row r="22" spans="1:11" s="81" customFormat="1" x14ac:dyDescent="0.15">
      <c r="A22" s="11"/>
      <c r="B22" s="11"/>
      <c r="C22" s="82"/>
      <c r="D22" s="82"/>
      <c r="E22" s="88"/>
      <c r="F22" s="82"/>
      <c r="I22" s="87"/>
    </row>
    <row r="23" spans="1:11" s="81" customFormat="1" ht="17" x14ac:dyDescent="0.2">
      <c r="A23" s="222" t="s">
        <v>236</v>
      </c>
      <c r="B23" s="155" t="s">
        <v>235</v>
      </c>
      <c r="C23" s="155" t="s">
        <v>231</v>
      </c>
      <c r="D23" s="155" t="s">
        <v>424</v>
      </c>
      <c r="E23" s="155" t="s">
        <v>249</v>
      </c>
      <c r="F23" s="223" t="s">
        <v>233</v>
      </c>
      <c r="G23" s="224" t="s">
        <v>232</v>
      </c>
      <c r="H23" s="154" t="s">
        <v>228</v>
      </c>
      <c r="I23" s="154" t="s">
        <v>229</v>
      </c>
    </row>
    <row r="24" spans="1:11" s="81" customFormat="1" ht="16" x14ac:dyDescent="0.2">
      <c r="A24" s="155" t="s">
        <v>250</v>
      </c>
      <c r="B24" s="319">
        <v>0</v>
      </c>
      <c r="C24" s="295">
        <v>0</v>
      </c>
      <c r="D24" s="295">
        <f ca="1">D39*$B$77</f>
        <v>956.88552959999993</v>
      </c>
      <c r="E24" s="226">
        <f t="shared" ref="E24:E34" ca="1" si="1">D24/$D$38</f>
        <v>9.434042824044404E-3</v>
      </c>
      <c r="F24" s="155">
        <f>G24*365*24</f>
        <v>87600</v>
      </c>
      <c r="G24" s="155">
        <v>10</v>
      </c>
      <c r="H24" s="228">
        <f>1/G24</f>
        <v>0.1</v>
      </c>
      <c r="I24" s="292">
        <f t="shared" ref="I24" ca="1" si="2">H24*D24</f>
        <v>95.688552959999996</v>
      </c>
    </row>
    <row r="25" spans="1:11" s="81" customFormat="1" ht="16" x14ac:dyDescent="0.2">
      <c r="A25" s="155" t="s">
        <v>251</v>
      </c>
      <c r="B25" s="319">
        <v>0</v>
      </c>
      <c r="C25" s="295">
        <f>33000</f>
        <v>33000</v>
      </c>
      <c r="D25" s="295">
        <v>87165</v>
      </c>
      <c r="E25" s="226">
        <f t="shared" si="1"/>
        <v>0.8593696082974297</v>
      </c>
      <c r="F25" s="303">
        <f>VLOOKUP(Overview!B38, Database!A79:Y100, 16, FALSE)*0.8</f>
        <v>48000</v>
      </c>
      <c r="G25" s="154">
        <f>(F25/Overview!L19)/365</f>
        <v>8.323218311080284</v>
      </c>
      <c r="H25" s="228">
        <f>1/G25</f>
        <v>0.12014583333333334</v>
      </c>
      <c r="I25" s="292">
        <f>(C25+D25)*H25</f>
        <v>14437.324062500002</v>
      </c>
      <c r="J25"/>
      <c r="K25"/>
    </row>
    <row r="26" spans="1:11" s="81" customFormat="1" ht="16" x14ac:dyDescent="0.2">
      <c r="A26" s="155" t="s">
        <v>252</v>
      </c>
      <c r="B26" s="319">
        <v>0</v>
      </c>
      <c r="C26" s="295">
        <v>33000</v>
      </c>
      <c r="D26" s="295">
        <v>2700</v>
      </c>
      <c r="E26" s="226">
        <f t="shared" si="1"/>
        <v>2.6619605832651411E-2</v>
      </c>
      <c r="F26" s="304">
        <f>G26*365*24</f>
        <v>87600</v>
      </c>
      <c r="G26" s="155">
        <v>10</v>
      </c>
      <c r="H26" s="228">
        <f>1/G26</f>
        <v>0.1</v>
      </c>
      <c r="I26" s="292">
        <f t="shared" ref="I26:I30" si="3">H26*(D26+C26)</f>
        <v>3570</v>
      </c>
    </row>
    <row r="27" spans="1:11" s="81" customFormat="1" ht="16" x14ac:dyDescent="0.2">
      <c r="A27" s="155" t="s">
        <v>253</v>
      </c>
      <c r="B27" s="319">
        <v>0</v>
      </c>
      <c r="C27" s="295">
        <v>4400</v>
      </c>
      <c r="D27" s="295">
        <v>55071</v>
      </c>
      <c r="E27" s="226">
        <f t="shared" si="1"/>
        <v>0.54295122696664666</v>
      </c>
      <c r="F27" s="304">
        <f t="shared" ref="F27:F32" si="4">G27*365*24</f>
        <v>87600</v>
      </c>
      <c r="G27" s="155">
        <v>10</v>
      </c>
      <c r="H27" s="228">
        <f t="shared" ref="H27:H34" si="5">1/G27</f>
        <v>0.1</v>
      </c>
      <c r="I27" s="292">
        <f t="shared" si="3"/>
        <v>5947.1</v>
      </c>
      <c r="J27"/>
      <c r="K27"/>
    </row>
    <row r="28" spans="1:11" s="81" customFormat="1" ht="16" x14ac:dyDescent="0.2">
      <c r="A28" s="155" t="s">
        <v>254</v>
      </c>
      <c r="B28" s="319">
        <v>0</v>
      </c>
      <c r="C28" s="295">
        <v>4400</v>
      </c>
      <c r="D28" s="295">
        <v>0</v>
      </c>
      <c r="E28" s="226">
        <f t="shared" si="1"/>
        <v>0</v>
      </c>
      <c r="F28" s="304">
        <f t="shared" si="4"/>
        <v>87600</v>
      </c>
      <c r="G28" s="155">
        <v>10</v>
      </c>
      <c r="H28" s="228">
        <f t="shared" si="5"/>
        <v>0.1</v>
      </c>
      <c r="I28" s="292">
        <f t="shared" si="3"/>
        <v>440</v>
      </c>
    </row>
    <row r="29" spans="1:11" ht="16" x14ac:dyDescent="0.2">
      <c r="A29" s="155" t="s">
        <v>222</v>
      </c>
      <c r="B29" s="295">
        <v>0</v>
      </c>
      <c r="C29" s="295">
        <v>2877.19</v>
      </c>
      <c r="D29" s="295">
        <v>0</v>
      </c>
      <c r="E29" s="226">
        <f t="shared" si="1"/>
        <v>0</v>
      </c>
      <c r="F29" s="304">
        <f t="shared" si="4"/>
        <v>87600</v>
      </c>
      <c r="G29" s="155">
        <v>10</v>
      </c>
      <c r="H29" s="228">
        <f t="shared" si="5"/>
        <v>0.1</v>
      </c>
      <c r="I29" s="292">
        <f t="shared" si="3"/>
        <v>287.71899999999999</v>
      </c>
      <c r="J29" s="81"/>
      <c r="K29" s="81"/>
    </row>
    <row r="30" spans="1:11" ht="16" x14ac:dyDescent="0.2">
      <c r="A30" s="155" t="s">
        <v>234</v>
      </c>
      <c r="B30" s="295">
        <v>0</v>
      </c>
      <c r="C30" s="295">
        <v>4400</v>
      </c>
      <c r="D30" s="295">
        <v>0</v>
      </c>
      <c r="E30" s="226">
        <f t="shared" si="1"/>
        <v>0</v>
      </c>
      <c r="F30" s="304">
        <f t="shared" si="4"/>
        <v>87600</v>
      </c>
      <c r="G30" s="155">
        <v>10</v>
      </c>
      <c r="H30" s="228">
        <f t="shared" si="5"/>
        <v>0.1</v>
      </c>
      <c r="I30" s="292">
        <f t="shared" si="3"/>
        <v>440</v>
      </c>
      <c r="J30" s="81"/>
      <c r="K30" s="81"/>
    </row>
    <row r="31" spans="1:11" ht="16" x14ac:dyDescent="0.2">
      <c r="A31" s="155" t="s">
        <v>223</v>
      </c>
      <c r="B31" s="295">
        <v>0</v>
      </c>
      <c r="C31" s="295">
        <v>4795.32</v>
      </c>
      <c r="D31" s="295">
        <v>0</v>
      </c>
      <c r="E31" s="226">
        <f t="shared" si="1"/>
        <v>0</v>
      </c>
      <c r="F31" s="304">
        <f t="shared" si="4"/>
        <v>87600</v>
      </c>
      <c r="G31" s="155">
        <v>10</v>
      </c>
      <c r="H31" s="228">
        <f t="shared" si="5"/>
        <v>0.1</v>
      </c>
      <c r="I31" s="292">
        <f>H31*(D31+C31)</f>
        <v>479.53199999999998</v>
      </c>
      <c r="J31" s="81"/>
      <c r="K31" s="81"/>
    </row>
    <row r="32" spans="1:11" ht="16" x14ac:dyDescent="0.2">
      <c r="A32" s="155" t="s">
        <v>224</v>
      </c>
      <c r="B32" s="319">
        <v>0</v>
      </c>
      <c r="C32" s="295">
        <v>0</v>
      </c>
      <c r="D32" s="295">
        <v>0</v>
      </c>
      <c r="E32" s="226">
        <f t="shared" si="1"/>
        <v>0</v>
      </c>
      <c r="F32" s="304">
        <f t="shared" si="4"/>
        <v>87600</v>
      </c>
      <c r="G32" s="155">
        <v>10</v>
      </c>
      <c r="H32" s="228">
        <f t="shared" si="5"/>
        <v>0.1</v>
      </c>
      <c r="I32" s="292">
        <f>H32*(D32+C32)</f>
        <v>0</v>
      </c>
      <c r="J32" s="81"/>
      <c r="K32" s="81"/>
    </row>
    <row r="33" spans="1:11" ht="16" x14ac:dyDescent="0.2">
      <c r="A33" s="155" t="s">
        <v>225</v>
      </c>
      <c r="B33" s="319">
        <v>0</v>
      </c>
      <c r="C33" s="295">
        <f t="shared" ref="C33" si="6">B33*$B$12</f>
        <v>0</v>
      </c>
      <c r="D33" s="295">
        <v>0</v>
      </c>
      <c r="E33" s="226">
        <f t="shared" si="1"/>
        <v>0</v>
      </c>
      <c r="F33" s="304">
        <f>G33*365*24</f>
        <v>87600</v>
      </c>
      <c r="G33" s="155">
        <v>10</v>
      </c>
      <c r="H33" s="228">
        <f t="shared" si="5"/>
        <v>0.1</v>
      </c>
      <c r="I33" s="292">
        <f>H33*(D33+C33)</f>
        <v>0</v>
      </c>
      <c r="J33" s="81"/>
      <c r="K33" s="81"/>
    </row>
    <row r="34" spans="1:11" s="370" customFormat="1" ht="16" x14ac:dyDescent="0.2">
      <c r="A34" s="155" t="s">
        <v>958</v>
      </c>
      <c r="B34" s="319">
        <v>0</v>
      </c>
      <c r="C34" s="295">
        <v>0</v>
      </c>
      <c r="D34" s="295">
        <v>9548</v>
      </c>
      <c r="E34" s="226">
        <f t="shared" si="1"/>
        <v>9.4134813514872476E-2</v>
      </c>
      <c r="F34" s="304">
        <f>G34*365*24</f>
        <v>87600</v>
      </c>
      <c r="G34" s="155">
        <v>10</v>
      </c>
      <c r="H34" s="228">
        <f t="shared" si="5"/>
        <v>0.1</v>
      </c>
      <c r="I34" s="292">
        <f>H34*(D34+C34)</f>
        <v>954.80000000000007</v>
      </c>
    </row>
    <row r="35" spans="1:11" ht="16" x14ac:dyDescent="0.2">
      <c r="A35" s="222" t="s">
        <v>810</v>
      </c>
      <c r="B35" s="320">
        <v>0</v>
      </c>
      <c r="C35" s="295">
        <v>67984</v>
      </c>
      <c r="D35" s="295">
        <v>86500</v>
      </c>
      <c r="E35" s="226">
        <f>D35/$D$38</f>
        <v>0.85281329797198036</v>
      </c>
      <c r="F35" s="225"/>
      <c r="G35" s="154"/>
      <c r="H35" s="228"/>
      <c r="I35" s="292">
        <f ca="1">SUM(I24:I34)</f>
        <v>26652.163615459998</v>
      </c>
      <c r="J35" s="81"/>
      <c r="K35" s="81"/>
    </row>
    <row r="36" spans="1:11" x14ac:dyDescent="0.15">
      <c r="A36" s="82"/>
      <c r="B36" s="82"/>
      <c r="C36" s="82"/>
      <c r="D36" s="82"/>
      <c r="E36" s="82"/>
      <c r="F36" s="82"/>
      <c r="G36" s="81"/>
      <c r="H36" s="81"/>
      <c r="I36" s="81"/>
      <c r="J36" s="81"/>
      <c r="K36" s="81"/>
    </row>
    <row r="37" spans="1:11" ht="16" x14ac:dyDescent="0.2">
      <c r="A37" s="48"/>
      <c r="B37" s="48"/>
      <c r="C37" s="48" t="s">
        <v>279</v>
      </c>
      <c r="D37" s="48" t="s">
        <v>278</v>
      </c>
      <c r="E37" s="48" t="s">
        <v>280</v>
      </c>
      <c r="F37" s="48"/>
      <c r="G37" s="58"/>
      <c r="H37" s="58"/>
      <c r="I37" s="58" t="s">
        <v>281</v>
      </c>
      <c r="J37" s="81"/>
      <c r="K37" s="81"/>
    </row>
    <row r="38" spans="1:11" ht="16" x14ac:dyDescent="0.2">
      <c r="A38" s="305" t="s">
        <v>226</v>
      </c>
      <c r="B38" s="305"/>
      <c r="C38" s="316">
        <f>C35+C21</f>
        <v>78204</v>
      </c>
      <c r="D38" s="316">
        <f>D35+D21</f>
        <v>101429</v>
      </c>
      <c r="E38" s="316">
        <f>D38+C38</f>
        <v>179633</v>
      </c>
      <c r="F38" s="306"/>
      <c r="G38" s="307"/>
      <c r="H38" s="307"/>
      <c r="I38" s="306">
        <f ca="1">I35+I21</f>
        <v>27192.163615459998</v>
      </c>
    </row>
    <row r="39" spans="1:11" ht="16" x14ac:dyDescent="0.2">
      <c r="A39" s="317" t="s">
        <v>815</v>
      </c>
      <c r="C39" s="318">
        <f ca="1">LOOKUP(Overview!$B$12, 'CapEx Breakdown'!$D$45:$H$45, 'CapEx Breakdown'!$D$52:$G$52)*C12</f>
        <v>106320.61440000001</v>
      </c>
      <c r="D39" s="318">
        <f ca="1">(LOOKUP(Overview!$B$12, 'CapEx Breakdown'!$D$45:$H$45, 'CapEx Breakdown'!$D$52:$G$52)*C13)-C39</f>
        <v>106320.61440000001</v>
      </c>
      <c r="E39" s="318">
        <f ca="1">SUM(C39:D39)</f>
        <v>212641.22880000001</v>
      </c>
    </row>
    <row r="41" spans="1:11" x14ac:dyDescent="0.15">
      <c r="C41" s="267"/>
    </row>
    <row r="42" spans="1:11" ht="16" x14ac:dyDescent="0.2">
      <c r="A42" s="60" t="s">
        <v>808</v>
      </c>
    </row>
    <row r="44" spans="1:11" s="81" customFormat="1" ht="16" x14ac:dyDescent="0.2">
      <c r="A44" s="60" t="s">
        <v>238</v>
      </c>
      <c r="B44" s="58"/>
      <c r="C44" s="58"/>
      <c r="D44" s="58"/>
      <c r="E44" s="38"/>
    </row>
    <row r="45" spans="1:11" ht="16" x14ac:dyDescent="0.2">
      <c r="A45" s="187" t="s">
        <v>240</v>
      </c>
      <c r="B45" s="154" t="s">
        <v>246</v>
      </c>
      <c r="C45" s="154" t="s">
        <v>247</v>
      </c>
      <c r="D45" s="154" t="s">
        <v>811</v>
      </c>
      <c r="E45" s="154" t="s">
        <v>812</v>
      </c>
      <c r="F45" s="154" t="s">
        <v>807</v>
      </c>
      <c r="G45" s="154" t="s">
        <v>816</v>
      </c>
      <c r="H45" s="154" t="s">
        <v>817</v>
      </c>
      <c r="J45" s="309" t="s">
        <v>813</v>
      </c>
      <c r="K45" s="154" t="s">
        <v>814</v>
      </c>
    </row>
    <row r="46" spans="1:11" ht="16" x14ac:dyDescent="0.2">
      <c r="A46" s="297" t="s">
        <v>239</v>
      </c>
      <c r="B46" s="154"/>
      <c r="C46" s="154"/>
      <c r="D46" s="154"/>
      <c r="E46" s="154"/>
      <c r="F46" s="154"/>
      <c r="G46" s="154"/>
      <c r="H46" s="165"/>
      <c r="J46" s="154" t="e" vm="1">
        <v>#VALUE!</v>
      </c>
      <c r="K46" s="311" cm="1">
        <f t="array" ref="K46">_FV(J46,"Price")</f>
        <v>0.8397</v>
      </c>
    </row>
    <row r="47" spans="1:11" ht="16" x14ac:dyDescent="0.2">
      <c r="A47" s="154" t="s">
        <v>241</v>
      </c>
      <c r="B47" s="310">
        <v>795</v>
      </c>
      <c r="C47" s="310">
        <v>798</v>
      </c>
      <c r="D47" s="313">
        <f t="shared" ref="D47:D57" si="7">$K$47*C47</f>
        <v>575.19839999999999</v>
      </c>
      <c r="E47" s="314">
        <f>$K$46*C47</f>
        <v>670.0806</v>
      </c>
      <c r="F47" s="292">
        <f t="shared" ref="F47:F57" si="8">$K$48*C47</f>
        <v>1030.0583999999999</v>
      </c>
      <c r="G47" s="315">
        <f t="shared" ref="G47:G57" si="9">$K$49*C47</f>
        <v>86894.22</v>
      </c>
      <c r="H47" s="310">
        <f>C47</f>
        <v>798</v>
      </c>
      <c r="J47" s="298" t="e" vm="2">
        <v>#VALUE!</v>
      </c>
      <c r="K47" s="166" cm="1">
        <f t="array" ref="K47">_FV(J47,"Price")</f>
        <v>0.7208</v>
      </c>
    </row>
    <row r="48" spans="1:11" ht="16" x14ac:dyDescent="0.2">
      <c r="A48" s="154" t="s">
        <v>242</v>
      </c>
      <c r="B48" s="310">
        <v>437</v>
      </c>
      <c r="C48" s="310">
        <v>478</v>
      </c>
      <c r="D48" s="313">
        <f t="shared" si="7"/>
        <v>344.54239999999999</v>
      </c>
      <c r="E48" s="314">
        <f t="shared" ref="E48:E57" si="10">$K$46*C48</f>
        <v>401.3766</v>
      </c>
      <c r="F48" s="292">
        <f t="shared" si="8"/>
        <v>617.00239999999997</v>
      </c>
      <c r="G48" s="315">
        <f t="shared" si="9"/>
        <v>52049.42</v>
      </c>
      <c r="H48" s="310">
        <f t="shared" ref="H48:H57" si="11">C48</f>
        <v>478</v>
      </c>
      <c r="J48" s="298" t="e" vm="3">
        <v>#VALUE!</v>
      </c>
      <c r="K48" s="294" cm="1">
        <f t="array" ref="K48">_FV(J48,"Price")</f>
        <v>1.2907999999999999</v>
      </c>
    </row>
    <row r="49" spans="1:11" ht="16" x14ac:dyDescent="0.2">
      <c r="A49" s="154" t="s">
        <v>243</v>
      </c>
      <c r="B49" s="310">
        <v>995</v>
      </c>
      <c r="C49" s="310">
        <v>886</v>
      </c>
      <c r="D49" s="313">
        <f t="shared" si="7"/>
        <v>638.62879999999996</v>
      </c>
      <c r="E49" s="314">
        <f t="shared" si="10"/>
        <v>743.9742</v>
      </c>
      <c r="F49" s="292">
        <f t="shared" si="8"/>
        <v>1143.6487999999999</v>
      </c>
      <c r="G49" s="315">
        <f t="shared" si="9"/>
        <v>96476.54</v>
      </c>
      <c r="H49" s="310">
        <f t="shared" si="11"/>
        <v>886</v>
      </c>
      <c r="J49" s="298" t="e" vm="4">
        <v>#VALUE!</v>
      </c>
      <c r="K49" s="312" cm="1">
        <f t="array" ref="K49">_FV(J49,"Price")</f>
        <v>108.89</v>
      </c>
    </row>
    <row r="50" spans="1:11" ht="16" x14ac:dyDescent="0.2">
      <c r="A50" s="297" t="s">
        <v>244</v>
      </c>
      <c r="B50" s="310"/>
      <c r="C50" s="310"/>
      <c r="D50" s="313">
        <f t="shared" si="7"/>
        <v>0</v>
      </c>
      <c r="E50" s="314">
        <f t="shared" si="10"/>
        <v>0</v>
      </c>
      <c r="F50" s="292">
        <f t="shared" si="8"/>
        <v>0</v>
      </c>
      <c r="G50" s="315">
        <f t="shared" si="9"/>
        <v>0</v>
      </c>
      <c r="H50" s="310">
        <f t="shared" si="11"/>
        <v>0</v>
      </c>
      <c r="I50" s="308"/>
    </row>
    <row r="51" spans="1:11" ht="16" x14ac:dyDescent="0.2">
      <c r="A51" s="154" t="s">
        <v>241</v>
      </c>
      <c r="B51" s="310">
        <v>2490</v>
      </c>
      <c r="C51" s="310">
        <v>2534</v>
      </c>
      <c r="D51" s="313">
        <f t="shared" si="7"/>
        <v>1826.5072</v>
      </c>
      <c r="E51" s="314">
        <f t="shared" si="10"/>
        <v>2127.7998000000002</v>
      </c>
      <c r="F51" s="292">
        <f t="shared" si="8"/>
        <v>3270.8871999999997</v>
      </c>
      <c r="G51" s="315">
        <f t="shared" si="9"/>
        <v>275927.26</v>
      </c>
      <c r="H51" s="310">
        <f t="shared" si="11"/>
        <v>2534</v>
      </c>
      <c r="I51" s="308"/>
    </row>
    <row r="52" spans="1:11" ht="16" x14ac:dyDescent="0.2">
      <c r="A52" s="154" t="s">
        <v>242</v>
      </c>
      <c r="B52" s="310">
        <v>1328</v>
      </c>
      <c r="C52" s="310">
        <v>1664</v>
      </c>
      <c r="D52" s="313">
        <f t="shared" si="7"/>
        <v>1199.4112</v>
      </c>
      <c r="E52" s="314">
        <f t="shared" si="10"/>
        <v>1397.2608</v>
      </c>
      <c r="F52" s="292">
        <f t="shared" si="8"/>
        <v>2147.8912</v>
      </c>
      <c r="G52" s="315">
        <f t="shared" si="9"/>
        <v>181192.95999999999</v>
      </c>
      <c r="H52" s="310">
        <f t="shared" si="11"/>
        <v>1664</v>
      </c>
      <c r="I52" s="308"/>
    </row>
    <row r="53" spans="1:11" ht="16" x14ac:dyDescent="0.2">
      <c r="A53" s="154" t="s">
        <v>243</v>
      </c>
      <c r="B53" s="310">
        <v>2490</v>
      </c>
      <c r="C53" s="310">
        <v>2878</v>
      </c>
      <c r="D53" s="313">
        <f t="shared" si="7"/>
        <v>2074.4623999999999</v>
      </c>
      <c r="E53" s="314">
        <f t="shared" si="10"/>
        <v>2416.6565999999998</v>
      </c>
      <c r="F53" s="292">
        <f t="shared" si="8"/>
        <v>3714.9223999999999</v>
      </c>
      <c r="G53" s="315">
        <f t="shared" si="9"/>
        <v>313385.42</v>
      </c>
      <c r="H53" s="310">
        <f t="shared" si="11"/>
        <v>2878</v>
      </c>
      <c r="I53" s="308"/>
    </row>
    <row r="54" spans="1:11" ht="16" x14ac:dyDescent="0.2">
      <c r="A54" s="297" t="s">
        <v>245</v>
      </c>
      <c r="B54" s="310"/>
      <c r="C54" s="310"/>
      <c r="D54" s="313">
        <f t="shared" si="7"/>
        <v>0</v>
      </c>
      <c r="E54" s="314">
        <f t="shared" si="10"/>
        <v>0</v>
      </c>
      <c r="F54" s="292">
        <f t="shared" si="8"/>
        <v>0</v>
      </c>
      <c r="G54" s="315">
        <f t="shared" si="9"/>
        <v>0</v>
      </c>
      <c r="H54" s="310">
        <f t="shared" si="11"/>
        <v>0</v>
      </c>
      <c r="I54" s="308"/>
    </row>
    <row r="55" spans="1:11" ht="16" x14ac:dyDescent="0.2">
      <c r="A55" s="154" t="s">
        <v>241</v>
      </c>
      <c r="B55" s="310">
        <v>1936</v>
      </c>
      <c r="C55" s="310">
        <v>1946</v>
      </c>
      <c r="D55" s="313">
        <f t="shared" si="7"/>
        <v>1402.6768</v>
      </c>
      <c r="E55" s="314">
        <f t="shared" si="10"/>
        <v>1634.0562</v>
      </c>
      <c r="F55" s="292">
        <f t="shared" si="8"/>
        <v>2511.8968</v>
      </c>
      <c r="G55" s="315">
        <f t="shared" si="9"/>
        <v>211899.94</v>
      </c>
      <c r="H55" s="310">
        <f t="shared" si="11"/>
        <v>1946</v>
      </c>
      <c r="I55" s="308"/>
    </row>
    <row r="56" spans="1:11" ht="16" x14ac:dyDescent="0.2">
      <c r="A56" s="154" t="s">
        <v>242</v>
      </c>
      <c r="B56" s="310">
        <v>883</v>
      </c>
      <c r="C56" s="310">
        <v>1173</v>
      </c>
      <c r="D56" s="313">
        <f t="shared" si="7"/>
        <v>845.49839999999995</v>
      </c>
      <c r="E56" s="314">
        <f t="shared" si="10"/>
        <v>984.96810000000005</v>
      </c>
      <c r="F56" s="292">
        <f t="shared" si="8"/>
        <v>1514.1083999999998</v>
      </c>
      <c r="G56" s="315">
        <f t="shared" si="9"/>
        <v>127727.97</v>
      </c>
      <c r="H56" s="310">
        <f t="shared" si="11"/>
        <v>1173</v>
      </c>
      <c r="I56" s="308"/>
    </row>
    <row r="57" spans="1:11" ht="16" x14ac:dyDescent="0.2">
      <c r="A57" s="154" t="s">
        <v>243</v>
      </c>
      <c r="B57" s="310">
        <v>1787</v>
      </c>
      <c r="C57" s="310">
        <v>2173</v>
      </c>
      <c r="D57" s="313">
        <f t="shared" si="7"/>
        <v>1566.2983999999999</v>
      </c>
      <c r="E57" s="314">
        <f t="shared" si="10"/>
        <v>1824.6681000000001</v>
      </c>
      <c r="F57" s="292">
        <f t="shared" si="8"/>
        <v>2804.9083999999998</v>
      </c>
      <c r="G57" s="315">
        <f t="shared" si="9"/>
        <v>236617.97</v>
      </c>
      <c r="H57" s="310">
        <f t="shared" si="11"/>
        <v>2173</v>
      </c>
      <c r="I57" s="308"/>
    </row>
    <row r="58" spans="1:11" ht="16" x14ac:dyDescent="0.2">
      <c r="A58" s="58"/>
      <c r="B58" s="58"/>
      <c r="C58" s="58"/>
      <c r="D58" s="58"/>
    </row>
    <row r="59" spans="1:11" ht="16" x14ac:dyDescent="0.2">
      <c r="A59" s="187" t="s">
        <v>518</v>
      </c>
      <c r="B59" s="154" t="s">
        <v>527</v>
      </c>
      <c r="C59" s="154" t="s">
        <v>809</v>
      </c>
      <c r="D59" s="154" t="s">
        <v>528</v>
      </c>
    </row>
    <row r="60" spans="1:11" ht="16" x14ac:dyDescent="0.2">
      <c r="A60" s="154" t="s">
        <v>519</v>
      </c>
      <c r="B60" s="299">
        <f>SUM(B61:B65)</f>
        <v>1</v>
      </c>
      <c r="C60" s="299">
        <f>SUM(C61:C67)</f>
        <v>1</v>
      </c>
      <c r="D60" s="154">
        <f>B13</f>
        <v>220</v>
      </c>
    </row>
    <row r="61" spans="1:11" ht="16" x14ac:dyDescent="0.2">
      <c r="A61" s="154" t="s">
        <v>520</v>
      </c>
      <c r="B61" s="154">
        <f>50/1000</f>
        <v>0.05</v>
      </c>
      <c r="C61" s="154">
        <f>50/1000</f>
        <v>0.05</v>
      </c>
      <c r="D61" s="154">
        <f t="shared" ref="D61:D67" si="12">$D$60*C61</f>
        <v>11</v>
      </c>
    </row>
    <row r="62" spans="1:11" ht="16" x14ac:dyDescent="0.2">
      <c r="A62" s="154" t="s">
        <v>521</v>
      </c>
      <c r="B62" s="154">
        <f>250/1000</f>
        <v>0.25</v>
      </c>
      <c r="C62" s="154">
        <f>280/1000</f>
        <v>0.28000000000000003</v>
      </c>
      <c r="D62" s="154">
        <f t="shared" si="12"/>
        <v>61.600000000000009</v>
      </c>
    </row>
    <row r="63" spans="1:11" ht="16" x14ac:dyDescent="0.2">
      <c r="A63" s="154" t="s">
        <v>522</v>
      </c>
      <c r="B63" s="154">
        <f>124/1000</f>
        <v>0.124</v>
      </c>
      <c r="C63" s="154">
        <f>100/1000</f>
        <v>0.1</v>
      </c>
      <c r="D63" s="154">
        <f t="shared" si="12"/>
        <v>22</v>
      </c>
    </row>
    <row r="64" spans="1:11" ht="16" x14ac:dyDescent="0.2">
      <c r="A64" s="154" t="s">
        <v>523</v>
      </c>
      <c r="B64" s="154">
        <f>150/1000</f>
        <v>0.15</v>
      </c>
      <c r="C64" s="154">
        <f>150/1000</f>
        <v>0.15</v>
      </c>
      <c r="D64" s="154">
        <f t="shared" si="12"/>
        <v>33</v>
      </c>
    </row>
    <row r="65" spans="1:4" ht="16" x14ac:dyDescent="0.2">
      <c r="A65" s="154" t="s">
        <v>524</v>
      </c>
      <c r="B65" s="154">
        <f>426/1000</f>
        <v>0.42599999999999999</v>
      </c>
      <c r="C65" s="154">
        <f>300/1000</f>
        <v>0.3</v>
      </c>
      <c r="D65" s="154">
        <f t="shared" si="12"/>
        <v>66</v>
      </c>
    </row>
    <row r="66" spans="1:4" ht="16" x14ac:dyDescent="0.2">
      <c r="A66" s="154" t="s">
        <v>525</v>
      </c>
      <c r="B66" s="154"/>
      <c r="C66" s="154">
        <f>100/1000</f>
        <v>0.1</v>
      </c>
      <c r="D66" s="154">
        <f t="shared" si="12"/>
        <v>22</v>
      </c>
    </row>
    <row r="67" spans="1:4" ht="16" x14ac:dyDescent="0.2">
      <c r="A67" s="154" t="s">
        <v>526</v>
      </c>
      <c r="B67" s="154"/>
      <c r="C67" s="154">
        <f>20/1000</f>
        <v>0.02</v>
      </c>
      <c r="D67" s="154">
        <f t="shared" si="12"/>
        <v>4.4000000000000004</v>
      </c>
    </row>
    <row r="68" spans="1:4" ht="16" x14ac:dyDescent="0.2">
      <c r="A68" s="58"/>
      <c r="B68" s="58"/>
      <c r="C68" s="58"/>
      <c r="D68" s="58"/>
    </row>
    <row r="69" spans="1:4" ht="16" x14ac:dyDescent="0.2">
      <c r="A69" s="187" t="s">
        <v>529</v>
      </c>
      <c r="B69" s="300" t="s">
        <v>804</v>
      </c>
      <c r="C69" s="58"/>
      <c r="D69" s="58"/>
    </row>
    <row r="70" spans="1:4" ht="16" x14ac:dyDescent="0.2">
      <c r="A70" s="154" t="s">
        <v>530</v>
      </c>
      <c r="B70" s="301">
        <v>0.1181</v>
      </c>
      <c r="C70" s="58"/>
      <c r="D70" s="58"/>
    </row>
    <row r="71" spans="1:4" ht="16" x14ac:dyDescent="0.2">
      <c r="A71" s="154" t="s">
        <v>531</v>
      </c>
      <c r="B71" s="301">
        <v>0.54390000000000005</v>
      </c>
      <c r="C71" s="58"/>
      <c r="D71" s="58"/>
    </row>
    <row r="72" spans="1:4" ht="16" x14ac:dyDescent="0.2">
      <c r="A72" s="154" t="s">
        <v>532</v>
      </c>
      <c r="B72" s="301">
        <v>0.14649999999999999</v>
      </c>
      <c r="C72" s="58"/>
      <c r="D72" s="58"/>
    </row>
    <row r="73" spans="1:4" ht="16" x14ac:dyDescent="0.2">
      <c r="A73" s="154" t="s">
        <v>254</v>
      </c>
      <c r="B73" s="301">
        <v>9.1800000000000007E-2</v>
      </c>
      <c r="C73" s="58"/>
      <c r="D73" s="58"/>
    </row>
    <row r="74" spans="1:4" ht="16" x14ac:dyDescent="0.2">
      <c r="A74" s="154" t="s">
        <v>533</v>
      </c>
      <c r="B74" s="301">
        <v>1.9300000000000001E-2</v>
      </c>
      <c r="C74" s="58"/>
      <c r="D74" s="58"/>
    </row>
    <row r="75" spans="1:4" ht="16" x14ac:dyDescent="0.2">
      <c r="A75" s="154" t="s">
        <v>475</v>
      </c>
      <c r="B75" s="301">
        <v>1.1999999999999999E-3</v>
      </c>
      <c r="C75" s="58"/>
      <c r="D75" s="58"/>
    </row>
    <row r="76" spans="1:4" ht="16" x14ac:dyDescent="0.2">
      <c r="A76" s="154" t="s">
        <v>525</v>
      </c>
      <c r="B76" s="301">
        <v>3.5999999999999997E-2</v>
      </c>
      <c r="C76" s="58"/>
      <c r="D76" s="58"/>
    </row>
    <row r="77" spans="1:4" ht="16" x14ac:dyDescent="0.2">
      <c r="A77" s="154" t="s">
        <v>526</v>
      </c>
      <c r="B77" s="301">
        <v>8.9999999999999993E-3</v>
      </c>
      <c r="C77" s="58"/>
      <c r="D77" s="58"/>
    </row>
    <row r="78" spans="1:4" ht="16" x14ac:dyDescent="0.2">
      <c r="A78" s="154" t="s">
        <v>534</v>
      </c>
      <c r="B78" s="299">
        <v>0</v>
      </c>
      <c r="C78" s="58"/>
      <c r="D78" s="58"/>
    </row>
    <row r="79" spans="1:4" ht="16" x14ac:dyDescent="0.2">
      <c r="A79" s="154" t="s">
        <v>535</v>
      </c>
      <c r="B79" s="301">
        <v>3.4200000000000001E-2</v>
      </c>
      <c r="C79" s="58"/>
      <c r="D79" s="58"/>
    </row>
    <row r="80" spans="1:4" ht="16" x14ac:dyDescent="0.2">
      <c r="A80" s="302" t="s">
        <v>63</v>
      </c>
      <c r="B80" s="173">
        <f>SUM(B70:B79)</f>
        <v>1</v>
      </c>
    </row>
  </sheetData>
  <mergeCells count="4">
    <mergeCell ref="F14:I14"/>
    <mergeCell ref="A2:K2"/>
    <mergeCell ref="A3:K3"/>
    <mergeCell ref="A5:K5"/>
  </mergeCells>
  <conditionalFormatting sqref="B16:D21 I16:I21 B24:D35 C38:E39 I38 I24:I35">
    <cfRule type="expression" dxfId="13" priority="1">
      <formula>currency="JPY"</formula>
    </cfRule>
    <cfRule type="expression" dxfId="12" priority="2">
      <formula>currency="USD"</formula>
    </cfRule>
    <cfRule type="expression" dxfId="11" priority="3">
      <formula>currency="AUD"</formula>
    </cfRule>
    <cfRule type="expression" dxfId="10" priority="4">
      <formula>currency="EUR"</formula>
    </cfRule>
    <cfRule type="expression" dxfId="9" priority="5">
      <formula>currency="GBP"</formula>
    </cfRule>
  </conditionalFormatting>
  <pageMargins left="0.7" right="0.7" top="0.75" bottom="0.75" header="0.3" footer="0.3"/>
  <pageSetup paperSize="9"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132"/>
  <sheetViews>
    <sheetView workbookViewId="0">
      <selection activeCell="B24" sqref="B24"/>
    </sheetView>
  </sheetViews>
  <sheetFormatPr baseColWidth="10" defaultColWidth="14.5" defaultRowHeight="15.75" customHeight="1" x14ac:dyDescent="0.15"/>
  <cols>
    <col min="1" max="1" width="43.6640625" customWidth="1"/>
    <col min="2" max="9" width="11.5" customWidth="1"/>
    <col min="10" max="10" width="11" customWidth="1"/>
  </cols>
  <sheetData>
    <row r="1" spans="1:13" s="26" customFormat="1" ht="15.75" customHeight="1" x14ac:dyDescent="0.15">
      <c r="A1" s="44" t="s">
        <v>170</v>
      </c>
    </row>
    <row r="2" spans="1:13" s="26" customFormat="1" ht="15.75" customHeight="1" x14ac:dyDescent="0.15">
      <c r="A2" s="55" t="s">
        <v>168</v>
      </c>
      <c r="B2" s="56"/>
      <c r="C2" s="56"/>
      <c r="D2" s="56"/>
      <c r="E2" s="56"/>
      <c r="F2" s="56"/>
      <c r="G2" s="56"/>
      <c r="H2" s="56"/>
      <c r="I2" s="56"/>
      <c r="J2" s="56"/>
      <c r="K2" s="56"/>
      <c r="L2" s="56"/>
      <c r="M2" s="56"/>
    </row>
    <row r="3" spans="1:13" s="26" customFormat="1" ht="15.75" customHeight="1" x14ac:dyDescent="0.15">
      <c r="A3" s="53" t="s">
        <v>131</v>
      </c>
      <c r="B3" s="54"/>
      <c r="C3" s="54"/>
      <c r="D3" s="54"/>
      <c r="E3" s="54"/>
      <c r="F3" s="54"/>
      <c r="G3" s="54"/>
      <c r="H3" s="54"/>
      <c r="I3" s="54"/>
      <c r="J3" s="54"/>
      <c r="K3" s="54"/>
      <c r="L3" s="54"/>
      <c r="M3" s="54"/>
    </row>
    <row r="4" spans="1:13" s="26" customFormat="1" ht="15.75" customHeight="1" x14ac:dyDescent="0.15">
      <c r="A4" s="49" t="s">
        <v>47</v>
      </c>
      <c r="B4" s="52"/>
      <c r="C4" s="52"/>
      <c r="D4" s="52"/>
      <c r="E4" s="52"/>
      <c r="F4" s="52"/>
      <c r="G4" s="52"/>
      <c r="H4" s="52"/>
      <c r="I4" s="52"/>
      <c r="J4" s="52"/>
      <c r="K4" s="52"/>
      <c r="L4" s="52"/>
      <c r="M4" s="52"/>
    </row>
    <row r="5" spans="1:13" s="26" customFormat="1" ht="15.75" customHeight="1" x14ac:dyDescent="0.15">
      <c r="A5" s="11" t="s">
        <v>437</v>
      </c>
      <c r="B5" s="46"/>
      <c r="C5" s="46"/>
      <c r="D5" s="46"/>
      <c r="E5" s="46"/>
      <c r="F5" s="46"/>
      <c r="G5" s="46"/>
      <c r="H5" s="46"/>
      <c r="I5" s="46"/>
      <c r="J5" s="46"/>
      <c r="K5" s="46"/>
      <c r="L5" s="46"/>
      <c r="M5" s="46"/>
    </row>
    <row r="6" spans="1:13" ht="15.75" customHeight="1" x14ac:dyDescent="0.15">
      <c r="A6" s="83" t="s">
        <v>0</v>
      </c>
      <c r="B6" s="83" t="s">
        <v>4</v>
      </c>
      <c r="C6" s="83" t="s">
        <v>5</v>
      </c>
      <c r="D6" s="83" t="s">
        <v>6</v>
      </c>
      <c r="E6" s="83" t="s">
        <v>7</v>
      </c>
      <c r="F6" s="83" t="s">
        <v>8</v>
      </c>
      <c r="G6" s="83" t="s">
        <v>9</v>
      </c>
      <c r="H6" s="83" t="s">
        <v>10</v>
      </c>
      <c r="I6" s="83" t="s">
        <v>11</v>
      </c>
      <c r="J6" s="5" t="s">
        <v>12</v>
      </c>
      <c r="K6" s="29" t="s">
        <v>216</v>
      </c>
      <c r="L6" s="29" t="s">
        <v>217</v>
      </c>
    </row>
    <row r="7" spans="1:13" ht="15.75" customHeight="1" x14ac:dyDescent="0.15">
      <c r="A7" s="11" t="s">
        <v>13</v>
      </c>
      <c r="B7" s="89" t="s">
        <v>259</v>
      </c>
      <c r="C7" s="89" t="s">
        <v>259</v>
      </c>
      <c r="D7" s="89" t="s">
        <v>260</v>
      </c>
      <c r="E7" s="89" t="s">
        <v>260</v>
      </c>
      <c r="F7" s="89" t="s">
        <v>261</v>
      </c>
      <c r="G7" s="89" t="s">
        <v>262</v>
      </c>
      <c r="H7" s="89" t="s">
        <v>263</v>
      </c>
      <c r="I7" s="89" t="s">
        <v>264</v>
      </c>
      <c r="J7" s="89" t="s">
        <v>265</v>
      </c>
      <c r="K7" s="89" t="s">
        <v>100</v>
      </c>
      <c r="L7" s="89" t="s">
        <v>100</v>
      </c>
    </row>
    <row r="8" spans="1:13" ht="15.75" customHeight="1" x14ac:dyDescent="0.15">
      <c r="A8" s="11" t="s">
        <v>14</v>
      </c>
      <c r="B8" s="89" t="s">
        <v>259</v>
      </c>
      <c r="C8" s="89" t="s">
        <v>259</v>
      </c>
      <c r="D8" s="89" t="s">
        <v>266</v>
      </c>
      <c r="E8" s="89" t="s">
        <v>266</v>
      </c>
      <c r="F8" s="89" t="s">
        <v>267</v>
      </c>
      <c r="G8" s="89" t="s">
        <v>268</v>
      </c>
      <c r="H8" s="89" t="s">
        <v>269</v>
      </c>
      <c r="I8" s="89" t="s">
        <v>270</v>
      </c>
      <c r="J8" s="89" t="s">
        <v>271</v>
      </c>
      <c r="K8" s="89" t="s">
        <v>100</v>
      </c>
      <c r="L8" s="89" t="s">
        <v>100</v>
      </c>
    </row>
    <row r="9" spans="1:13" ht="15.75" customHeight="1" x14ac:dyDescent="0.15">
      <c r="A9" s="11" t="s">
        <v>15</v>
      </c>
      <c r="B9" s="89" t="s">
        <v>260</v>
      </c>
      <c r="C9" s="89" t="s">
        <v>260</v>
      </c>
      <c r="D9" s="89" t="s">
        <v>260</v>
      </c>
      <c r="E9" s="89" t="s">
        <v>260</v>
      </c>
      <c r="F9" s="89" t="s">
        <v>272</v>
      </c>
      <c r="G9" s="89" t="s">
        <v>273</v>
      </c>
      <c r="H9" s="89" t="s">
        <v>274</v>
      </c>
      <c r="I9" s="89" t="s">
        <v>260</v>
      </c>
      <c r="J9" s="89" t="s">
        <v>259</v>
      </c>
      <c r="K9" s="89" t="s">
        <v>100</v>
      </c>
      <c r="L9" s="89" t="s">
        <v>100</v>
      </c>
    </row>
    <row r="10" spans="1:13" ht="15.75" customHeight="1" x14ac:dyDescent="0.15">
      <c r="A10" s="11" t="s">
        <v>16</v>
      </c>
      <c r="B10" s="89" t="s">
        <v>266</v>
      </c>
      <c r="C10" s="89" t="s">
        <v>266</v>
      </c>
      <c r="D10" s="89" t="s">
        <v>266</v>
      </c>
      <c r="E10" s="89" t="s">
        <v>266</v>
      </c>
      <c r="F10" s="89" t="s">
        <v>275</v>
      </c>
      <c r="G10" s="89" t="s">
        <v>276</v>
      </c>
      <c r="H10" s="89" t="s">
        <v>277</v>
      </c>
      <c r="I10" s="89" t="s">
        <v>266</v>
      </c>
      <c r="J10" s="89" t="s">
        <v>259</v>
      </c>
      <c r="K10" s="89" t="s">
        <v>100</v>
      </c>
      <c r="L10" s="89" t="s">
        <v>100</v>
      </c>
    </row>
    <row r="11" spans="1:13" ht="15.75" customHeight="1" x14ac:dyDescent="0.15">
      <c r="A11" s="38"/>
      <c r="B11" s="38"/>
      <c r="C11" s="38"/>
      <c r="D11" s="38"/>
      <c r="E11" s="38"/>
      <c r="F11" s="38"/>
      <c r="G11" s="38"/>
      <c r="H11" s="38"/>
      <c r="I11" s="38"/>
      <c r="J11" s="38"/>
    </row>
    <row r="12" spans="1:13" ht="15.75" customHeight="1" x14ac:dyDescent="0.15">
      <c r="A12" s="83" t="s">
        <v>0</v>
      </c>
      <c r="B12" s="83" t="s">
        <v>125</v>
      </c>
      <c r="C12" s="83" t="s">
        <v>124</v>
      </c>
      <c r="D12" s="83" t="s">
        <v>126</v>
      </c>
      <c r="E12" s="83" t="s">
        <v>127</v>
      </c>
      <c r="F12" s="83" t="s">
        <v>128</v>
      </c>
      <c r="G12" s="83" t="s">
        <v>129</v>
      </c>
      <c r="H12" s="83" t="s">
        <v>130</v>
      </c>
      <c r="I12" s="83" t="s">
        <v>11</v>
      </c>
      <c r="J12" s="5" t="s">
        <v>12</v>
      </c>
      <c r="K12" s="29" t="s">
        <v>216</v>
      </c>
      <c r="L12" s="29" t="s">
        <v>217</v>
      </c>
    </row>
    <row r="13" spans="1:13" ht="15.75" customHeight="1" x14ac:dyDescent="0.15">
      <c r="A13" s="11" t="s">
        <v>13</v>
      </c>
      <c r="B13" s="90" t="s">
        <v>259</v>
      </c>
      <c r="C13" s="90" t="s">
        <v>259</v>
      </c>
      <c r="D13" s="90">
        <v>0.05</v>
      </c>
      <c r="E13" s="90">
        <v>0.05</v>
      </c>
      <c r="F13" s="90">
        <v>0.06</v>
      </c>
      <c r="G13" s="90">
        <v>0.13</v>
      </c>
      <c r="H13" s="90">
        <v>0.25</v>
      </c>
      <c r="I13" s="90">
        <v>0.02</v>
      </c>
      <c r="J13" s="90">
        <v>2</v>
      </c>
      <c r="K13" s="323" t="s">
        <v>100</v>
      </c>
      <c r="L13" s="323" t="s">
        <v>100</v>
      </c>
    </row>
    <row r="14" spans="1:13" ht="15.75" customHeight="1" x14ac:dyDescent="0.15">
      <c r="A14" s="11" t="s">
        <v>14</v>
      </c>
      <c r="B14" s="90" t="s">
        <v>259</v>
      </c>
      <c r="C14" s="90" t="s">
        <v>259</v>
      </c>
      <c r="D14" s="90">
        <v>0.15</v>
      </c>
      <c r="E14" s="90">
        <v>0.15</v>
      </c>
      <c r="F14" s="90">
        <v>0.14000000000000001</v>
      </c>
      <c r="G14" s="90">
        <v>0.28000000000000003</v>
      </c>
      <c r="H14" s="90">
        <v>0.55000000000000004</v>
      </c>
      <c r="I14" s="90">
        <v>0.1</v>
      </c>
      <c r="J14" s="90">
        <v>4</v>
      </c>
      <c r="K14" s="38" t="s">
        <v>100</v>
      </c>
      <c r="L14" s="38" t="s">
        <v>100</v>
      </c>
    </row>
    <row r="15" spans="1:13" ht="15.75" customHeight="1" x14ac:dyDescent="0.15">
      <c r="A15" s="11" t="s">
        <v>15</v>
      </c>
      <c r="B15" s="90">
        <v>0.05</v>
      </c>
      <c r="C15" s="90">
        <v>0.05</v>
      </c>
      <c r="D15" s="90">
        <v>0.05</v>
      </c>
      <c r="E15" s="90">
        <v>0.05</v>
      </c>
      <c r="F15" s="90">
        <v>0.09</v>
      </c>
      <c r="G15" s="90">
        <v>0.18</v>
      </c>
      <c r="H15" s="90">
        <v>0.35</v>
      </c>
      <c r="I15" s="90">
        <v>0.05</v>
      </c>
      <c r="J15" s="90" t="s">
        <v>259</v>
      </c>
      <c r="K15" s="99">
        <v>1.25</v>
      </c>
      <c r="L15" s="102">
        <v>2</v>
      </c>
    </row>
    <row r="16" spans="1:13" ht="15.75" customHeight="1" x14ac:dyDescent="0.15">
      <c r="A16" s="11" t="s">
        <v>16</v>
      </c>
      <c r="B16" s="90">
        <v>0.15</v>
      </c>
      <c r="C16" s="90">
        <v>0.15</v>
      </c>
      <c r="D16" s="90">
        <v>0.15</v>
      </c>
      <c r="E16" s="90">
        <v>0.15</v>
      </c>
      <c r="F16" s="90">
        <v>0.19</v>
      </c>
      <c r="G16" s="90">
        <v>0.38</v>
      </c>
      <c r="H16" s="90">
        <v>0.75</v>
      </c>
      <c r="I16" s="90">
        <v>0.15</v>
      </c>
      <c r="J16" s="90" t="s">
        <v>259</v>
      </c>
      <c r="K16" s="99">
        <v>1.25</v>
      </c>
      <c r="L16" s="102">
        <v>2</v>
      </c>
    </row>
    <row r="17" spans="1:13" ht="15.75" customHeight="1" x14ac:dyDescent="0.15">
      <c r="A17" s="4" t="s">
        <v>17</v>
      </c>
    </row>
    <row r="18" spans="1:13" ht="15.75" customHeight="1" x14ac:dyDescent="0.15">
      <c r="A18" s="11" t="s">
        <v>131</v>
      </c>
    </row>
    <row r="19" spans="1:13" s="111" customFormat="1" ht="15.75" customHeight="1" x14ac:dyDescent="0.15">
      <c r="A19" s="112"/>
    </row>
    <row r="20" spans="1:13" s="111" customFormat="1" ht="15.75" customHeight="1" x14ac:dyDescent="0.15">
      <c r="A20" s="49" t="s">
        <v>373</v>
      </c>
      <c r="B20" s="52"/>
      <c r="C20" s="52"/>
      <c r="D20" s="52"/>
      <c r="E20" s="52"/>
      <c r="F20" s="52"/>
      <c r="G20" s="52"/>
      <c r="H20" s="52"/>
      <c r="I20" s="52"/>
      <c r="J20" s="52"/>
      <c r="K20" s="52"/>
      <c r="L20" s="52"/>
      <c r="M20" s="52"/>
    </row>
    <row r="21" spans="1:13" s="111" customFormat="1" ht="15.75" customHeight="1" x14ac:dyDescent="0.15">
      <c r="A21" s="105"/>
      <c r="B21" s="429" t="s">
        <v>442</v>
      </c>
      <c r="C21" s="429"/>
      <c r="D21" s="429"/>
      <c r="E21" s="429"/>
      <c r="F21" s="429"/>
      <c r="G21" s="46"/>
      <c r="H21" s="46"/>
      <c r="I21" s="46"/>
      <c r="J21" s="46"/>
      <c r="K21" s="46"/>
      <c r="L21" s="46"/>
      <c r="M21" s="46"/>
    </row>
    <row r="22" spans="1:13" ht="15.75" customHeight="1" x14ac:dyDescent="0.2">
      <c r="A22" s="58" t="s">
        <v>374</v>
      </c>
      <c r="B22" s="38"/>
      <c r="C22" s="38"/>
      <c r="D22" s="38"/>
      <c r="E22" s="38"/>
      <c r="F22" s="38"/>
      <c r="G22" s="111"/>
      <c r="H22" s="111"/>
      <c r="I22" s="111"/>
      <c r="J22" s="111"/>
      <c r="K22" s="111"/>
      <c r="L22" s="111"/>
      <c r="M22" s="111"/>
    </row>
    <row r="23" spans="1:13" s="364" customFormat="1" ht="15.75" customHeight="1" x14ac:dyDescent="0.2">
      <c r="A23" s="58" t="s">
        <v>952</v>
      </c>
      <c r="B23" s="365">
        <v>0.02</v>
      </c>
      <c r="C23" s="365"/>
      <c r="D23" s="365"/>
      <c r="E23" s="365"/>
      <c r="F23" s="365"/>
    </row>
    <row r="24" spans="1:13" ht="15.75" customHeight="1" x14ac:dyDescent="0.2">
      <c r="A24" s="48" t="s">
        <v>467</v>
      </c>
      <c r="B24" s="92">
        <v>0.06</v>
      </c>
      <c r="C24" s="92"/>
      <c r="D24" s="92"/>
      <c r="E24" s="92"/>
      <c r="F24" s="92"/>
      <c r="G24" s="111"/>
      <c r="H24" s="111"/>
      <c r="I24" s="111"/>
      <c r="J24" s="111"/>
      <c r="K24" s="111"/>
      <c r="L24" s="111"/>
      <c r="M24" s="111"/>
    </row>
    <row r="25" spans="1:13" s="108" customFormat="1" ht="15.75" customHeight="1" x14ac:dyDescent="0.2">
      <c r="A25" s="48" t="s">
        <v>468</v>
      </c>
      <c r="B25" s="92">
        <v>0.03</v>
      </c>
      <c r="C25" s="92"/>
      <c r="D25" s="92"/>
      <c r="E25" s="92"/>
      <c r="F25" s="92"/>
      <c r="G25" s="111"/>
      <c r="H25" s="111"/>
      <c r="I25" s="111"/>
      <c r="J25" s="111"/>
      <c r="K25" s="111"/>
      <c r="L25" s="111"/>
      <c r="M25" s="111"/>
    </row>
    <row r="26" spans="1:13" s="111" customFormat="1" ht="15.75" customHeight="1" x14ac:dyDescent="0.2">
      <c r="A26" s="48" t="s">
        <v>469</v>
      </c>
      <c r="B26" s="92">
        <v>0.05</v>
      </c>
      <c r="C26" s="92"/>
      <c r="D26" s="92"/>
      <c r="E26" s="92"/>
      <c r="F26" s="92"/>
    </row>
    <row r="27" spans="1:13" s="111" customFormat="1" ht="15.75" customHeight="1" x14ac:dyDescent="0.15">
      <c r="A27" s="112"/>
    </row>
    <row r="28" spans="1:13" ht="15.75" customHeight="1" x14ac:dyDescent="0.15">
      <c r="A28" s="111"/>
      <c r="B28" s="111"/>
      <c r="C28" s="111"/>
      <c r="D28" s="111"/>
      <c r="E28" s="111"/>
      <c r="F28" s="111"/>
      <c r="G28" s="111"/>
      <c r="H28" s="111"/>
      <c r="I28" s="111"/>
      <c r="J28" s="111"/>
      <c r="K28" s="111"/>
      <c r="L28" s="111"/>
      <c r="M28" s="111"/>
    </row>
    <row r="29" spans="1:13" ht="15.75" customHeight="1" x14ac:dyDescent="0.15">
      <c r="A29" s="49" t="s">
        <v>375</v>
      </c>
      <c r="B29" s="52"/>
      <c r="C29" s="52"/>
      <c r="D29" s="52"/>
      <c r="E29" s="52"/>
      <c r="F29" s="52"/>
      <c r="G29" s="52"/>
      <c r="H29" s="52"/>
      <c r="I29" s="52"/>
      <c r="J29" s="52"/>
      <c r="K29" s="52"/>
      <c r="L29" s="52"/>
      <c r="M29" s="52"/>
    </row>
    <row r="30" spans="1:13" s="121" customFormat="1" ht="15.75" customHeight="1" x14ac:dyDescent="0.15">
      <c r="A30" s="105"/>
      <c r="B30" s="106" t="s">
        <v>474</v>
      </c>
      <c r="C30" s="46"/>
      <c r="D30" s="46"/>
      <c r="E30" s="46"/>
      <c r="F30" s="46"/>
      <c r="G30" s="46"/>
      <c r="H30" s="46"/>
      <c r="I30" s="46"/>
      <c r="J30" s="46"/>
      <c r="K30" s="46"/>
      <c r="L30" s="46"/>
      <c r="M30" s="46"/>
    </row>
    <row r="31" spans="1:13" ht="15.75" customHeight="1" x14ac:dyDescent="0.15">
      <c r="A31" s="112" t="s">
        <v>375</v>
      </c>
      <c r="B31" s="111">
        <v>0.01</v>
      </c>
      <c r="C31" s="111"/>
      <c r="D31" s="111"/>
      <c r="E31" s="111"/>
      <c r="F31" s="111"/>
      <c r="G31" s="111"/>
      <c r="H31" s="111"/>
      <c r="I31" s="111"/>
      <c r="J31" s="111"/>
      <c r="K31" s="111"/>
      <c r="L31" s="111"/>
      <c r="M31" s="111"/>
    </row>
    <row r="33" spans="1:13" ht="15.75" customHeight="1" x14ac:dyDescent="0.15">
      <c r="A33" s="49" t="s">
        <v>169</v>
      </c>
      <c r="B33" s="52"/>
      <c r="C33" s="52"/>
      <c r="D33" s="52"/>
      <c r="E33" s="52"/>
      <c r="F33" s="52"/>
      <c r="G33" s="52"/>
      <c r="H33" s="52"/>
      <c r="I33" s="52"/>
      <c r="J33" s="52"/>
      <c r="K33" s="52"/>
      <c r="L33" s="52"/>
      <c r="M33" s="52"/>
    </row>
    <row r="34" spans="1:13" ht="15.75" customHeight="1" x14ac:dyDescent="0.15">
      <c r="A34" s="105"/>
      <c r="B34" s="429" t="s">
        <v>442</v>
      </c>
      <c r="C34" s="429"/>
      <c r="D34" s="429"/>
      <c r="E34" s="429"/>
      <c r="F34" s="429"/>
      <c r="H34" s="46"/>
      <c r="I34" s="46"/>
      <c r="J34" s="46"/>
      <c r="K34" s="46"/>
      <c r="L34" s="46"/>
      <c r="M34" s="46"/>
    </row>
    <row r="35" spans="1:13" ht="15.75" customHeight="1" x14ac:dyDescent="0.2">
      <c r="A35" s="60" t="s">
        <v>470</v>
      </c>
      <c r="B35" s="44" t="s">
        <v>438</v>
      </c>
      <c r="C35" s="44" t="s">
        <v>439</v>
      </c>
      <c r="D35" s="44" t="s">
        <v>440</v>
      </c>
      <c r="E35" s="44" t="s">
        <v>440</v>
      </c>
      <c r="F35" s="44" t="s">
        <v>441</v>
      </c>
      <c r="G35" s="176" t="s">
        <v>551</v>
      </c>
    </row>
    <row r="36" spans="1:13" ht="15.75" customHeight="1" x14ac:dyDescent="0.2">
      <c r="A36" s="58" t="str">
        <f>Database!A8</f>
        <v>Amaranth</v>
      </c>
      <c r="B36" s="92">
        <v>0.03</v>
      </c>
      <c r="C36" s="92">
        <v>0.03</v>
      </c>
      <c r="D36" s="92">
        <v>0.03</v>
      </c>
      <c r="E36" s="92">
        <v>0.02</v>
      </c>
      <c r="F36" s="92">
        <v>0.01</v>
      </c>
      <c r="G36" s="172">
        <v>0.97</v>
      </c>
    </row>
    <row r="37" spans="1:13" ht="15.75" customHeight="1" x14ac:dyDescent="0.2">
      <c r="A37" s="58" t="str">
        <f>Database!A9</f>
        <v>Arugula</v>
      </c>
      <c r="B37" s="92">
        <v>0.03</v>
      </c>
      <c r="C37" s="92">
        <v>0.03</v>
      </c>
      <c r="D37" s="92">
        <v>0.03</v>
      </c>
      <c r="E37" s="92">
        <v>0.02</v>
      </c>
      <c r="F37" s="92">
        <v>0.01</v>
      </c>
      <c r="G37" s="172">
        <v>0.97</v>
      </c>
    </row>
    <row r="38" spans="1:13" ht="15.75" customHeight="1" x14ac:dyDescent="0.2">
      <c r="A38" s="58" t="str">
        <f>Database!A10</f>
        <v>Basil - Dwarf</v>
      </c>
      <c r="B38" s="92">
        <v>0.03</v>
      </c>
      <c r="C38" s="92">
        <v>0.03</v>
      </c>
      <c r="D38" s="92">
        <v>0.03</v>
      </c>
      <c r="E38" s="92">
        <v>0.02</v>
      </c>
      <c r="F38" s="92">
        <v>0.01</v>
      </c>
      <c r="G38" s="172">
        <v>0.97</v>
      </c>
    </row>
    <row r="39" spans="1:13" ht="15.75" customHeight="1" x14ac:dyDescent="0.2">
      <c r="A39" s="58" t="str">
        <f>Database!A11</f>
        <v>Basil - Lemon</v>
      </c>
      <c r="B39" s="92">
        <v>0.03</v>
      </c>
      <c r="C39" s="92">
        <v>0.03</v>
      </c>
      <c r="D39" s="92">
        <v>0.03</v>
      </c>
      <c r="E39" s="92">
        <v>0.02</v>
      </c>
      <c r="F39" s="92">
        <v>0.01</v>
      </c>
      <c r="G39" s="172">
        <v>0.97</v>
      </c>
    </row>
    <row r="40" spans="1:13" s="171" customFormat="1" ht="15.75" customHeight="1" x14ac:dyDescent="0.2">
      <c r="A40" s="58" t="str">
        <f>Database!A12</f>
        <v>Basil - Thai</v>
      </c>
      <c r="B40" s="92">
        <v>0.03</v>
      </c>
      <c r="C40" s="92">
        <v>0.03</v>
      </c>
      <c r="D40" s="92">
        <v>0.03</v>
      </c>
      <c r="E40" s="92">
        <v>0.02</v>
      </c>
      <c r="F40" s="92">
        <v>0.01</v>
      </c>
      <c r="G40" s="172">
        <v>0.97</v>
      </c>
    </row>
    <row r="41" spans="1:13" ht="15.75" customHeight="1" x14ac:dyDescent="0.2">
      <c r="A41" s="58" t="e">
        <f>Database!#REF!</f>
        <v>#REF!</v>
      </c>
      <c r="B41" s="92">
        <v>0.03</v>
      </c>
      <c r="C41" s="92">
        <v>0.03</v>
      </c>
      <c r="D41" s="92">
        <v>0.03</v>
      </c>
      <c r="E41" s="92">
        <v>0.02</v>
      </c>
      <c r="F41" s="92">
        <v>0.01</v>
      </c>
      <c r="G41" s="172">
        <v>0.97</v>
      </c>
    </row>
    <row r="42" spans="1:13" ht="15.75" customHeight="1" x14ac:dyDescent="0.2">
      <c r="A42" s="58" t="str">
        <f>Database!A13</f>
        <v>Basil - Genovese</v>
      </c>
      <c r="B42" s="92">
        <v>0.03</v>
      </c>
      <c r="C42" s="92">
        <v>0.03</v>
      </c>
      <c r="D42" s="92">
        <v>0.03</v>
      </c>
      <c r="E42" s="92">
        <v>0.02</v>
      </c>
      <c r="F42" s="92">
        <v>0.01</v>
      </c>
      <c r="G42" s="172">
        <v>0.97</v>
      </c>
    </row>
    <row r="43" spans="1:13" ht="15.75" customHeight="1" x14ac:dyDescent="0.2">
      <c r="A43" s="58" t="e">
        <f>Database!#REF!</f>
        <v>#REF!</v>
      </c>
      <c r="B43" s="92">
        <v>0.03</v>
      </c>
      <c r="C43" s="92">
        <v>0.03</v>
      </c>
      <c r="D43" s="92">
        <v>0.03</v>
      </c>
      <c r="E43" s="92">
        <v>0.02</v>
      </c>
      <c r="F43" s="92">
        <v>0.01</v>
      </c>
      <c r="G43" s="172">
        <v>0.97</v>
      </c>
    </row>
    <row r="44" spans="1:13" s="95" customFormat="1" ht="15.75" customHeight="1" x14ac:dyDescent="0.2">
      <c r="A44" s="58" t="e">
        <f>Database!#REF!</f>
        <v>#REF!</v>
      </c>
      <c r="B44" s="92">
        <v>0.03</v>
      </c>
      <c r="C44" s="92">
        <v>0.03</v>
      </c>
      <c r="D44" s="92">
        <v>0.03</v>
      </c>
      <c r="E44" s="92">
        <v>0.02</v>
      </c>
      <c r="F44" s="92">
        <v>0.01</v>
      </c>
      <c r="G44" s="172">
        <v>0.97</v>
      </c>
      <c r="H44" s="46"/>
      <c r="I44" s="46"/>
      <c r="J44" s="46"/>
      <c r="K44" s="46"/>
      <c r="L44" s="46"/>
      <c r="M44" s="46"/>
    </row>
    <row r="45" spans="1:13" ht="15.75" customHeight="1" x14ac:dyDescent="0.2">
      <c r="A45" s="58" t="e">
        <f>Database!#REF!</f>
        <v>#REF!</v>
      </c>
      <c r="B45" s="92">
        <v>0.03</v>
      </c>
      <c r="C45" s="92">
        <v>0.03</v>
      </c>
      <c r="D45" s="92">
        <v>0.03</v>
      </c>
      <c r="E45" s="92">
        <v>0.02</v>
      </c>
      <c r="F45" s="92">
        <v>0.01</v>
      </c>
      <c r="G45" s="172">
        <v>0.97</v>
      </c>
    </row>
    <row r="46" spans="1:13" s="111" customFormat="1" ht="15.75" customHeight="1" x14ac:dyDescent="0.2">
      <c r="A46" s="58" t="str">
        <f>Database!A14</f>
        <v>Cai Xin</v>
      </c>
      <c r="B46" s="92">
        <v>0.03</v>
      </c>
      <c r="C46" s="92">
        <v>0.03</v>
      </c>
      <c r="D46" s="92">
        <v>0.03</v>
      </c>
      <c r="E46" s="92">
        <v>0.02</v>
      </c>
      <c r="F46" s="92">
        <v>0.01</v>
      </c>
      <c r="G46" s="172">
        <v>0.97</v>
      </c>
      <c r="H46"/>
      <c r="I46"/>
      <c r="J46"/>
      <c r="K46"/>
      <c r="L46"/>
      <c r="M46"/>
    </row>
    <row r="47" spans="1:13" ht="15.75" customHeight="1" x14ac:dyDescent="0.2">
      <c r="A47" s="58" t="e">
        <f>Database!#REF!</f>
        <v>#REF!</v>
      </c>
      <c r="B47" s="92">
        <v>0.03</v>
      </c>
      <c r="C47" s="92">
        <v>0.03</v>
      </c>
      <c r="D47" s="92">
        <v>0.03</v>
      </c>
      <c r="E47" s="92">
        <v>0.02</v>
      </c>
      <c r="F47" s="92">
        <v>0.01</v>
      </c>
      <c r="G47" s="172">
        <v>0.97</v>
      </c>
    </row>
    <row r="48" spans="1:13" ht="15.75" customHeight="1" x14ac:dyDescent="0.2">
      <c r="A48" s="58" t="e">
        <f>Database!#REF!</f>
        <v>#REF!</v>
      </c>
      <c r="B48" s="92">
        <v>0.03</v>
      </c>
      <c r="C48" s="92">
        <v>0.03</v>
      </c>
      <c r="D48" s="92">
        <v>0.03</v>
      </c>
      <c r="E48" s="92">
        <v>0.02</v>
      </c>
      <c r="F48" s="92">
        <v>0.01</v>
      </c>
      <c r="G48" s="172">
        <v>0.97</v>
      </c>
    </row>
    <row r="49" spans="1:13" ht="15.75" customHeight="1" x14ac:dyDescent="0.2">
      <c r="A49" s="58" t="str">
        <f>Database!A15</f>
        <v>Chard Swiss</v>
      </c>
      <c r="B49" s="92">
        <v>0.03</v>
      </c>
      <c r="C49" s="92">
        <v>0.03</v>
      </c>
      <c r="D49" s="92">
        <v>0.03</v>
      </c>
      <c r="E49" s="92">
        <v>0.02</v>
      </c>
      <c r="F49" s="92">
        <v>0.01</v>
      </c>
      <c r="G49" s="172">
        <v>0.97</v>
      </c>
    </row>
    <row r="50" spans="1:13" ht="15.75" customHeight="1" x14ac:dyDescent="0.2">
      <c r="A50" s="58" t="str">
        <f>Database!A16</f>
        <v>Chives</v>
      </c>
      <c r="B50" s="92">
        <v>0.03</v>
      </c>
      <c r="C50" s="92">
        <v>0.03</v>
      </c>
      <c r="D50" s="92">
        <v>0.03</v>
      </c>
      <c r="E50" s="92">
        <v>0.02</v>
      </c>
      <c r="F50" s="92">
        <v>0.01</v>
      </c>
      <c r="G50" s="172">
        <v>0.97</v>
      </c>
      <c r="H50" s="95"/>
      <c r="I50" s="95"/>
      <c r="J50" s="95"/>
      <c r="K50" s="95"/>
      <c r="L50" s="95"/>
      <c r="M50" s="95"/>
    </row>
    <row r="51" spans="1:13" ht="15.75" customHeight="1" x14ac:dyDescent="0.2">
      <c r="A51" s="58" t="str">
        <f>Database!A17</f>
        <v>Chinese Leaf</v>
      </c>
      <c r="B51" s="92">
        <v>0.03</v>
      </c>
      <c r="C51" s="92">
        <v>0.03</v>
      </c>
      <c r="D51" s="92">
        <v>0.03</v>
      </c>
      <c r="E51" s="92">
        <v>0.02</v>
      </c>
      <c r="F51" s="92">
        <v>0.01</v>
      </c>
      <c r="G51" s="172">
        <v>0.97</v>
      </c>
    </row>
    <row r="52" spans="1:13" ht="15.75" customHeight="1" x14ac:dyDescent="0.2">
      <c r="A52" s="58" t="str">
        <f>Database!A18</f>
        <v>Choy Sum</v>
      </c>
      <c r="B52" s="92">
        <v>0.03</v>
      </c>
      <c r="C52" s="92">
        <v>0.03</v>
      </c>
      <c r="D52" s="92">
        <v>0.03</v>
      </c>
      <c r="E52" s="92">
        <v>0.02</v>
      </c>
      <c r="F52" s="92">
        <v>0.01</v>
      </c>
      <c r="G52" s="172">
        <v>0.97</v>
      </c>
      <c r="H52" s="111"/>
      <c r="I52" s="111"/>
      <c r="J52" s="111"/>
      <c r="K52" s="111"/>
      <c r="L52" s="111"/>
      <c r="M52" s="111"/>
    </row>
    <row r="53" spans="1:13" ht="15.75" customHeight="1" x14ac:dyDescent="0.2">
      <c r="A53" s="58" t="str">
        <f>Database!A19</f>
        <v>Cilantro</v>
      </c>
      <c r="B53" s="92">
        <v>0.03</v>
      </c>
      <c r="C53" s="92">
        <v>0.03</v>
      </c>
      <c r="D53" s="92">
        <v>0.03</v>
      </c>
      <c r="E53" s="92">
        <v>0.02</v>
      </c>
      <c r="F53" s="92">
        <v>0.01</v>
      </c>
      <c r="G53" s="172">
        <v>0.97</v>
      </c>
    </row>
    <row r="54" spans="1:13" ht="15.75" customHeight="1" x14ac:dyDescent="0.2">
      <c r="A54" s="58" t="e">
        <f>Database!#REF!</f>
        <v>#REF!</v>
      </c>
      <c r="B54" s="92">
        <v>0.03</v>
      </c>
      <c r="C54" s="92">
        <v>0.03</v>
      </c>
      <c r="D54" s="92">
        <v>0.03</v>
      </c>
      <c r="E54" s="92">
        <v>0.02</v>
      </c>
      <c r="F54" s="92">
        <v>0.01</v>
      </c>
      <c r="G54" s="172">
        <v>0.97</v>
      </c>
    </row>
    <row r="55" spans="1:13" ht="15.75" customHeight="1" x14ac:dyDescent="0.2">
      <c r="A55" s="58" t="str">
        <f>Database!A20</f>
        <v>Dill</v>
      </c>
      <c r="B55" s="92">
        <v>0.03</v>
      </c>
      <c r="C55" s="92">
        <v>0.03</v>
      </c>
      <c r="D55" s="92">
        <v>0.03</v>
      </c>
      <c r="E55" s="92">
        <v>0.02</v>
      </c>
      <c r="F55" s="92">
        <v>0.01</v>
      </c>
      <c r="G55" s="172">
        <v>0.97</v>
      </c>
    </row>
    <row r="56" spans="1:13" ht="15.75" customHeight="1" x14ac:dyDescent="0.2">
      <c r="A56" s="58" t="e">
        <f>Database!#REF!</f>
        <v>#REF!</v>
      </c>
      <c r="B56" s="92">
        <v>0.03</v>
      </c>
      <c r="C56" s="92">
        <v>0.03</v>
      </c>
      <c r="D56" s="92">
        <v>0.03</v>
      </c>
      <c r="E56" s="92">
        <v>0.02</v>
      </c>
      <c r="F56" s="92">
        <v>0.01</v>
      </c>
      <c r="G56" s="172">
        <v>0.97</v>
      </c>
    </row>
    <row r="57" spans="1:13" ht="15.75" customHeight="1" x14ac:dyDescent="0.2">
      <c r="A57" s="58" t="str">
        <f>Database!A21</f>
        <v>Escarole</v>
      </c>
      <c r="B57" s="92">
        <v>0.03</v>
      </c>
      <c r="C57" s="92">
        <v>0.03</v>
      </c>
      <c r="D57" s="92">
        <v>0.03</v>
      </c>
      <c r="E57" s="92">
        <v>0.02</v>
      </c>
      <c r="F57" s="92">
        <v>0.01</v>
      </c>
      <c r="G57" s="172">
        <v>0.97</v>
      </c>
    </row>
    <row r="58" spans="1:13" ht="15.75" customHeight="1" x14ac:dyDescent="0.2">
      <c r="A58" s="58" t="str">
        <f>Database!A22</f>
        <v>Fennel</v>
      </c>
      <c r="B58" s="92">
        <v>0.03</v>
      </c>
      <c r="C58" s="92">
        <v>0.03</v>
      </c>
      <c r="D58" s="92">
        <v>0.03</v>
      </c>
      <c r="E58" s="92">
        <v>0.02</v>
      </c>
      <c r="F58" s="92">
        <v>0.01</v>
      </c>
      <c r="G58" s="172">
        <v>0.97</v>
      </c>
    </row>
    <row r="59" spans="1:13" ht="15.75" customHeight="1" x14ac:dyDescent="0.2">
      <c r="A59" s="58" t="str">
        <f>Database!A23</f>
        <v>Gai Choi</v>
      </c>
      <c r="B59" s="92">
        <v>0.03</v>
      </c>
      <c r="C59" s="92">
        <v>0.03</v>
      </c>
      <c r="D59" s="92">
        <v>0.03</v>
      </c>
      <c r="E59" s="92">
        <v>0.02</v>
      </c>
      <c r="F59" s="92">
        <v>0.01</v>
      </c>
      <c r="G59" s="172">
        <v>0.97</v>
      </c>
    </row>
    <row r="60" spans="1:13" ht="15.75" customHeight="1" x14ac:dyDescent="0.2">
      <c r="A60" s="58" t="str">
        <f>Database!A24</f>
        <v>Gailan</v>
      </c>
      <c r="B60" s="92">
        <v>0.03</v>
      </c>
      <c r="C60" s="92">
        <v>0.03</v>
      </c>
      <c r="D60" s="92">
        <v>0.03</v>
      </c>
      <c r="E60" s="92">
        <v>0.02</v>
      </c>
      <c r="F60" s="92">
        <v>0.01</v>
      </c>
      <c r="G60" s="172">
        <v>0.97</v>
      </c>
    </row>
    <row r="61" spans="1:13" s="171" customFormat="1" ht="15.75" customHeight="1" x14ac:dyDescent="0.2">
      <c r="A61" s="58" t="str">
        <f>Database!A25</f>
        <v>Kale</v>
      </c>
      <c r="B61" s="92">
        <v>0.03</v>
      </c>
      <c r="C61" s="92">
        <v>0.03</v>
      </c>
      <c r="D61" s="92">
        <v>0.03</v>
      </c>
      <c r="E61" s="92">
        <v>0.02</v>
      </c>
      <c r="F61" s="92">
        <v>0.01</v>
      </c>
      <c r="G61" s="172">
        <v>0.97</v>
      </c>
    </row>
    <row r="62" spans="1:13" ht="15.75" customHeight="1" x14ac:dyDescent="0.2">
      <c r="A62" s="58" t="e">
        <f>Database!#REF!</f>
        <v>#REF!</v>
      </c>
      <c r="B62" s="92">
        <v>0.03</v>
      </c>
      <c r="C62" s="92">
        <v>0.03</v>
      </c>
      <c r="D62" s="92">
        <v>0.03</v>
      </c>
      <c r="E62" s="92">
        <v>0.02</v>
      </c>
      <c r="F62" s="92">
        <v>0.01</v>
      </c>
      <c r="G62" s="172">
        <v>0.97</v>
      </c>
    </row>
    <row r="63" spans="1:13" ht="15.75" customHeight="1" x14ac:dyDescent="0.2">
      <c r="A63" s="58" t="str">
        <f>Database!A26</f>
        <v>Lettuce (Farm Urban Mix)</v>
      </c>
      <c r="B63" s="92">
        <v>0.03</v>
      </c>
      <c r="C63" s="92">
        <v>0.03</v>
      </c>
      <c r="D63" s="92">
        <v>0.03</v>
      </c>
      <c r="E63" s="92">
        <v>0.02</v>
      </c>
      <c r="F63" s="92">
        <v>0.01</v>
      </c>
      <c r="G63" s="172">
        <v>0.97</v>
      </c>
    </row>
    <row r="64" spans="1:13" ht="15.75" customHeight="1" x14ac:dyDescent="0.2">
      <c r="A64" s="58" t="str">
        <f>Database!A27</f>
        <v>Lettuce - heads</v>
      </c>
      <c r="B64" s="92">
        <v>0.03</v>
      </c>
      <c r="C64" s="92">
        <v>0.03</v>
      </c>
      <c r="D64" s="92">
        <v>0.03</v>
      </c>
      <c r="E64" s="92">
        <v>0.02</v>
      </c>
      <c r="F64" s="92">
        <v>0.01</v>
      </c>
      <c r="G64" s="172">
        <v>0.97</v>
      </c>
    </row>
    <row r="65" spans="1:10" ht="15.75" customHeight="1" x14ac:dyDescent="0.2">
      <c r="A65" s="58" t="str">
        <f>Database!A28</f>
        <v>Lettuce (butterhead)</v>
      </c>
      <c r="B65" s="92">
        <v>0.03</v>
      </c>
      <c r="C65" s="92">
        <v>0.03</v>
      </c>
      <c r="D65" s="92">
        <v>0.03</v>
      </c>
      <c r="E65" s="92">
        <v>0.02</v>
      </c>
      <c r="F65" s="92">
        <v>0.01</v>
      </c>
      <c r="G65" s="172">
        <v>0.97</v>
      </c>
    </row>
    <row r="66" spans="1:10" ht="15.75" customHeight="1" x14ac:dyDescent="0.2">
      <c r="A66" s="58" t="e">
        <f>Database!#REF!</f>
        <v>#REF!</v>
      </c>
      <c r="B66" s="92">
        <v>0.03</v>
      </c>
      <c r="C66" s="92">
        <v>0.03</v>
      </c>
      <c r="D66" s="92">
        <v>0.03</v>
      </c>
      <c r="E66" s="92">
        <v>0.02</v>
      </c>
      <c r="F66" s="92">
        <v>0.01</v>
      </c>
      <c r="G66" s="172">
        <v>0.97</v>
      </c>
      <c r="J66" s="58"/>
    </row>
    <row r="67" spans="1:10" ht="15.75" customHeight="1" x14ac:dyDescent="0.2">
      <c r="A67" s="58" t="str">
        <f>Database!A29</f>
        <v>Lettuce (little-gem)</v>
      </c>
      <c r="B67" s="92">
        <v>0.03</v>
      </c>
      <c r="C67" s="92">
        <v>0.03</v>
      </c>
      <c r="D67" s="92">
        <v>0.03</v>
      </c>
      <c r="E67" s="92">
        <v>0.02</v>
      </c>
      <c r="F67" s="92">
        <v>0.01</v>
      </c>
      <c r="G67" s="172">
        <v>0.97</v>
      </c>
    </row>
    <row r="68" spans="1:10" ht="15.75" customHeight="1" x14ac:dyDescent="0.2">
      <c r="A68" s="58" t="str">
        <f>Database!A30</f>
        <v>Lettuce (loose leaf)</v>
      </c>
      <c r="B68" s="92">
        <v>0.03</v>
      </c>
      <c r="C68" s="92">
        <v>0.03</v>
      </c>
      <c r="D68" s="92">
        <v>0.03</v>
      </c>
      <c r="E68" s="92">
        <v>0.02</v>
      </c>
      <c r="F68" s="92">
        <v>0.01</v>
      </c>
      <c r="G68" s="172">
        <v>0.97</v>
      </c>
    </row>
    <row r="69" spans="1:10" ht="15.75" customHeight="1" x14ac:dyDescent="0.2">
      <c r="A69" s="58" t="str">
        <f>Database!A31</f>
        <v>Lettuce Romaine</v>
      </c>
      <c r="B69" s="92">
        <v>0.03</v>
      </c>
      <c r="C69" s="92">
        <v>0.03</v>
      </c>
      <c r="D69" s="92">
        <v>0.03</v>
      </c>
      <c r="E69" s="92">
        <v>0.02</v>
      </c>
      <c r="F69" s="92">
        <v>0.01</v>
      </c>
      <c r="G69" s="172">
        <v>0.97</v>
      </c>
    </row>
    <row r="70" spans="1:10" ht="15.75" customHeight="1" x14ac:dyDescent="0.2">
      <c r="A70" s="58" t="e">
        <f>Database!#REF!</f>
        <v>#REF!</v>
      </c>
      <c r="B70" s="92">
        <v>0.03</v>
      </c>
      <c r="C70" s="92">
        <v>0.03</v>
      </c>
      <c r="D70" s="92">
        <v>0.03</v>
      </c>
      <c r="E70" s="92">
        <v>0.02</v>
      </c>
      <c r="F70" s="92">
        <v>0.01</v>
      </c>
      <c r="G70" s="172">
        <v>0.97</v>
      </c>
    </row>
    <row r="71" spans="1:10" ht="15.75" customHeight="1" x14ac:dyDescent="0.2">
      <c r="A71" s="58" t="str">
        <f>Database!A32</f>
        <v>Microgreens - Arugula</v>
      </c>
      <c r="B71" s="92">
        <v>0.03</v>
      </c>
      <c r="C71" s="92">
        <v>0.03</v>
      </c>
      <c r="D71" s="92">
        <v>0.03</v>
      </c>
      <c r="E71" s="92">
        <v>0.02</v>
      </c>
      <c r="F71" s="92">
        <v>0.01</v>
      </c>
      <c r="G71" s="172">
        <v>0.97</v>
      </c>
    </row>
    <row r="72" spans="1:10" ht="15.75" customHeight="1" x14ac:dyDescent="0.2">
      <c r="A72" s="58" t="e">
        <f>Database!#REF!</f>
        <v>#REF!</v>
      </c>
      <c r="B72" s="92">
        <v>0.03</v>
      </c>
      <c r="C72" s="92">
        <v>0.03</v>
      </c>
      <c r="D72" s="92">
        <v>0.03</v>
      </c>
      <c r="E72" s="92">
        <v>0.02</v>
      </c>
      <c r="F72" s="92">
        <v>0.01</v>
      </c>
      <c r="G72" s="172">
        <v>0.97</v>
      </c>
    </row>
    <row r="73" spans="1:10" ht="15.75" customHeight="1" x14ac:dyDescent="0.2">
      <c r="A73" s="58" t="str">
        <f>Database!A33</f>
        <v>Microgreens - Bull's Blood Beet</v>
      </c>
      <c r="B73" s="92">
        <v>0.03</v>
      </c>
      <c r="C73" s="92">
        <v>0.03</v>
      </c>
      <c r="D73" s="92">
        <v>0.03</v>
      </c>
      <c r="E73" s="92">
        <v>0.02</v>
      </c>
      <c r="F73" s="92">
        <v>0.01</v>
      </c>
      <c r="G73" s="172">
        <v>0.97</v>
      </c>
    </row>
    <row r="74" spans="1:10" ht="15.75" customHeight="1" x14ac:dyDescent="0.2">
      <c r="A74" s="58" t="str">
        <f>Database!A34</f>
        <v>Microgreens - Buttercrunch Lettuce</v>
      </c>
      <c r="B74" s="92">
        <v>0.03</v>
      </c>
      <c r="C74" s="92">
        <v>0.03</v>
      </c>
      <c r="D74" s="92">
        <v>0.03</v>
      </c>
      <c r="E74" s="92">
        <v>0.02</v>
      </c>
      <c r="F74" s="92">
        <v>0.01</v>
      </c>
      <c r="G74" s="172">
        <v>0.97</v>
      </c>
    </row>
    <row r="75" spans="1:10" ht="15.75" customHeight="1" x14ac:dyDescent="0.2">
      <c r="A75" s="58" t="e">
        <f>Database!#REF!</f>
        <v>#REF!</v>
      </c>
      <c r="B75" s="92">
        <v>0.03</v>
      </c>
      <c r="C75" s="92">
        <v>0.03</v>
      </c>
      <c r="D75" s="92">
        <v>0.03</v>
      </c>
      <c r="E75" s="92">
        <v>0.02</v>
      </c>
      <c r="F75" s="92">
        <v>0.01</v>
      </c>
      <c r="G75" s="172">
        <v>0.97</v>
      </c>
    </row>
    <row r="76" spans="1:10" ht="15.75" customHeight="1" x14ac:dyDescent="0.2">
      <c r="A76" s="58" t="str">
        <f>Database!A35</f>
        <v>Microgreens - Daikon Radish</v>
      </c>
      <c r="B76" s="92">
        <v>0.03</v>
      </c>
      <c r="C76" s="92">
        <v>0.03</v>
      </c>
      <c r="D76" s="92">
        <v>0.03</v>
      </c>
      <c r="E76" s="92">
        <v>0.02</v>
      </c>
      <c r="F76" s="92">
        <v>0.01</v>
      </c>
      <c r="G76" s="172">
        <v>0.97</v>
      </c>
    </row>
    <row r="77" spans="1:10" ht="15.75" customHeight="1" x14ac:dyDescent="0.2">
      <c r="A77" s="58" t="str">
        <f>Database!A36</f>
        <v>Microgreens - Dwarf Blue Curled Skotch kale</v>
      </c>
      <c r="B77" s="92">
        <v>0.03</v>
      </c>
      <c r="C77" s="92">
        <v>0.03</v>
      </c>
      <c r="D77" s="92">
        <v>0.03</v>
      </c>
      <c r="E77" s="92">
        <v>0.02</v>
      </c>
      <c r="F77" s="92">
        <v>0.01</v>
      </c>
      <c r="G77" s="172">
        <v>0.97</v>
      </c>
    </row>
    <row r="78" spans="1:10" ht="15.75" customHeight="1" x14ac:dyDescent="0.2">
      <c r="A78" s="58" t="e">
        <f>Database!#REF!</f>
        <v>#REF!</v>
      </c>
      <c r="B78" s="92">
        <v>0.03</v>
      </c>
      <c r="C78" s="92">
        <v>0.03</v>
      </c>
      <c r="D78" s="92">
        <v>0.03</v>
      </c>
      <c r="E78" s="92">
        <v>0.02</v>
      </c>
      <c r="F78" s="92">
        <v>0.01</v>
      </c>
      <c r="G78" s="172">
        <v>0.97</v>
      </c>
    </row>
    <row r="79" spans="1:10" ht="15.75" customHeight="1" x14ac:dyDescent="0.2">
      <c r="A79" s="58" t="str">
        <f>Database!A37</f>
        <v>Microgreens - Lacinato Kale</v>
      </c>
      <c r="B79" s="92">
        <v>0.03</v>
      </c>
      <c r="C79" s="92">
        <v>0.03</v>
      </c>
      <c r="D79" s="92">
        <v>0.03</v>
      </c>
      <c r="E79" s="92">
        <v>0.02</v>
      </c>
      <c r="F79" s="92">
        <v>0.01</v>
      </c>
      <c r="G79" s="172">
        <v>0.97</v>
      </c>
    </row>
    <row r="80" spans="1:10" ht="15.75" customHeight="1" x14ac:dyDescent="0.2">
      <c r="A80" s="58" t="str">
        <f>Database!A38</f>
        <v>Microgreens - Mizuna</v>
      </c>
      <c r="B80" s="92">
        <v>0.03</v>
      </c>
      <c r="C80" s="92">
        <v>0.03</v>
      </c>
      <c r="D80" s="92">
        <v>0.03</v>
      </c>
      <c r="E80" s="92">
        <v>0.02</v>
      </c>
      <c r="F80" s="92">
        <v>0.01</v>
      </c>
      <c r="G80" s="172">
        <v>0.97</v>
      </c>
    </row>
    <row r="81" spans="1:7" ht="15.75" customHeight="1" x14ac:dyDescent="0.2">
      <c r="A81" s="58" t="str">
        <f>Database!A39</f>
        <v>Microgreens - Mustard</v>
      </c>
      <c r="B81" s="92">
        <v>0.03</v>
      </c>
      <c r="C81" s="92">
        <v>0.03</v>
      </c>
      <c r="D81" s="92">
        <v>0.03</v>
      </c>
      <c r="E81" s="92">
        <v>0.02</v>
      </c>
      <c r="F81" s="92">
        <v>0.01</v>
      </c>
      <c r="G81" s="172">
        <v>0.97</v>
      </c>
    </row>
    <row r="82" spans="1:7" ht="15.75" customHeight="1" x14ac:dyDescent="0.2">
      <c r="A82" s="58" t="str">
        <f>Database!A40</f>
        <v>Microgreens - Mustard greens</v>
      </c>
      <c r="B82" s="92">
        <v>0.03</v>
      </c>
      <c r="C82" s="92">
        <v>0.03</v>
      </c>
      <c r="D82" s="92">
        <v>0.03</v>
      </c>
      <c r="E82" s="92">
        <v>0.02</v>
      </c>
      <c r="F82" s="92">
        <v>0.01</v>
      </c>
      <c r="G82" s="172">
        <v>0.97</v>
      </c>
    </row>
    <row r="83" spans="1:7" ht="15.75" customHeight="1" x14ac:dyDescent="0.2">
      <c r="A83" s="58" t="str">
        <f>Database!A41</f>
        <v>Microgreens - Parsley</v>
      </c>
      <c r="B83" s="92">
        <v>0.03</v>
      </c>
      <c r="C83" s="92">
        <v>0.03</v>
      </c>
      <c r="D83" s="92">
        <v>0.03</v>
      </c>
      <c r="E83" s="92">
        <v>0.02</v>
      </c>
      <c r="F83" s="92">
        <v>0.01</v>
      </c>
      <c r="G83" s="172">
        <v>0.97</v>
      </c>
    </row>
    <row r="84" spans="1:7" ht="15.75" customHeight="1" x14ac:dyDescent="0.2">
      <c r="A84" s="58" t="str">
        <f>Database!A42</f>
        <v>Microgreens - Peashoots</v>
      </c>
      <c r="B84" s="92">
        <v>0.03</v>
      </c>
      <c r="C84" s="92">
        <v>0.03</v>
      </c>
      <c r="D84" s="92">
        <v>0.03</v>
      </c>
      <c r="E84" s="92">
        <v>0.02</v>
      </c>
      <c r="F84" s="92">
        <v>0.01</v>
      </c>
      <c r="G84" s="172">
        <v>0.97</v>
      </c>
    </row>
    <row r="85" spans="1:7" ht="15.75" customHeight="1" x14ac:dyDescent="0.2">
      <c r="A85" s="58" t="str">
        <f>Database!A43</f>
        <v>Microgreens - Radish</v>
      </c>
      <c r="B85" s="92">
        <v>0.03</v>
      </c>
      <c r="C85" s="92">
        <v>0.03</v>
      </c>
      <c r="D85" s="92">
        <v>0.03</v>
      </c>
      <c r="E85" s="92">
        <v>0.02</v>
      </c>
      <c r="F85" s="92">
        <v>0.01</v>
      </c>
      <c r="G85" s="172">
        <v>0.97</v>
      </c>
    </row>
    <row r="86" spans="1:7" ht="15.75" customHeight="1" x14ac:dyDescent="0.2">
      <c r="A86" s="58" t="e">
        <f>Database!#REF!</f>
        <v>#REF!</v>
      </c>
      <c r="B86" s="92">
        <v>0.03</v>
      </c>
      <c r="C86" s="92">
        <v>0.03</v>
      </c>
      <c r="D86" s="92">
        <v>0.03</v>
      </c>
      <c r="E86" s="92">
        <v>0.02</v>
      </c>
      <c r="F86" s="92">
        <v>0.01</v>
      </c>
      <c r="G86" s="172">
        <v>0.97</v>
      </c>
    </row>
    <row r="87" spans="1:7" ht="15.75" customHeight="1" x14ac:dyDescent="0.2">
      <c r="A87" s="58" t="str">
        <f>Database!A44</f>
        <v>Microgreens - Red Russian Kale</v>
      </c>
      <c r="B87" s="92">
        <v>0.03</v>
      </c>
      <c r="C87" s="92">
        <v>0.03</v>
      </c>
      <c r="D87" s="92">
        <v>0.03</v>
      </c>
      <c r="E87" s="92">
        <v>0.02</v>
      </c>
      <c r="F87" s="92">
        <v>0.01</v>
      </c>
      <c r="G87" s="172">
        <v>0.97</v>
      </c>
    </row>
    <row r="88" spans="1:7" ht="15.75" customHeight="1" x14ac:dyDescent="0.2">
      <c r="A88" s="58" t="str">
        <f>Database!A45</f>
        <v>Microgreens - Red Velvet Lettuce</v>
      </c>
      <c r="B88" s="92">
        <v>0.03</v>
      </c>
      <c r="C88" s="92">
        <v>0.03</v>
      </c>
      <c r="D88" s="92">
        <v>0.03</v>
      </c>
      <c r="E88" s="92">
        <v>0.02</v>
      </c>
      <c r="F88" s="92">
        <v>0.01</v>
      </c>
      <c r="G88" s="172">
        <v>0.97</v>
      </c>
    </row>
    <row r="89" spans="1:7" ht="15.75" customHeight="1" x14ac:dyDescent="0.2">
      <c r="A89" s="58" t="e">
        <f>Database!#REF!</f>
        <v>#REF!</v>
      </c>
      <c r="B89" s="92">
        <v>0.03</v>
      </c>
      <c r="C89" s="92">
        <v>0.03</v>
      </c>
      <c r="D89" s="92">
        <v>0.03</v>
      </c>
      <c r="E89" s="92">
        <v>0.02</v>
      </c>
      <c r="F89" s="92">
        <v>0.01</v>
      </c>
      <c r="G89" s="172">
        <v>0.97</v>
      </c>
    </row>
    <row r="90" spans="1:7" ht="15.75" customHeight="1" x14ac:dyDescent="0.2">
      <c r="A90" s="58" t="str">
        <f>Database!A46</f>
        <v>Microgreens - Sorrell</v>
      </c>
      <c r="B90" s="92">
        <v>0.03</v>
      </c>
      <c r="C90" s="92">
        <v>0.03</v>
      </c>
      <c r="D90" s="92">
        <v>0.03</v>
      </c>
      <c r="E90" s="92">
        <v>0.02</v>
      </c>
      <c r="F90" s="92">
        <v>0.01</v>
      </c>
      <c r="G90" s="172">
        <v>0.97</v>
      </c>
    </row>
    <row r="91" spans="1:7" ht="15.75" customHeight="1" x14ac:dyDescent="0.2">
      <c r="A91" s="58" t="str">
        <f>Database!A47</f>
        <v>Microgreens - Swiss Chard</v>
      </c>
      <c r="B91" s="92">
        <v>0.03</v>
      </c>
      <c r="C91" s="92">
        <v>0.03</v>
      </c>
      <c r="D91" s="92">
        <v>0.03</v>
      </c>
      <c r="E91" s="92">
        <v>0.02</v>
      </c>
      <c r="F91" s="92">
        <v>0.01</v>
      </c>
      <c r="G91" s="172">
        <v>0.97</v>
      </c>
    </row>
    <row r="92" spans="1:7" ht="15.75" customHeight="1" x14ac:dyDescent="0.2">
      <c r="A92" s="58" t="str">
        <f>Database!A48</f>
        <v>Microgreens - Tatsoi</v>
      </c>
      <c r="B92" s="92">
        <v>0.03</v>
      </c>
      <c r="C92" s="92">
        <v>0.03</v>
      </c>
      <c r="D92" s="92">
        <v>0.03</v>
      </c>
      <c r="E92" s="92">
        <v>0.02</v>
      </c>
      <c r="F92" s="92">
        <v>0.01</v>
      </c>
      <c r="G92" s="172">
        <v>0.97</v>
      </c>
    </row>
    <row r="93" spans="1:7" ht="15.75" customHeight="1" x14ac:dyDescent="0.2">
      <c r="A93" s="58" t="str">
        <f>Database!A49</f>
        <v>Microgreens - Watercress</v>
      </c>
      <c r="B93" s="92">
        <v>0.03</v>
      </c>
      <c r="C93" s="92">
        <v>0.03</v>
      </c>
      <c r="D93" s="92">
        <v>0.03</v>
      </c>
      <c r="E93" s="92">
        <v>0.02</v>
      </c>
      <c r="F93" s="92">
        <v>0.01</v>
      </c>
      <c r="G93" s="172">
        <v>0.97</v>
      </c>
    </row>
    <row r="94" spans="1:7" ht="15.75" customHeight="1" x14ac:dyDescent="0.2">
      <c r="A94" s="58" t="str">
        <f>Database!A50</f>
        <v>Mustard Greens</v>
      </c>
      <c r="B94" s="92">
        <v>0.03</v>
      </c>
      <c r="C94" s="92">
        <v>0.03</v>
      </c>
      <c r="D94" s="92">
        <v>0.03</v>
      </c>
      <c r="E94" s="92">
        <v>0.02</v>
      </c>
      <c r="F94" s="92">
        <v>0.01</v>
      </c>
      <c r="G94" s="172">
        <v>0.97</v>
      </c>
    </row>
    <row r="95" spans="1:7" ht="15.75" customHeight="1" x14ac:dyDescent="0.2">
      <c r="A95" s="58" t="str">
        <f>Database!A51</f>
        <v>None</v>
      </c>
      <c r="B95" s="92">
        <v>0.03</v>
      </c>
      <c r="C95" s="92">
        <v>0.03</v>
      </c>
      <c r="D95" s="92">
        <v>0.03</v>
      </c>
      <c r="E95" s="92">
        <v>0.02</v>
      </c>
      <c r="F95" s="92">
        <v>0.01</v>
      </c>
      <c r="G95" s="172">
        <v>0.97</v>
      </c>
    </row>
    <row r="96" spans="1:7" ht="15.75" customHeight="1" x14ac:dyDescent="0.2">
      <c r="A96" s="58" t="str">
        <f>Database!A52</f>
        <v>Oregano</v>
      </c>
      <c r="B96" s="92">
        <v>0.03</v>
      </c>
      <c r="C96" s="92">
        <v>0.03</v>
      </c>
      <c r="D96" s="92">
        <v>0.03</v>
      </c>
      <c r="E96" s="92">
        <v>0.02</v>
      </c>
      <c r="F96" s="92">
        <v>0.01</v>
      </c>
      <c r="G96" s="172">
        <v>0.97</v>
      </c>
    </row>
    <row r="97" spans="1:7" ht="15.75" customHeight="1" x14ac:dyDescent="0.2">
      <c r="A97" s="58" t="e">
        <f>Database!#REF!</f>
        <v>#REF!</v>
      </c>
      <c r="B97" s="92">
        <v>0.03</v>
      </c>
      <c r="C97" s="92">
        <v>0.03</v>
      </c>
      <c r="D97" s="92">
        <v>0.03</v>
      </c>
      <c r="E97" s="92">
        <v>0.02</v>
      </c>
      <c r="F97" s="92">
        <v>0.01</v>
      </c>
      <c r="G97" s="172">
        <v>0.97</v>
      </c>
    </row>
    <row r="98" spans="1:7" ht="15.75" customHeight="1" x14ac:dyDescent="0.2">
      <c r="A98" s="58" t="e">
        <f>Database!#REF!</f>
        <v>#REF!</v>
      </c>
      <c r="B98" s="92">
        <v>0.03</v>
      </c>
      <c r="C98" s="92">
        <v>0.03</v>
      </c>
      <c r="D98" s="92">
        <v>0.03</v>
      </c>
      <c r="E98" s="92">
        <v>0.02</v>
      </c>
      <c r="F98" s="92">
        <v>0.01</v>
      </c>
      <c r="G98" s="172">
        <v>0.97</v>
      </c>
    </row>
    <row r="99" spans="1:7" ht="15.75" customHeight="1" x14ac:dyDescent="0.2">
      <c r="A99" s="58" t="str">
        <f>Database!A53</f>
        <v>Parsley</v>
      </c>
      <c r="B99" s="92">
        <v>0.03</v>
      </c>
      <c r="C99" s="92">
        <v>0.03</v>
      </c>
      <c r="D99" s="92">
        <v>0.03</v>
      </c>
      <c r="E99" s="92">
        <v>0.02</v>
      </c>
      <c r="F99" s="92">
        <v>0.01</v>
      </c>
      <c r="G99" s="172">
        <v>0.97</v>
      </c>
    </row>
    <row r="100" spans="1:7" ht="15.75" customHeight="1" x14ac:dyDescent="0.2">
      <c r="A100" s="58" t="e">
        <f>Database!#REF!</f>
        <v>#REF!</v>
      </c>
      <c r="B100" s="92">
        <v>0.03</v>
      </c>
      <c r="C100" s="92">
        <v>0.03</v>
      </c>
      <c r="D100" s="92">
        <v>0.03</v>
      </c>
      <c r="E100" s="92">
        <v>0.02</v>
      </c>
      <c r="F100" s="92">
        <v>0.01</v>
      </c>
      <c r="G100" s="172">
        <v>0.97</v>
      </c>
    </row>
    <row r="101" spans="1:7" ht="15.75" customHeight="1" x14ac:dyDescent="0.2">
      <c r="A101" s="58" t="e">
        <f>Database!#REF!</f>
        <v>#REF!</v>
      </c>
      <c r="B101" s="92">
        <v>0.03</v>
      </c>
      <c r="C101" s="92">
        <v>0.03</v>
      </c>
      <c r="D101" s="92">
        <v>0.03</v>
      </c>
      <c r="E101" s="92">
        <v>0.02</v>
      </c>
      <c r="F101" s="92">
        <v>0.01</v>
      </c>
      <c r="G101" s="172">
        <v>0.97</v>
      </c>
    </row>
    <row r="102" spans="1:7" ht="15.75" customHeight="1" x14ac:dyDescent="0.2">
      <c r="A102" s="58" t="e">
        <f>Database!#REF!</f>
        <v>#REF!</v>
      </c>
      <c r="B102" s="92">
        <v>0.03</v>
      </c>
      <c r="C102" s="92">
        <v>0.03</v>
      </c>
      <c r="D102" s="92">
        <v>0.03</v>
      </c>
      <c r="E102" s="92">
        <v>0.02</v>
      </c>
      <c r="F102" s="92">
        <v>0.01</v>
      </c>
      <c r="G102" s="172">
        <v>0.97</v>
      </c>
    </row>
    <row r="103" spans="1:7" ht="15.75" customHeight="1" x14ac:dyDescent="0.2">
      <c r="A103" s="58" t="str">
        <f>Database!A54</f>
        <v>Rosemary</v>
      </c>
      <c r="B103" s="92">
        <v>0.03</v>
      </c>
      <c r="C103" s="92">
        <v>0.03</v>
      </c>
      <c r="D103" s="92">
        <v>0.03</v>
      </c>
      <c r="E103" s="92">
        <v>0.02</v>
      </c>
      <c r="F103" s="92">
        <v>0.01</v>
      </c>
      <c r="G103" s="172">
        <v>0.97</v>
      </c>
    </row>
    <row r="104" spans="1:7" ht="15.75" customHeight="1" x14ac:dyDescent="0.2">
      <c r="A104" s="58" t="str">
        <f>Database!A55</f>
        <v>Sage</v>
      </c>
      <c r="B104" s="92">
        <v>0.03</v>
      </c>
      <c r="C104" s="92">
        <v>0.03</v>
      </c>
      <c r="D104" s="92">
        <v>0.03</v>
      </c>
      <c r="E104" s="92">
        <v>0.02</v>
      </c>
      <c r="F104" s="92">
        <v>0.01</v>
      </c>
      <c r="G104" s="172">
        <v>0.97</v>
      </c>
    </row>
    <row r="105" spans="1:7" ht="15.75" customHeight="1" x14ac:dyDescent="0.2">
      <c r="A105" s="58" t="str">
        <f>Database!A56</f>
        <v>Salad Mix - Baby Greens</v>
      </c>
      <c r="B105" s="92">
        <v>0.03</v>
      </c>
      <c r="C105" s="92">
        <v>0.03</v>
      </c>
      <c r="D105" s="92">
        <v>0.03</v>
      </c>
      <c r="E105" s="92">
        <v>0.02</v>
      </c>
      <c r="F105" s="92">
        <v>0.01</v>
      </c>
      <c r="G105" s="172">
        <v>0.97</v>
      </c>
    </row>
    <row r="106" spans="1:7" ht="15.75" customHeight="1" x14ac:dyDescent="0.2">
      <c r="A106" s="58" t="str">
        <f>Database!A57</f>
        <v>Scallion</v>
      </c>
      <c r="B106" s="92">
        <v>0.03</v>
      </c>
      <c r="C106" s="92">
        <v>0.03</v>
      </c>
      <c r="D106" s="92">
        <v>0.03</v>
      </c>
      <c r="E106" s="92">
        <v>0.02</v>
      </c>
      <c r="F106" s="92">
        <v>0.01</v>
      </c>
      <c r="G106" s="172">
        <v>0.97</v>
      </c>
    </row>
    <row r="107" spans="1:7" ht="15.75" customHeight="1" x14ac:dyDescent="0.2">
      <c r="A107" s="58" t="e">
        <f>Database!#REF!</f>
        <v>#REF!</v>
      </c>
      <c r="B107" s="92">
        <v>0.03</v>
      </c>
      <c r="C107" s="92">
        <v>0.03</v>
      </c>
      <c r="D107" s="92">
        <v>0.03</v>
      </c>
      <c r="E107" s="92">
        <v>0.02</v>
      </c>
      <c r="F107" s="92">
        <v>0.01</v>
      </c>
      <c r="G107" s="172">
        <v>0.97</v>
      </c>
    </row>
    <row r="108" spans="1:7" ht="15.75" customHeight="1" x14ac:dyDescent="0.2">
      <c r="A108" s="58" t="str">
        <f>Database!A58</f>
        <v>Sorrel -Green</v>
      </c>
      <c r="B108" s="92">
        <v>0.03</v>
      </c>
      <c r="C108" s="92">
        <v>0.03</v>
      </c>
      <c r="D108" s="92">
        <v>0.03</v>
      </c>
      <c r="E108" s="92">
        <v>0.02</v>
      </c>
      <c r="F108" s="92">
        <v>0.01</v>
      </c>
      <c r="G108" s="172">
        <v>0.97</v>
      </c>
    </row>
    <row r="109" spans="1:7" ht="15.75" customHeight="1" x14ac:dyDescent="0.2">
      <c r="A109" s="58" t="e">
        <f>Database!#REF!</f>
        <v>#REF!</v>
      </c>
      <c r="B109" s="92">
        <v>0.03</v>
      </c>
      <c r="C109" s="92">
        <v>0.03</v>
      </c>
      <c r="D109" s="92">
        <v>0.03</v>
      </c>
      <c r="E109" s="92">
        <v>0.02</v>
      </c>
      <c r="F109" s="92">
        <v>0.01</v>
      </c>
      <c r="G109" s="172">
        <v>0.97</v>
      </c>
    </row>
    <row r="110" spans="1:7" ht="15.75" customHeight="1" x14ac:dyDescent="0.2">
      <c r="A110" s="58" t="str">
        <f>Database!A59</f>
        <v>Spinach</v>
      </c>
      <c r="B110" s="92">
        <v>0.03</v>
      </c>
      <c r="C110" s="92">
        <v>0.03</v>
      </c>
      <c r="D110" s="92">
        <v>0.03</v>
      </c>
      <c r="E110" s="92">
        <v>0.02</v>
      </c>
      <c r="F110" s="92">
        <v>0.01</v>
      </c>
      <c r="G110" s="172">
        <v>0.97</v>
      </c>
    </row>
    <row r="111" spans="1:7" ht="15.75" customHeight="1" x14ac:dyDescent="0.2">
      <c r="A111" s="58" t="e">
        <f>Database!#REF!</f>
        <v>#REF!</v>
      </c>
      <c r="B111" s="92">
        <v>0.03</v>
      </c>
      <c r="C111" s="92">
        <v>0.03</v>
      </c>
      <c r="D111" s="92">
        <v>0.03</v>
      </c>
      <c r="E111" s="92">
        <v>0.02</v>
      </c>
      <c r="F111" s="92">
        <v>0.01</v>
      </c>
      <c r="G111" s="172">
        <v>0.97</v>
      </c>
    </row>
    <row r="112" spans="1:7" ht="15.75" customHeight="1" x14ac:dyDescent="0.2">
      <c r="A112" s="58" t="str">
        <f>Database!A60</f>
        <v>Stevia</v>
      </c>
      <c r="B112" s="92">
        <v>0.03</v>
      </c>
      <c r="C112" s="92">
        <v>0.03</v>
      </c>
      <c r="D112" s="92">
        <v>0.03</v>
      </c>
      <c r="E112" s="92">
        <v>0.02</v>
      </c>
      <c r="F112" s="92">
        <v>0.01</v>
      </c>
      <c r="G112" s="172">
        <v>0.97</v>
      </c>
    </row>
    <row r="113" spans="1:7" ht="15.75" customHeight="1" x14ac:dyDescent="0.2">
      <c r="A113" s="58" t="str">
        <f>Database!A61</f>
        <v>Strawberry</v>
      </c>
      <c r="B113" s="92">
        <v>0.03</v>
      </c>
      <c r="C113" s="92">
        <v>0.03</v>
      </c>
      <c r="D113" s="92">
        <v>0.03</v>
      </c>
      <c r="E113" s="92">
        <v>0.02</v>
      </c>
      <c r="F113" s="92">
        <v>0.01</v>
      </c>
      <c r="G113" s="172">
        <v>0.97</v>
      </c>
    </row>
    <row r="114" spans="1:7" ht="15.75" customHeight="1" x14ac:dyDescent="0.2">
      <c r="A114" s="58" t="e">
        <f>Database!#REF!</f>
        <v>#REF!</v>
      </c>
      <c r="B114" s="92">
        <v>0.03</v>
      </c>
      <c r="C114" s="92">
        <v>0.03</v>
      </c>
      <c r="D114" s="92">
        <v>0.03</v>
      </c>
      <c r="E114" s="92">
        <v>0.02</v>
      </c>
      <c r="F114" s="92">
        <v>0.01</v>
      </c>
      <c r="G114" s="172">
        <v>0.97</v>
      </c>
    </row>
    <row r="115" spans="1:7" ht="15.75" customHeight="1" x14ac:dyDescent="0.2">
      <c r="A115" s="58" t="str">
        <f>Database!A62</f>
        <v>Tarragon</v>
      </c>
      <c r="B115" s="92">
        <v>0.03</v>
      </c>
      <c r="C115" s="92">
        <v>0.03</v>
      </c>
      <c r="D115" s="92">
        <v>0.03</v>
      </c>
      <c r="E115" s="92">
        <v>0.02</v>
      </c>
      <c r="F115" s="92">
        <v>0.01</v>
      </c>
      <c r="G115" s="172">
        <v>0.97</v>
      </c>
    </row>
    <row r="116" spans="1:7" ht="15.75" customHeight="1" x14ac:dyDescent="0.2">
      <c r="A116" s="58" t="str">
        <f>Database!A63</f>
        <v>Thyme</v>
      </c>
      <c r="B116" s="92">
        <v>0.03</v>
      </c>
      <c r="C116" s="92">
        <v>0.03</v>
      </c>
      <c r="D116" s="92">
        <v>0.03</v>
      </c>
      <c r="E116" s="92">
        <v>0.02</v>
      </c>
      <c r="F116" s="92">
        <v>0.01</v>
      </c>
      <c r="G116" s="172">
        <v>0.97</v>
      </c>
    </row>
    <row r="117" spans="1:7" ht="15.75" customHeight="1" x14ac:dyDescent="0.2">
      <c r="A117" s="58" t="e">
        <f>Database!#REF!</f>
        <v>#REF!</v>
      </c>
      <c r="B117" s="92">
        <v>0.03</v>
      </c>
      <c r="C117" s="92">
        <v>0.03</v>
      </c>
      <c r="D117" s="92">
        <v>0.03</v>
      </c>
      <c r="E117" s="92">
        <v>0.02</v>
      </c>
      <c r="F117" s="92">
        <v>0.01</v>
      </c>
      <c r="G117" s="172">
        <v>0.97</v>
      </c>
    </row>
    <row r="118" spans="1:7" ht="15.75" customHeight="1" x14ac:dyDescent="0.2">
      <c r="A118" s="58" t="e">
        <f>Database!#REF!</f>
        <v>#REF!</v>
      </c>
      <c r="B118" s="92">
        <v>0.03</v>
      </c>
      <c r="C118" s="92">
        <v>0.03</v>
      </c>
      <c r="D118" s="92">
        <v>0.03</v>
      </c>
      <c r="E118" s="92">
        <v>0.02</v>
      </c>
      <c r="F118" s="92">
        <v>0.01</v>
      </c>
      <c r="G118" s="172">
        <v>0.97</v>
      </c>
    </row>
    <row r="119" spans="1:7" ht="15.75" customHeight="1" x14ac:dyDescent="0.2">
      <c r="A119" s="58" t="e">
        <f>Database!#REF!</f>
        <v>#REF!</v>
      </c>
      <c r="B119" s="92">
        <v>0.03</v>
      </c>
      <c r="C119" s="92">
        <v>0.03</v>
      </c>
      <c r="D119" s="92">
        <v>0.03</v>
      </c>
      <c r="E119" s="92">
        <v>0.02</v>
      </c>
      <c r="F119" s="92">
        <v>0.01</v>
      </c>
      <c r="G119" s="172">
        <v>0.97</v>
      </c>
    </row>
    <row r="120" spans="1:7" ht="15.75" customHeight="1" x14ac:dyDescent="0.2">
      <c r="A120" s="58" t="str">
        <f>Database!A64</f>
        <v>Watercress</v>
      </c>
      <c r="B120" s="92">
        <v>0.03</v>
      </c>
      <c r="C120" s="92">
        <v>0.03</v>
      </c>
      <c r="D120" s="92">
        <v>0.03</v>
      </c>
      <c r="E120" s="92">
        <v>0.02</v>
      </c>
      <c r="F120" s="92">
        <v>0.01</v>
      </c>
      <c r="G120" s="172">
        <v>0.97</v>
      </c>
    </row>
    <row r="121" spans="1:7" ht="15.75" customHeight="1" x14ac:dyDescent="0.2">
      <c r="A121" s="58" t="e">
        <f>Database!#REF!</f>
        <v>#REF!</v>
      </c>
      <c r="B121" s="92">
        <v>0.03</v>
      </c>
      <c r="C121" s="92">
        <v>0.03</v>
      </c>
      <c r="D121" s="92">
        <v>0.03</v>
      </c>
      <c r="E121" s="92">
        <v>0.02</v>
      </c>
      <c r="F121" s="92">
        <v>0.01</v>
      </c>
      <c r="G121" s="172">
        <v>0.97</v>
      </c>
    </row>
    <row r="122" spans="1:7" ht="15.75" customHeight="1" x14ac:dyDescent="0.2">
      <c r="A122" s="58" t="e">
        <f>Database!#REF!</f>
        <v>#REF!</v>
      </c>
      <c r="B122" s="92">
        <v>0.03</v>
      </c>
      <c r="C122" s="92">
        <v>0.03</v>
      </c>
      <c r="D122" s="92">
        <v>0.03</v>
      </c>
      <c r="E122" s="92">
        <v>0.02</v>
      </c>
      <c r="F122" s="92">
        <v>0.01</v>
      </c>
      <c r="G122" s="172">
        <v>0.97</v>
      </c>
    </row>
    <row r="123" spans="1:7" ht="15.75" customHeight="1" x14ac:dyDescent="0.2">
      <c r="A123" s="58"/>
    </row>
    <row r="124" spans="1:7" ht="15.75" customHeight="1" x14ac:dyDescent="0.2">
      <c r="A124" s="58"/>
    </row>
    <row r="125" spans="1:7" ht="15.75" customHeight="1" x14ac:dyDescent="0.2">
      <c r="A125" s="58"/>
    </row>
    <row r="126" spans="1:7" ht="15.75" customHeight="1" x14ac:dyDescent="0.2">
      <c r="A126" s="58"/>
    </row>
    <row r="127" spans="1:7" ht="15.75" customHeight="1" x14ac:dyDescent="0.2">
      <c r="A127" s="58"/>
    </row>
    <row r="128" spans="1:7" ht="15.75" customHeight="1" x14ac:dyDescent="0.2">
      <c r="A128" s="58"/>
    </row>
    <row r="129" spans="1:1" ht="15.75" customHeight="1" x14ac:dyDescent="0.2">
      <c r="A129" s="58"/>
    </row>
    <row r="130" spans="1:1" ht="15.75" customHeight="1" x14ac:dyDescent="0.2">
      <c r="A130" s="58"/>
    </row>
    <row r="131" spans="1:1" ht="15.75" customHeight="1" x14ac:dyDescent="0.2">
      <c r="A131" s="58"/>
    </row>
    <row r="132" spans="1:1" ht="15.75" customHeight="1" x14ac:dyDescent="0.2">
      <c r="A132" s="58"/>
    </row>
  </sheetData>
  <mergeCells count="2">
    <mergeCell ref="B34:F34"/>
    <mergeCell ref="B21:F21"/>
  </mergeCells>
  <conditionalFormatting sqref="B7:L10 B13:L16 B24:F26 B31 B36:F122">
    <cfRule type="expression" dxfId="8" priority="1">
      <formula>currency="AUD"</formula>
    </cfRule>
    <cfRule type="expression" dxfId="7" priority="2">
      <formula>currency="JPY"</formula>
    </cfRule>
    <cfRule type="expression" dxfId="6" priority="3">
      <formula>currency="EUR"</formula>
    </cfRule>
    <cfRule type="expression" dxfId="5" priority="4">
      <formula>currency="GBP"</formula>
    </cfRule>
    <cfRule type="expression" dxfId="4" priority="5">
      <formula>currency="USD"</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44E3B-C1AC-D346-B4EB-4AAE890C9158}">
  <dimension ref="A1:AB172"/>
  <sheetViews>
    <sheetView zoomScale="99" workbookViewId="0">
      <pane xSplit="1" topLeftCell="G1" activePane="topRight" state="frozen"/>
      <selection pane="topRight" activeCell="M56" sqref="M56"/>
    </sheetView>
  </sheetViews>
  <sheetFormatPr baseColWidth="10" defaultRowHeight="16" x14ac:dyDescent="0.2"/>
  <cols>
    <col min="1" max="1" width="30.6640625" style="30" customWidth="1"/>
    <col min="2" max="2" width="28.6640625" style="30" bestFit="1" customWidth="1"/>
    <col min="3" max="3" width="25.83203125" style="30" bestFit="1" customWidth="1"/>
    <col min="4" max="4" width="24.6640625" style="30" bestFit="1" customWidth="1"/>
    <col min="5" max="5" width="26" style="30" bestFit="1" customWidth="1"/>
    <col min="6" max="6" width="16.83203125" style="30" customWidth="1"/>
    <col min="7" max="7" width="16.1640625" style="30" bestFit="1" customWidth="1"/>
    <col min="8" max="8" width="29.6640625" style="30" customWidth="1"/>
    <col min="9" max="9" width="17.33203125" style="30" customWidth="1"/>
    <col min="10" max="16384" width="10.83203125" style="30"/>
  </cols>
  <sheetData>
    <row r="1" spans="1:28" x14ac:dyDescent="0.2">
      <c r="A1" s="31" t="s">
        <v>308</v>
      </c>
    </row>
    <row r="2" spans="1:28" x14ac:dyDescent="0.2">
      <c r="A2" s="55" t="s">
        <v>168</v>
      </c>
      <c r="B2" s="56"/>
      <c r="C2" s="56"/>
      <c r="D2" s="56"/>
      <c r="E2" s="56"/>
      <c r="F2" s="56"/>
      <c r="G2" s="56"/>
      <c r="H2" s="56"/>
      <c r="I2" s="56"/>
      <c r="J2" s="56"/>
      <c r="K2" s="56"/>
      <c r="L2" s="56"/>
      <c r="M2" s="56"/>
      <c r="N2" s="56"/>
      <c r="O2" s="56"/>
      <c r="P2" s="56"/>
      <c r="Q2" s="56"/>
    </row>
    <row r="3" spans="1:28" x14ac:dyDescent="0.2">
      <c r="A3" s="53" t="s">
        <v>131</v>
      </c>
      <c r="B3" s="54"/>
      <c r="C3" s="54"/>
      <c r="D3" s="54"/>
      <c r="E3" s="54"/>
      <c r="F3" s="54"/>
      <c r="G3" s="54"/>
      <c r="H3" s="54"/>
      <c r="I3" s="54"/>
      <c r="J3" s="54"/>
      <c r="K3" s="54"/>
      <c r="L3" s="54"/>
      <c r="M3" s="54"/>
      <c r="N3" s="54"/>
      <c r="O3" s="54"/>
      <c r="P3" s="54"/>
      <c r="Q3" s="54"/>
    </row>
    <row r="4" spans="1:28" x14ac:dyDescent="0.2">
      <c r="A4" s="61" t="s">
        <v>192</v>
      </c>
      <c r="B4" s="62"/>
      <c r="C4" s="62"/>
      <c r="D4" s="62"/>
      <c r="E4" s="62"/>
      <c r="F4" s="62"/>
      <c r="G4" s="62"/>
      <c r="H4" s="62"/>
      <c r="I4" s="62"/>
      <c r="J4" s="62"/>
      <c r="K4" s="62"/>
      <c r="L4" s="62"/>
      <c r="M4" s="62"/>
      <c r="N4" s="62"/>
      <c r="O4" s="62"/>
      <c r="P4" s="62"/>
      <c r="Q4" s="62"/>
    </row>
    <row r="5" spans="1:28" x14ac:dyDescent="0.2">
      <c r="A5" s="113" t="s">
        <v>305</v>
      </c>
      <c r="B5" s="101"/>
      <c r="C5" s="101"/>
      <c r="D5" s="101"/>
      <c r="E5" s="101"/>
      <c r="F5" s="101"/>
      <c r="G5" s="101"/>
      <c r="H5" s="101"/>
      <c r="I5" s="101"/>
      <c r="J5" s="101"/>
      <c r="K5" s="101"/>
      <c r="L5" s="101"/>
      <c r="M5" s="101"/>
      <c r="N5" s="101"/>
      <c r="O5" s="101"/>
      <c r="P5" s="101"/>
      <c r="Q5" s="101"/>
    </row>
    <row r="6" spans="1:28" ht="16" customHeight="1" x14ac:dyDescent="0.2">
      <c r="A6" s="106"/>
      <c r="B6" s="107"/>
      <c r="C6" s="107"/>
      <c r="D6" s="107"/>
      <c r="E6" s="107"/>
      <c r="F6" s="107"/>
      <c r="G6" s="107"/>
      <c r="H6" s="107"/>
      <c r="I6" s="107"/>
      <c r="J6" s="430" t="s">
        <v>429</v>
      </c>
      <c r="K6" s="430"/>
      <c r="L6" s="430"/>
      <c r="M6" s="430"/>
      <c r="N6" s="430"/>
      <c r="O6" s="430"/>
      <c r="P6" s="109"/>
      <c r="Q6" s="109"/>
    </row>
    <row r="7" spans="1:28" ht="74" customHeight="1" x14ac:dyDescent="0.2">
      <c r="A7" s="187" t="s">
        <v>171</v>
      </c>
      <c r="B7" s="231" t="s">
        <v>175</v>
      </c>
      <c r="C7" s="231" t="s">
        <v>176</v>
      </c>
      <c r="D7" s="231" t="s">
        <v>177</v>
      </c>
      <c r="E7" s="231" t="s">
        <v>178</v>
      </c>
      <c r="F7" s="231" t="s">
        <v>179</v>
      </c>
      <c r="G7" s="231" t="s">
        <v>180</v>
      </c>
      <c r="H7" s="231" t="s">
        <v>181</v>
      </c>
      <c r="I7" s="231" t="s">
        <v>436</v>
      </c>
      <c r="J7" s="231" t="s">
        <v>426</v>
      </c>
      <c r="K7" s="231" t="s">
        <v>455</v>
      </c>
      <c r="L7" s="232" t="s">
        <v>427</v>
      </c>
      <c r="M7" s="231" t="s">
        <v>428</v>
      </c>
      <c r="N7" s="231" t="s">
        <v>435</v>
      </c>
      <c r="O7" s="231" t="s">
        <v>430</v>
      </c>
      <c r="P7" s="231" t="s">
        <v>432</v>
      </c>
      <c r="Q7" s="231" t="s">
        <v>431</v>
      </c>
      <c r="R7" s="231" t="s">
        <v>183</v>
      </c>
      <c r="S7" s="231" t="s">
        <v>184</v>
      </c>
      <c r="T7" s="231" t="s">
        <v>185</v>
      </c>
      <c r="U7" s="231" t="s">
        <v>186</v>
      </c>
      <c r="V7" s="231" t="s">
        <v>187</v>
      </c>
      <c r="W7" s="231" t="s">
        <v>188</v>
      </c>
      <c r="X7" s="231" t="s">
        <v>189</v>
      </c>
      <c r="Y7" s="231" t="s">
        <v>190</v>
      </c>
      <c r="Z7" s="231" t="s">
        <v>182</v>
      </c>
      <c r="AA7" s="59" t="s">
        <v>372</v>
      </c>
      <c r="AB7" s="366" t="s">
        <v>953</v>
      </c>
    </row>
    <row r="8" spans="1:28" x14ac:dyDescent="0.2">
      <c r="A8" s="154" t="s">
        <v>377</v>
      </c>
      <c r="B8" s="233">
        <v>0</v>
      </c>
      <c r="C8" s="233">
        <v>0</v>
      </c>
      <c r="D8" s="233">
        <v>16</v>
      </c>
      <c r="E8" s="233">
        <v>30</v>
      </c>
      <c r="F8" s="233">
        <v>0</v>
      </c>
      <c r="G8" s="233">
        <v>0</v>
      </c>
      <c r="H8" s="233">
        <v>0</v>
      </c>
      <c r="I8" s="234">
        <f>AVERAGE(J8:P8)</f>
        <v>0</v>
      </c>
      <c r="J8" s="235">
        <v>0</v>
      </c>
      <c r="K8" s="235">
        <v>0</v>
      </c>
      <c r="L8" s="235">
        <v>0</v>
      </c>
      <c r="M8" s="235">
        <v>0</v>
      </c>
      <c r="N8" s="235">
        <v>0</v>
      </c>
      <c r="O8" s="235">
        <v>0</v>
      </c>
      <c r="P8" s="235">
        <v>0</v>
      </c>
      <c r="Q8" s="235">
        <v>0</v>
      </c>
      <c r="R8" s="233">
        <v>0</v>
      </c>
      <c r="S8" s="233">
        <v>0</v>
      </c>
      <c r="T8" s="233">
        <v>0</v>
      </c>
      <c r="U8" s="233">
        <v>0</v>
      </c>
      <c r="V8" s="233">
        <v>0</v>
      </c>
      <c r="W8" s="233">
        <v>0</v>
      </c>
      <c r="X8" s="233">
        <v>0</v>
      </c>
      <c r="Y8" s="233">
        <v>0</v>
      </c>
      <c r="Z8" s="233">
        <v>0</v>
      </c>
      <c r="AA8" s="59"/>
      <c r="AB8" s="367">
        <v>14</v>
      </c>
    </row>
    <row r="9" spans="1:28" x14ac:dyDescent="0.2">
      <c r="A9" s="154" t="s">
        <v>378</v>
      </c>
      <c r="B9" s="233">
        <v>0</v>
      </c>
      <c r="C9" s="233">
        <v>0</v>
      </c>
      <c r="D9" s="233">
        <v>16</v>
      </c>
      <c r="E9" s="233">
        <v>30</v>
      </c>
      <c r="F9" s="233">
        <v>0</v>
      </c>
      <c r="G9" s="233">
        <v>0</v>
      </c>
      <c r="H9" s="233">
        <v>0</v>
      </c>
      <c r="I9" s="234">
        <f t="shared" ref="I9:I57" si="0">AVERAGE(J9:P9)</f>
        <v>0</v>
      </c>
      <c r="J9" s="235">
        <v>0</v>
      </c>
      <c r="K9" s="235">
        <v>0</v>
      </c>
      <c r="L9" s="235">
        <v>0</v>
      </c>
      <c r="M9" s="235">
        <v>0</v>
      </c>
      <c r="N9" s="235">
        <v>0</v>
      </c>
      <c r="O9" s="235">
        <v>0</v>
      </c>
      <c r="P9" s="235">
        <v>0</v>
      </c>
      <c r="Q9" s="235">
        <v>0</v>
      </c>
      <c r="R9" s="233">
        <v>0</v>
      </c>
      <c r="S9" s="233">
        <v>0</v>
      </c>
      <c r="T9" s="233">
        <v>0</v>
      </c>
      <c r="U9" s="233">
        <v>0</v>
      </c>
      <c r="V9" s="233">
        <v>0</v>
      </c>
      <c r="W9" s="233">
        <v>0</v>
      </c>
      <c r="X9" s="233">
        <v>0</v>
      </c>
      <c r="Y9" s="233">
        <v>0</v>
      </c>
      <c r="Z9" s="233">
        <v>0</v>
      </c>
      <c r="AA9" s="59"/>
      <c r="AB9" s="367">
        <v>14</v>
      </c>
    </row>
    <row r="10" spans="1:28" x14ac:dyDescent="0.2">
      <c r="A10" s="154" t="s">
        <v>514</v>
      </c>
      <c r="B10" s="233">
        <v>0</v>
      </c>
      <c r="C10" s="233">
        <v>0</v>
      </c>
      <c r="D10" s="238">
        <v>14</v>
      </c>
      <c r="E10" s="233">
        <v>42</v>
      </c>
      <c r="F10" s="233">
        <v>0</v>
      </c>
      <c r="G10" s="233">
        <v>0</v>
      </c>
      <c r="H10" s="233">
        <v>0</v>
      </c>
      <c r="I10" s="234">
        <f t="shared" si="0"/>
        <v>0</v>
      </c>
      <c r="J10" s="235">
        <v>0</v>
      </c>
      <c r="K10" s="235">
        <v>0</v>
      </c>
      <c r="L10" s="235">
        <v>0</v>
      </c>
      <c r="M10" s="235">
        <v>0</v>
      </c>
      <c r="N10" s="235">
        <v>0</v>
      </c>
      <c r="O10" s="235">
        <v>0</v>
      </c>
      <c r="P10" s="235">
        <v>0</v>
      </c>
      <c r="Q10" s="235">
        <v>0</v>
      </c>
      <c r="R10" s="233">
        <v>0</v>
      </c>
      <c r="S10" s="233">
        <v>0</v>
      </c>
      <c r="T10" s="233">
        <v>0</v>
      </c>
      <c r="U10" s="233">
        <v>0</v>
      </c>
      <c r="V10" s="233">
        <v>0</v>
      </c>
      <c r="W10" s="233">
        <v>0</v>
      </c>
      <c r="X10" s="233">
        <v>0</v>
      </c>
      <c r="Y10" s="233">
        <v>0</v>
      </c>
      <c r="Z10" s="233">
        <v>0</v>
      </c>
      <c r="AA10" s="59"/>
      <c r="AB10" s="367">
        <v>14</v>
      </c>
    </row>
    <row r="11" spans="1:28" x14ac:dyDescent="0.2">
      <c r="A11" s="154" t="s">
        <v>513</v>
      </c>
      <c r="B11" s="233">
        <v>0</v>
      </c>
      <c r="C11" s="233">
        <v>0</v>
      </c>
      <c r="D11" s="238">
        <v>14</v>
      </c>
      <c r="E11" s="238">
        <v>42</v>
      </c>
      <c r="F11" s="233">
        <v>0</v>
      </c>
      <c r="G11" s="233">
        <v>0</v>
      </c>
      <c r="H11" s="233">
        <v>0</v>
      </c>
      <c r="I11" s="234">
        <f t="shared" si="0"/>
        <v>0</v>
      </c>
      <c r="J11" s="235">
        <v>0</v>
      </c>
      <c r="K11" s="235">
        <v>0</v>
      </c>
      <c r="L11" s="235">
        <v>0</v>
      </c>
      <c r="M11" s="235">
        <v>0</v>
      </c>
      <c r="N11" s="235">
        <v>0</v>
      </c>
      <c r="O11" s="235">
        <v>0</v>
      </c>
      <c r="P11" s="235">
        <v>0</v>
      </c>
      <c r="Q11" s="235">
        <v>0</v>
      </c>
      <c r="R11" s="233">
        <v>0</v>
      </c>
      <c r="S11" s="233">
        <v>0</v>
      </c>
      <c r="T11" s="233">
        <v>0</v>
      </c>
      <c r="U11" s="233">
        <v>0</v>
      </c>
      <c r="V11" s="233">
        <v>0</v>
      </c>
      <c r="W11" s="233">
        <v>0</v>
      </c>
      <c r="X11" s="233">
        <v>0</v>
      </c>
      <c r="Y11" s="233">
        <v>0</v>
      </c>
      <c r="Z11" s="233">
        <v>0</v>
      </c>
      <c r="AA11" s="59"/>
      <c r="AB11" s="367">
        <v>14</v>
      </c>
    </row>
    <row r="12" spans="1:28" x14ac:dyDescent="0.2">
      <c r="A12" s="154" t="s">
        <v>379</v>
      </c>
      <c r="B12" s="233">
        <v>0</v>
      </c>
      <c r="C12" s="233">
        <v>0</v>
      </c>
      <c r="D12" s="238">
        <v>14</v>
      </c>
      <c r="E12" s="233">
        <v>42</v>
      </c>
      <c r="F12" s="233">
        <v>0</v>
      </c>
      <c r="G12" s="233">
        <v>0</v>
      </c>
      <c r="H12" s="233">
        <v>0</v>
      </c>
      <c r="I12" s="234">
        <f t="shared" si="0"/>
        <v>0</v>
      </c>
      <c r="J12" s="235">
        <v>0</v>
      </c>
      <c r="K12" s="235">
        <v>0</v>
      </c>
      <c r="L12" s="235">
        <v>0</v>
      </c>
      <c r="M12" s="235">
        <v>0</v>
      </c>
      <c r="N12" s="235">
        <v>0</v>
      </c>
      <c r="O12" s="235">
        <v>0</v>
      </c>
      <c r="P12" s="235">
        <v>0</v>
      </c>
      <c r="Q12" s="235">
        <v>0</v>
      </c>
      <c r="R12" s="233">
        <v>0</v>
      </c>
      <c r="S12" s="233">
        <v>0</v>
      </c>
      <c r="T12" s="233">
        <v>0</v>
      </c>
      <c r="U12" s="233">
        <v>0</v>
      </c>
      <c r="V12" s="233">
        <v>0</v>
      </c>
      <c r="W12" s="233">
        <v>0</v>
      </c>
      <c r="X12" s="233">
        <v>0</v>
      </c>
      <c r="Y12" s="233">
        <v>0</v>
      </c>
      <c r="Z12" s="233">
        <v>0</v>
      </c>
      <c r="AA12" s="59"/>
      <c r="AB12" s="367">
        <v>14</v>
      </c>
    </row>
    <row r="13" spans="1:28" x14ac:dyDescent="0.2">
      <c r="A13" s="154" t="s">
        <v>433</v>
      </c>
      <c r="B13" s="233">
        <v>0</v>
      </c>
      <c r="C13" s="233">
        <v>0</v>
      </c>
      <c r="D13" s="238">
        <v>14</v>
      </c>
      <c r="E13" s="233">
        <v>42</v>
      </c>
      <c r="F13" s="233">
        <v>0</v>
      </c>
      <c r="G13" s="233">
        <v>0</v>
      </c>
      <c r="H13" s="233">
        <v>0</v>
      </c>
      <c r="I13" s="234">
        <f t="shared" si="0"/>
        <v>35.179648052594175</v>
      </c>
      <c r="J13" s="235">
        <f>75473*0.453592/996.96</f>
        <v>34.338337562189054</v>
      </c>
      <c r="K13" s="236">
        <f>3.76*365/(35)</f>
        <v>39.21142857142857</v>
      </c>
      <c r="L13" s="235">
        <f>78404*0.453592/996.96</f>
        <v>35.671869651741297</v>
      </c>
      <c r="M13" s="235">
        <f>73275*0.453592/996.96</f>
        <v>33.338302238805973</v>
      </c>
      <c r="N13" s="235">
        <f>73275*0.453592/996.96</f>
        <v>33.338302238805973</v>
      </c>
      <c r="O13" s="235" t="s">
        <v>100</v>
      </c>
      <c r="P13" s="235" t="s">
        <v>100</v>
      </c>
      <c r="Q13" s="237">
        <f>36637*0.453592/996.96</f>
        <v>16.668923631840794</v>
      </c>
      <c r="R13" s="233">
        <v>0</v>
      </c>
      <c r="S13" s="233">
        <v>0</v>
      </c>
      <c r="T13" s="233">
        <v>0</v>
      </c>
      <c r="U13" s="233">
        <v>0</v>
      </c>
      <c r="V13" s="233">
        <v>0</v>
      </c>
      <c r="W13" s="233">
        <v>0</v>
      </c>
      <c r="X13" s="233">
        <v>0</v>
      </c>
      <c r="Y13" s="233">
        <v>0</v>
      </c>
      <c r="Z13" s="233">
        <v>0</v>
      </c>
      <c r="AA13" s="59"/>
      <c r="AB13" s="367">
        <v>14</v>
      </c>
    </row>
    <row r="14" spans="1:28" x14ac:dyDescent="0.2">
      <c r="A14" s="154" t="s">
        <v>380</v>
      </c>
      <c r="B14" s="233">
        <v>0</v>
      </c>
      <c r="C14" s="233">
        <v>0</v>
      </c>
      <c r="D14" s="233">
        <v>16</v>
      </c>
      <c r="E14" s="233">
        <v>30</v>
      </c>
      <c r="F14" s="233">
        <v>0</v>
      </c>
      <c r="G14" s="233">
        <v>0</v>
      </c>
      <c r="H14" s="233">
        <v>0</v>
      </c>
      <c r="I14" s="234">
        <f t="shared" si="0"/>
        <v>0</v>
      </c>
      <c r="J14" s="237">
        <v>0</v>
      </c>
      <c r="K14" s="237">
        <v>0</v>
      </c>
      <c r="L14" s="237">
        <v>0</v>
      </c>
      <c r="M14" s="237">
        <v>0</v>
      </c>
      <c r="N14" s="237">
        <v>0</v>
      </c>
      <c r="O14" s="237">
        <v>0</v>
      </c>
      <c r="P14" s="237">
        <v>0</v>
      </c>
      <c r="Q14" s="237">
        <v>0</v>
      </c>
      <c r="R14" s="233">
        <v>0</v>
      </c>
      <c r="S14" s="233">
        <v>0</v>
      </c>
      <c r="T14" s="233">
        <v>0</v>
      </c>
      <c r="U14" s="233">
        <v>0</v>
      </c>
      <c r="V14" s="233">
        <v>0</v>
      </c>
      <c r="W14" s="233">
        <v>0</v>
      </c>
      <c r="X14" s="233">
        <v>0</v>
      </c>
      <c r="Y14" s="233">
        <v>0</v>
      </c>
      <c r="Z14" s="233">
        <v>0</v>
      </c>
      <c r="AA14" s="59"/>
      <c r="AB14" s="367">
        <v>14</v>
      </c>
    </row>
    <row r="15" spans="1:28" x14ac:dyDescent="0.2">
      <c r="A15" s="154" t="s">
        <v>381</v>
      </c>
      <c r="B15" s="233">
        <v>0</v>
      </c>
      <c r="C15" s="233">
        <v>0</v>
      </c>
      <c r="D15" s="233">
        <v>16</v>
      </c>
      <c r="E15" s="233">
        <v>30</v>
      </c>
      <c r="F15" s="233">
        <v>0</v>
      </c>
      <c r="G15" s="233">
        <v>0</v>
      </c>
      <c r="H15" s="233">
        <v>0</v>
      </c>
      <c r="I15" s="234">
        <f t="shared" si="0"/>
        <v>0</v>
      </c>
      <c r="J15" s="237">
        <v>0</v>
      </c>
      <c r="K15" s="237">
        <v>0</v>
      </c>
      <c r="L15" s="237">
        <v>0</v>
      </c>
      <c r="M15" s="237">
        <v>0</v>
      </c>
      <c r="N15" s="237">
        <v>0</v>
      </c>
      <c r="O15" s="237">
        <v>0</v>
      </c>
      <c r="P15" s="237">
        <v>0</v>
      </c>
      <c r="Q15" s="237">
        <v>0</v>
      </c>
      <c r="R15" s="233">
        <v>0</v>
      </c>
      <c r="S15" s="233">
        <v>0</v>
      </c>
      <c r="T15" s="233">
        <v>0</v>
      </c>
      <c r="U15" s="233">
        <v>0</v>
      </c>
      <c r="V15" s="233">
        <v>0</v>
      </c>
      <c r="W15" s="233">
        <v>0</v>
      </c>
      <c r="X15" s="233">
        <v>0</v>
      </c>
      <c r="Y15" s="233">
        <v>0</v>
      </c>
      <c r="Z15" s="233">
        <v>0</v>
      </c>
      <c r="AA15" s="59"/>
      <c r="AB15" s="367">
        <v>14</v>
      </c>
    </row>
    <row r="16" spans="1:28" x14ac:dyDescent="0.2">
      <c r="A16" s="154" t="s">
        <v>434</v>
      </c>
      <c r="B16" s="233">
        <v>0</v>
      </c>
      <c r="C16" s="233">
        <v>0</v>
      </c>
      <c r="D16" s="233">
        <v>16</v>
      </c>
      <c r="E16" s="233">
        <v>30</v>
      </c>
      <c r="F16" s="233">
        <v>0</v>
      </c>
      <c r="G16" s="233">
        <v>0</v>
      </c>
      <c r="H16" s="233">
        <v>0</v>
      </c>
      <c r="I16" s="234">
        <f t="shared" si="0"/>
        <v>0</v>
      </c>
      <c r="J16" s="237">
        <v>0</v>
      </c>
      <c r="K16" s="237">
        <v>0</v>
      </c>
      <c r="L16" s="237">
        <v>0</v>
      </c>
      <c r="M16" s="237">
        <v>0</v>
      </c>
      <c r="N16" s="237">
        <v>0</v>
      </c>
      <c r="O16" s="237">
        <v>0</v>
      </c>
      <c r="P16" s="237">
        <v>0</v>
      </c>
      <c r="Q16" s="237">
        <v>0</v>
      </c>
      <c r="R16" s="233">
        <v>0</v>
      </c>
      <c r="S16" s="233">
        <v>0</v>
      </c>
      <c r="T16" s="233">
        <v>0</v>
      </c>
      <c r="U16" s="233">
        <v>0</v>
      </c>
      <c r="V16" s="233">
        <v>0</v>
      </c>
      <c r="W16" s="233">
        <v>0</v>
      </c>
      <c r="X16" s="233">
        <v>0</v>
      </c>
      <c r="Y16" s="233">
        <v>0</v>
      </c>
      <c r="Z16" s="233">
        <v>0</v>
      </c>
      <c r="AA16" s="59"/>
      <c r="AB16" s="367">
        <v>14</v>
      </c>
    </row>
    <row r="17" spans="1:28" x14ac:dyDescent="0.2">
      <c r="A17" s="154" t="s">
        <v>174</v>
      </c>
      <c r="B17" s="238">
        <v>295</v>
      </c>
      <c r="C17" s="238">
        <v>17</v>
      </c>
      <c r="D17" s="238">
        <v>12</v>
      </c>
      <c r="E17" s="238">
        <v>85</v>
      </c>
      <c r="F17" s="238">
        <v>8.4000000000000005E-2</v>
      </c>
      <c r="G17" s="238">
        <v>7.0000000000000007E-2</v>
      </c>
      <c r="H17" s="238">
        <v>15.5</v>
      </c>
      <c r="I17" s="234">
        <f t="shared" si="0"/>
        <v>0</v>
      </c>
      <c r="J17" s="237">
        <v>0</v>
      </c>
      <c r="K17" s="237">
        <v>0</v>
      </c>
      <c r="L17" s="237">
        <v>0</v>
      </c>
      <c r="M17" s="237">
        <v>0</v>
      </c>
      <c r="N17" s="237">
        <v>0</v>
      </c>
      <c r="O17" s="237">
        <v>0</v>
      </c>
      <c r="P17" s="237">
        <v>0</v>
      </c>
      <c r="Q17" s="237">
        <v>0</v>
      </c>
      <c r="R17" s="238">
        <v>480</v>
      </c>
      <c r="S17" s="238">
        <v>1.2</v>
      </c>
      <c r="T17" s="238">
        <v>2681</v>
      </c>
      <c r="U17" s="238">
        <v>0.3</v>
      </c>
      <c r="V17" s="238">
        <v>0.3</v>
      </c>
      <c r="W17" s="238">
        <v>0.1</v>
      </c>
      <c r="X17" s="238">
        <v>1.29E-2</v>
      </c>
      <c r="Y17" s="241">
        <v>0.8</v>
      </c>
      <c r="Z17" s="238">
        <v>79.8</v>
      </c>
      <c r="AA17" s="59"/>
      <c r="AB17" s="367">
        <v>14</v>
      </c>
    </row>
    <row r="18" spans="1:28" x14ac:dyDescent="0.2">
      <c r="A18" s="154" t="s">
        <v>382</v>
      </c>
      <c r="B18" s="233">
        <v>0</v>
      </c>
      <c r="C18" s="233">
        <v>0</v>
      </c>
      <c r="D18" s="233">
        <v>16</v>
      </c>
      <c r="E18" s="233">
        <v>30</v>
      </c>
      <c r="F18" s="233">
        <v>0</v>
      </c>
      <c r="G18" s="233">
        <v>0</v>
      </c>
      <c r="H18" s="233">
        <v>0</v>
      </c>
      <c r="I18" s="234">
        <f t="shared" si="0"/>
        <v>0</v>
      </c>
      <c r="J18" s="237">
        <v>0</v>
      </c>
      <c r="K18" s="237">
        <v>0</v>
      </c>
      <c r="L18" s="237">
        <v>0</v>
      </c>
      <c r="M18" s="237">
        <v>0</v>
      </c>
      <c r="N18" s="237">
        <v>0</v>
      </c>
      <c r="O18" s="237">
        <v>0</v>
      </c>
      <c r="P18" s="237">
        <v>0</v>
      </c>
      <c r="Q18" s="237">
        <v>0</v>
      </c>
      <c r="R18" s="233">
        <v>0</v>
      </c>
      <c r="S18" s="233">
        <v>0</v>
      </c>
      <c r="T18" s="233">
        <v>0</v>
      </c>
      <c r="U18" s="233">
        <v>0</v>
      </c>
      <c r="V18" s="233">
        <v>0</v>
      </c>
      <c r="W18" s="233">
        <v>0</v>
      </c>
      <c r="X18" s="233">
        <v>0</v>
      </c>
      <c r="Y18" s="233">
        <v>0</v>
      </c>
      <c r="Z18" s="233">
        <v>0</v>
      </c>
      <c r="AA18" s="59"/>
      <c r="AB18" s="367">
        <v>14</v>
      </c>
    </row>
    <row r="19" spans="1:28" x14ac:dyDescent="0.2">
      <c r="A19" s="154" t="s">
        <v>383</v>
      </c>
      <c r="B19" s="233">
        <v>0</v>
      </c>
      <c r="C19" s="233">
        <v>0</v>
      </c>
      <c r="D19" s="233">
        <v>16</v>
      </c>
      <c r="E19" s="233">
        <v>30</v>
      </c>
      <c r="F19" s="233">
        <v>0</v>
      </c>
      <c r="G19" s="233">
        <v>0</v>
      </c>
      <c r="H19" s="233">
        <v>0</v>
      </c>
      <c r="I19" s="234">
        <f t="shared" si="0"/>
        <v>0</v>
      </c>
      <c r="J19" s="237">
        <v>0</v>
      </c>
      <c r="K19" s="237">
        <v>0</v>
      </c>
      <c r="L19" s="237">
        <v>0</v>
      </c>
      <c r="M19" s="237">
        <v>0</v>
      </c>
      <c r="N19" s="237">
        <v>0</v>
      </c>
      <c r="O19" s="237">
        <v>0</v>
      </c>
      <c r="P19" s="237">
        <v>0</v>
      </c>
      <c r="Q19" s="237">
        <v>0</v>
      </c>
      <c r="R19" s="233">
        <v>0</v>
      </c>
      <c r="S19" s="233">
        <v>0</v>
      </c>
      <c r="T19" s="233">
        <v>0</v>
      </c>
      <c r="U19" s="233">
        <v>0</v>
      </c>
      <c r="V19" s="233">
        <v>0</v>
      </c>
      <c r="W19" s="233">
        <v>0</v>
      </c>
      <c r="X19" s="233">
        <v>0</v>
      </c>
      <c r="Y19" s="233">
        <v>0</v>
      </c>
      <c r="Z19" s="233">
        <v>0</v>
      </c>
      <c r="AA19" s="59"/>
      <c r="AB19" s="367">
        <v>14</v>
      </c>
    </row>
    <row r="20" spans="1:28" x14ac:dyDescent="0.2">
      <c r="A20" s="154" t="s">
        <v>384</v>
      </c>
      <c r="B20" s="233">
        <v>0</v>
      </c>
      <c r="C20" s="233">
        <v>0</v>
      </c>
      <c r="D20" s="233">
        <v>16</v>
      </c>
      <c r="E20" s="233">
        <v>30</v>
      </c>
      <c r="F20" s="233">
        <v>0</v>
      </c>
      <c r="G20" s="233">
        <v>0</v>
      </c>
      <c r="H20" s="233">
        <v>0</v>
      </c>
      <c r="I20" s="234">
        <f t="shared" si="0"/>
        <v>0</v>
      </c>
      <c r="J20" s="237">
        <v>0</v>
      </c>
      <c r="K20" s="237">
        <v>0</v>
      </c>
      <c r="L20" s="237">
        <v>0</v>
      </c>
      <c r="M20" s="237">
        <v>0</v>
      </c>
      <c r="N20" s="237">
        <v>0</v>
      </c>
      <c r="O20" s="237">
        <v>0</v>
      </c>
      <c r="P20" s="237">
        <v>0</v>
      </c>
      <c r="Q20" s="237">
        <v>0</v>
      </c>
      <c r="R20" s="233">
        <v>0</v>
      </c>
      <c r="S20" s="233">
        <v>0</v>
      </c>
      <c r="T20" s="233">
        <v>0</v>
      </c>
      <c r="U20" s="233">
        <v>0</v>
      </c>
      <c r="V20" s="233">
        <v>0</v>
      </c>
      <c r="W20" s="233">
        <v>0</v>
      </c>
      <c r="X20" s="233">
        <v>0</v>
      </c>
      <c r="Y20" s="233">
        <v>0</v>
      </c>
      <c r="Z20" s="233">
        <v>0</v>
      </c>
      <c r="AA20" s="59"/>
      <c r="AB20" s="367">
        <v>14</v>
      </c>
    </row>
    <row r="21" spans="1:28" x14ac:dyDescent="0.2">
      <c r="A21" s="154" t="s">
        <v>385</v>
      </c>
      <c r="B21" s="233">
        <v>0</v>
      </c>
      <c r="C21" s="233">
        <v>0</v>
      </c>
      <c r="D21" s="233">
        <v>16</v>
      </c>
      <c r="E21" s="233">
        <v>30</v>
      </c>
      <c r="F21" s="233">
        <v>0</v>
      </c>
      <c r="G21" s="233">
        <v>0</v>
      </c>
      <c r="H21" s="233">
        <v>0</v>
      </c>
      <c r="I21" s="234">
        <f t="shared" si="0"/>
        <v>0</v>
      </c>
      <c r="J21" s="237">
        <v>0</v>
      </c>
      <c r="K21" s="237">
        <v>0</v>
      </c>
      <c r="L21" s="237">
        <v>0</v>
      </c>
      <c r="M21" s="237">
        <v>0</v>
      </c>
      <c r="N21" s="237">
        <v>0</v>
      </c>
      <c r="O21" s="237">
        <v>0</v>
      </c>
      <c r="P21" s="237">
        <v>0</v>
      </c>
      <c r="Q21" s="237">
        <v>0</v>
      </c>
      <c r="R21" s="233">
        <v>0</v>
      </c>
      <c r="S21" s="233">
        <v>0</v>
      </c>
      <c r="T21" s="233">
        <v>0</v>
      </c>
      <c r="U21" s="233">
        <v>0</v>
      </c>
      <c r="V21" s="233">
        <v>0</v>
      </c>
      <c r="W21" s="233">
        <v>0</v>
      </c>
      <c r="X21" s="233">
        <v>0</v>
      </c>
      <c r="Y21" s="233">
        <v>0</v>
      </c>
      <c r="Z21" s="233">
        <v>0</v>
      </c>
      <c r="AA21" s="59"/>
      <c r="AB21" s="367">
        <v>14</v>
      </c>
    </row>
    <row r="22" spans="1:28" x14ac:dyDescent="0.2">
      <c r="A22" s="154" t="s">
        <v>386</v>
      </c>
      <c r="B22" s="233">
        <v>0</v>
      </c>
      <c r="C22" s="233">
        <v>0</v>
      </c>
      <c r="D22" s="233">
        <v>16</v>
      </c>
      <c r="E22" s="233">
        <v>30</v>
      </c>
      <c r="F22" s="233">
        <v>0</v>
      </c>
      <c r="G22" s="233">
        <v>0</v>
      </c>
      <c r="H22" s="233">
        <v>0</v>
      </c>
      <c r="I22" s="234">
        <f t="shared" si="0"/>
        <v>0</v>
      </c>
      <c r="J22" s="237">
        <v>0</v>
      </c>
      <c r="K22" s="237">
        <v>0</v>
      </c>
      <c r="L22" s="237">
        <v>0</v>
      </c>
      <c r="M22" s="237">
        <v>0</v>
      </c>
      <c r="N22" s="237">
        <v>0</v>
      </c>
      <c r="O22" s="237">
        <v>0</v>
      </c>
      <c r="P22" s="237">
        <v>0</v>
      </c>
      <c r="Q22" s="237">
        <v>0</v>
      </c>
      <c r="R22" s="233">
        <v>0</v>
      </c>
      <c r="S22" s="233">
        <v>0</v>
      </c>
      <c r="T22" s="233">
        <v>0</v>
      </c>
      <c r="U22" s="233">
        <v>0</v>
      </c>
      <c r="V22" s="233">
        <v>0</v>
      </c>
      <c r="W22" s="233">
        <v>0</v>
      </c>
      <c r="X22" s="233">
        <v>0</v>
      </c>
      <c r="Y22" s="233">
        <v>0</v>
      </c>
      <c r="Z22" s="233">
        <v>0</v>
      </c>
      <c r="AA22" s="59"/>
      <c r="AB22" s="367">
        <v>14</v>
      </c>
    </row>
    <row r="23" spans="1:28" x14ac:dyDescent="0.2">
      <c r="A23" s="154" t="s">
        <v>387</v>
      </c>
      <c r="B23" s="233">
        <v>0</v>
      </c>
      <c r="C23" s="233">
        <v>0</v>
      </c>
      <c r="D23" s="233">
        <v>16</v>
      </c>
      <c r="E23" s="233">
        <v>30</v>
      </c>
      <c r="F23" s="233">
        <v>0</v>
      </c>
      <c r="G23" s="233">
        <v>0</v>
      </c>
      <c r="H23" s="233">
        <v>0</v>
      </c>
      <c r="I23" s="234">
        <f t="shared" si="0"/>
        <v>0</v>
      </c>
      <c r="J23" s="237">
        <v>0</v>
      </c>
      <c r="K23" s="237">
        <v>0</v>
      </c>
      <c r="L23" s="237">
        <v>0</v>
      </c>
      <c r="M23" s="237">
        <v>0</v>
      </c>
      <c r="N23" s="237">
        <v>0</v>
      </c>
      <c r="O23" s="237">
        <v>0</v>
      </c>
      <c r="P23" s="237">
        <v>0</v>
      </c>
      <c r="Q23" s="237">
        <v>0</v>
      </c>
      <c r="R23" s="233">
        <v>0</v>
      </c>
      <c r="S23" s="233">
        <v>0</v>
      </c>
      <c r="T23" s="233">
        <v>0</v>
      </c>
      <c r="U23" s="233">
        <v>0</v>
      </c>
      <c r="V23" s="233">
        <v>0</v>
      </c>
      <c r="W23" s="233">
        <v>0</v>
      </c>
      <c r="X23" s="233">
        <v>0</v>
      </c>
      <c r="Y23" s="233">
        <v>0</v>
      </c>
      <c r="Z23" s="233">
        <v>0</v>
      </c>
      <c r="AA23" s="59"/>
      <c r="AB23" s="367">
        <v>14</v>
      </c>
    </row>
    <row r="24" spans="1:28" x14ac:dyDescent="0.2">
      <c r="A24" s="154" t="s">
        <v>388</v>
      </c>
      <c r="B24" s="233">
        <v>0</v>
      </c>
      <c r="C24" s="233">
        <v>0</v>
      </c>
      <c r="D24" s="233">
        <v>16</v>
      </c>
      <c r="E24" s="233">
        <v>30</v>
      </c>
      <c r="F24" s="233">
        <v>0</v>
      </c>
      <c r="G24" s="233">
        <v>0</v>
      </c>
      <c r="H24" s="233">
        <v>0</v>
      </c>
      <c r="I24" s="234">
        <f t="shared" si="0"/>
        <v>0</v>
      </c>
      <c r="J24" s="237">
        <v>0</v>
      </c>
      <c r="K24" s="237">
        <v>0</v>
      </c>
      <c r="L24" s="237">
        <v>0</v>
      </c>
      <c r="M24" s="237">
        <v>0</v>
      </c>
      <c r="N24" s="237">
        <v>0</v>
      </c>
      <c r="O24" s="237">
        <v>0</v>
      </c>
      <c r="P24" s="237">
        <v>0</v>
      </c>
      <c r="Q24" s="237">
        <v>0</v>
      </c>
      <c r="R24" s="233">
        <v>0</v>
      </c>
      <c r="S24" s="233">
        <v>0</v>
      </c>
      <c r="T24" s="233">
        <v>0</v>
      </c>
      <c r="U24" s="233">
        <v>0</v>
      </c>
      <c r="V24" s="233">
        <v>0</v>
      </c>
      <c r="W24" s="233">
        <v>0</v>
      </c>
      <c r="X24" s="233">
        <v>0</v>
      </c>
      <c r="Y24" s="233">
        <v>0</v>
      </c>
      <c r="Z24" s="233">
        <v>0</v>
      </c>
      <c r="AA24" s="59"/>
      <c r="AB24" s="367">
        <v>14</v>
      </c>
    </row>
    <row r="25" spans="1:28" x14ac:dyDescent="0.2">
      <c r="A25" s="154" t="s">
        <v>418</v>
      </c>
      <c r="B25" s="233">
        <v>0</v>
      </c>
      <c r="C25" s="233">
        <v>0</v>
      </c>
      <c r="D25" s="233">
        <v>16</v>
      </c>
      <c r="E25" s="233">
        <v>30</v>
      </c>
      <c r="F25" s="233">
        <v>0</v>
      </c>
      <c r="G25" s="233">
        <v>0</v>
      </c>
      <c r="H25" s="233">
        <v>0</v>
      </c>
      <c r="I25" s="234">
        <f t="shared" si="0"/>
        <v>0</v>
      </c>
      <c r="J25" s="237">
        <v>0</v>
      </c>
      <c r="K25" s="237">
        <v>0</v>
      </c>
      <c r="L25" s="237">
        <v>0</v>
      </c>
      <c r="M25" s="237">
        <v>0</v>
      </c>
      <c r="N25" s="237">
        <v>0</v>
      </c>
      <c r="O25" s="237">
        <v>0</v>
      </c>
      <c r="P25" s="237">
        <v>0</v>
      </c>
      <c r="Q25" s="237">
        <v>0</v>
      </c>
      <c r="R25" s="233">
        <v>0</v>
      </c>
      <c r="S25" s="233">
        <v>0</v>
      </c>
      <c r="T25" s="233">
        <v>0</v>
      </c>
      <c r="U25" s="233">
        <v>0</v>
      </c>
      <c r="V25" s="233">
        <v>0</v>
      </c>
      <c r="W25" s="233">
        <v>0</v>
      </c>
      <c r="X25" s="233">
        <v>0</v>
      </c>
      <c r="Y25" s="233">
        <v>0</v>
      </c>
      <c r="Z25" s="233">
        <v>0</v>
      </c>
      <c r="AA25" s="59"/>
      <c r="AB25" s="367">
        <v>14</v>
      </c>
    </row>
    <row r="26" spans="1:28" x14ac:dyDescent="0.2">
      <c r="A26" s="154" t="s">
        <v>540</v>
      </c>
      <c r="B26" s="233">
        <v>0</v>
      </c>
      <c r="C26" s="233">
        <v>0</v>
      </c>
      <c r="D26" s="233">
        <v>16</v>
      </c>
      <c r="E26" s="368">
        <v>46</v>
      </c>
      <c r="F26" s="233">
        <v>0</v>
      </c>
      <c r="G26" s="233">
        <v>0</v>
      </c>
      <c r="H26" s="233">
        <v>0</v>
      </c>
      <c r="I26" s="234">
        <f>K26</f>
        <v>39.549999999999997</v>
      </c>
      <c r="J26" s="239" t="s">
        <v>100</v>
      </c>
      <c r="K26" s="236">
        <v>39.549999999999997</v>
      </c>
      <c r="L26" s="239" t="s">
        <v>100</v>
      </c>
      <c r="M26" s="239" t="s">
        <v>100</v>
      </c>
      <c r="N26" s="179" t="s">
        <v>100</v>
      </c>
      <c r="O26" s="179" t="s">
        <v>100</v>
      </c>
      <c r="P26" s="179" t="s">
        <v>100</v>
      </c>
      <c r="Q26" s="239" t="s">
        <v>100</v>
      </c>
      <c r="R26" s="233">
        <v>0</v>
      </c>
      <c r="S26" s="233">
        <v>0</v>
      </c>
      <c r="T26" s="233">
        <v>0</v>
      </c>
      <c r="U26" s="233">
        <v>0</v>
      </c>
      <c r="V26" s="233">
        <v>0</v>
      </c>
      <c r="W26" s="233">
        <v>0</v>
      </c>
      <c r="X26" s="233">
        <v>0</v>
      </c>
      <c r="Y26" s="233">
        <v>0</v>
      </c>
      <c r="Z26" s="233">
        <v>0</v>
      </c>
      <c r="AA26" s="59"/>
      <c r="AB26" s="30">
        <v>25</v>
      </c>
    </row>
    <row r="27" spans="1:28" x14ac:dyDescent="0.2">
      <c r="A27" s="154" t="s">
        <v>425</v>
      </c>
      <c r="B27" s="233">
        <v>0</v>
      </c>
      <c r="C27" s="233">
        <v>0</v>
      </c>
      <c r="D27" s="233">
        <v>16</v>
      </c>
      <c r="E27" s="233">
        <v>35</v>
      </c>
      <c r="F27" s="233">
        <v>0</v>
      </c>
      <c r="G27" s="233">
        <v>0</v>
      </c>
      <c r="H27" s="233">
        <v>0</v>
      </c>
      <c r="I27" s="234">
        <f t="shared" si="0"/>
        <v>42.995963781094531</v>
      </c>
      <c r="J27" s="237">
        <f>(66867*0.453592)/996.96</f>
        <v>30.422821641791046</v>
      </c>
      <c r="K27" s="236">
        <f>23.47*4</f>
        <v>93.88</v>
      </c>
      <c r="L27" s="237">
        <f>(69463*0.453592)/996.96</f>
        <v>31.603937064676618</v>
      </c>
      <c r="M27" s="237">
        <f>(64919*0.453592)/996.96</f>
        <v>29.536530099502485</v>
      </c>
      <c r="N27" s="237">
        <f>(64919*0.453592)/996.96</f>
        <v>29.536530099502485</v>
      </c>
      <c r="O27" s="240" t="s">
        <v>100</v>
      </c>
      <c r="P27" s="244" t="s">
        <v>100</v>
      </c>
      <c r="Q27" s="237">
        <f>32460*0.453592/996.96</f>
        <v>14.768492537313433</v>
      </c>
      <c r="R27" s="233">
        <v>0</v>
      </c>
      <c r="S27" s="233">
        <v>0</v>
      </c>
      <c r="T27" s="233">
        <v>0</v>
      </c>
      <c r="U27" s="233">
        <v>0</v>
      </c>
      <c r="V27" s="233">
        <v>0</v>
      </c>
      <c r="W27" s="233">
        <v>0</v>
      </c>
      <c r="X27" s="233">
        <v>0</v>
      </c>
      <c r="Y27" s="233">
        <v>0</v>
      </c>
      <c r="Z27" s="233">
        <v>0</v>
      </c>
      <c r="AA27" s="59"/>
      <c r="AB27" s="367">
        <v>14</v>
      </c>
    </row>
    <row r="28" spans="1:28" x14ac:dyDescent="0.2">
      <c r="A28" s="154" t="s">
        <v>172</v>
      </c>
      <c r="B28" s="238">
        <v>295</v>
      </c>
      <c r="C28" s="238">
        <v>17</v>
      </c>
      <c r="D28" s="238">
        <v>16</v>
      </c>
      <c r="E28" s="238">
        <v>30</v>
      </c>
      <c r="F28" s="238">
        <v>7.0000000000000001E-3</v>
      </c>
      <c r="G28" s="238">
        <v>4.8000000000000001E-2</v>
      </c>
      <c r="H28" s="238">
        <v>43.1</v>
      </c>
      <c r="I28" s="234">
        <f t="shared" si="0"/>
        <v>56.823200000000007</v>
      </c>
      <c r="J28" s="242" t="s">
        <v>100</v>
      </c>
      <c r="K28" s="236">
        <f>0.93408*365*4/24</f>
        <v>56.823200000000007</v>
      </c>
      <c r="L28" s="242" t="s">
        <v>100</v>
      </c>
      <c r="M28" s="242" t="s">
        <v>100</v>
      </c>
      <c r="N28" s="242" t="s">
        <v>100</v>
      </c>
      <c r="O28" s="242" t="s">
        <v>100</v>
      </c>
      <c r="P28" s="245" t="s">
        <v>100</v>
      </c>
      <c r="Q28" s="243" t="s">
        <v>100</v>
      </c>
      <c r="R28" s="238">
        <v>402</v>
      </c>
      <c r="S28" s="238">
        <v>0.1</v>
      </c>
      <c r="T28" s="238">
        <v>1515</v>
      </c>
      <c r="U28" s="238">
        <v>0.2</v>
      </c>
      <c r="V28" s="238">
        <v>0.2</v>
      </c>
      <c r="W28" s="238">
        <v>0.2</v>
      </c>
      <c r="X28" s="238">
        <v>1.2699999999999999E-2</v>
      </c>
      <c r="Y28" s="241">
        <v>0.67</v>
      </c>
      <c r="Z28" s="246">
        <v>78.5</v>
      </c>
      <c r="AA28" s="59"/>
      <c r="AB28" s="367">
        <v>14</v>
      </c>
    </row>
    <row r="29" spans="1:28" x14ac:dyDescent="0.2">
      <c r="A29" s="154" t="s">
        <v>516</v>
      </c>
      <c r="B29" s="233">
        <v>0</v>
      </c>
      <c r="C29" s="233">
        <v>0</v>
      </c>
      <c r="D29" s="233">
        <v>16</v>
      </c>
      <c r="E29" s="238">
        <v>35</v>
      </c>
      <c r="F29" s="233">
        <v>0</v>
      </c>
      <c r="G29" s="233">
        <v>0</v>
      </c>
      <c r="H29" s="233">
        <v>0</v>
      </c>
      <c r="I29" s="234">
        <f t="shared" si="0"/>
        <v>0</v>
      </c>
      <c r="J29" s="247">
        <v>0</v>
      </c>
      <c r="K29" s="247">
        <v>0</v>
      </c>
      <c r="L29" s="247">
        <v>0</v>
      </c>
      <c r="M29" s="247">
        <v>0</v>
      </c>
      <c r="N29" s="247">
        <v>0</v>
      </c>
      <c r="O29" s="247">
        <v>0</v>
      </c>
      <c r="P29" s="247">
        <v>0</v>
      </c>
      <c r="Q29" s="247">
        <v>0</v>
      </c>
      <c r="R29" s="233">
        <v>0</v>
      </c>
      <c r="S29" s="233">
        <v>0</v>
      </c>
      <c r="T29" s="233">
        <v>0</v>
      </c>
      <c r="U29" s="233">
        <v>0</v>
      </c>
      <c r="V29" s="233">
        <v>0</v>
      </c>
      <c r="W29" s="233">
        <v>0</v>
      </c>
      <c r="X29" s="233">
        <v>0</v>
      </c>
      <c r="Y29" s="233">
        <v>0</v>
      </c>
      <c r="Z29" s="233">
        <v>0</v>
      </c>
      <c r="AA29" s="59"/>
      <c r="AB29" s="367">
        <v>14</v>
      </c>
    </row>
    <row r="30" spans="1:28" x14ac:dyDescent="0.2">
      <c r="A30" s="154" t="s">
        <v>517</v>
      </c>
      <c r="B30" s="233">
        <v>0</v>
      </c>
      <c r="C30" s="233">
        <v>0</v>
      </c>
      <c r="D30" s="233">
        <v>16</v>
      </c>
      <c r="E30" s="238">
        <v>35</v>
      </c>
      <c r="F30" s="233">
        <v>0</v>
      </c>
      <c r="G30" s="233">
        <v>0</v>
      </c>
      <c r="H30" s="233">
        <v>0</v>
      </c>
      <c r="I30" s="234">
        <f t="shared" si="0"/>
        <v>0</v>
      </c>
      <c r="J30" s="247">
        <v>0</v>
      </c>
      <c r="K30" s="247">
        <v>0</v>
      </c>
      <c r="L30" s="247">
        <v>0</v>
      </c>
      <c r="M30" s="247">
        <v>0</v>
      </c>
      <c r="N30" s="247">
        <v>0</v>
      </c>
      <c r="O30" s="247">
        <v>0</v>
      </c>
      <c r="P30" s="247">
        <v>0</v>
      </c>
      <c r="Q30" s="247">
        <v>0</v>
      </c>
      <c r="R30" s="233">
        <v>0</v>
      </c>
      <c r="S30" s="233">
        <v>0</v>
      </c>
      <c r="T30" s="233">
        <v>0</v>
      </c>
      <c r="U30" s="233">
        <v>0</v>
      </c>
      <c r="V30" s="233">
        <v>0</v>
      </c>
      <c r="W30" s="233">
        <v>0</v>
      </c>
      <c r="X30" s="233">
        <v>0</v>
      </c>
      <c r="Y30" s="233">
        <v>0</v>
      </c>
      <c r="Z30" s="233">
        <v>0</v>
      </c>
      <c r="AA30" s="59"/>
      <c r="AB30" s="367">
        <v>14</v>
      </c>
    </row>
    <row r="31" spans="1:28" x14ac:dyDescent="0.2">
      <c r="A31" s="154" t="s">
        <v>389</v>
      </c>
      <c r="B31" s="233">
        <v>0</v>
      </c>
      <c r="C31" s="233">
        <v>0</v>
      </c>
      <c r="D31" s="233">
        <v>16</v>
      </c>
      <c r="E31" s="233">
        <v>35</v>
      </c>
      <c r="F31" s="233">
        <v>0</v>
      </c>
      <c r="G31" s="233">
        <v>0</v>
      </c>
      <c r="H31" s="233">
        <v>0</v>
      </c>
      <c r="I31" s="234"/>
      <c r="J31" s="247">
        <v>0</v>
      </c>
      <c r="K31" s="247">
        <v>0</v>
      </c>
      <c r="L31" s="247">
        <v>0</v>
      </c>
      <c r="M31" s="247">
        <v>0</v>
      </c>
      <c r="N31" s="247">
        <v>0</v>
      </c>
      <c r="O31" s="247">
        <v>0</v>
      </c>
      <c r="P31" s="247">
        <v>0</v>
      </c>
      <c r="Q31" s="247">
        <v>0</v>
      </c>
      <c r="R31" s="233">
        <v>0</v>
      </c>
      <c r="S31" s="233">
        <v>0</v>
      </c>
      <c r="T31" s="233">
        <v>0</v>
      </c>
      <c r="U31" s="233">
        <v>0</v>
      </c>
      <c r="V31" s="233">
        <v>0</v>
      </c>
      <c r="W31" s="233">
        <v>0</v>
      </c>
      <c r="X31" s="233">
        <v>0</v>
      </c>
      <c r="Y31" s="233">
        <v>0</v>
      </c>
      <c r="Z31" s="233">
        <v>0</v>
      </c>
      <c r="AA31" s="59"/>
      <c r="AB31" s="367">
        <v>14</v>
      </c>
    </row>
    <row r="32" spans="1:28" x14ac:dyDescent="0.2">
      <c r="A32" s="154" t="s">
        <v>390</v>
      </c>
      <c r="B32" s="233">
        <v>0</v>
      </c>
      <c r="C32" s="233">
        <v>0</v>
      </c>
      <c r="D32" s="233">
        <v>16</v>
      </c>
      <c r="E32" s="233">
        <v>30</v>
      </c>
      <c r="F32" s="233">
        <v>0</v>
      </c>
      <c r="G32" s="233">
        <v>0</v>
      </c>
      <c r="H32" s="233">
        <v>0</v>
      </c>
      <c r="I32" s="234"/>
      <c r="J32" s="247">
        <v>0</v>
      </c>
      <c r="K32" s="247">
        <v>0</v>
      </c>
      <c r="L32" s="247">
        <v>0</v>
      </c>
      <c r="M32" s="247">
        <v>0</v>
      </c>
      <c r="N32" s="247">
        <v>0</v>
      </c>
      <c r="O32" s="247">
        <v>0</v>
      </c>
      <c r="P32" s="247">
        <v>0</v>
      </c>
      <c r="Q32" s="247">
        <v>0</v>
      </c>
      <c r="R32" s="233">
        <v>0</v>
      </c>
      <c r="S32" s="233">
        <v>0</v>
      </c>
      <c r="T32" s="233">
        <v>0</v>
      </c>
      <c r="U32" s="233">
        <v>0</v>
      </c>
      <c r="V32" s="233">
        <v>0</v>
      </c>
      <c r="W32" s="233">
        <v>0</v>
      </c>
      <c r="X32" s="233">
        <v>0</v>
      </c>
      <c r="Y32" s="233">
        <v>0</v>
      </c>
      <c r="Z32" s="233">
        <v>0</v>
      </c>
      <c r="AA32" s="59"/>
      <c r="AB32" s="367">
        <v>14</v>
      </c>
    </row>
    <row r="33" spans="1:28" x14ac:dyDescent="0.2">
      <c r="A33" s="154" t="s">
        <v>391</v>
      </c>
      <c r="B33" s="233">
        <v>0</v>
      </c>
      <c r="C33" s="233">
        <v>0</v>
      </c>
      <c r="D33" s="233">
        <v>16</v>
      </c>
      <c r="E33" s="233">
        <v>30</v>
      </c>
      <c r="F33" s="233">
        <v>0</v>
      </c>
      <c r="G33" s="233">
        <v>0</v>
      </c>
      <c r="H33" s="233">
        <v>0</v>
      </c>
      <c r="I33" s="234"/>
      <c r="J33" s="247">
        <v>0</v>
      </c>
      <c r="K33" s="247">
        <v>0</v>
      </c>
      <c r="L33" s="247">
        <v>0</v>
      </c>
      <c r="M33" s="247">
        <v>0</v>
      </c>
      <c r="N33" s="247">
        <v>0</v>
      </c>
      <c r="O33" s="247">
        <v>0</v>
      </c>
      <c r="P33" s="247">
        <v>0</v>
      </c>
      <c r="Q33" s="247">
        <v>0</v>
      </c>
      <c r="R33" s="233">
        <v>0</v>
      </c>
      <c r="S33" s="233">
        <v>0</v>
      </c>
      <c r="T33" s="233">
        <v>0</v>
      </c>
      <c r="U33" s="233">
        <v>0</v>
      </c>
      <c r="V33" s="233">
        <v>0</v>
      </c>
      <c r="W33" s="233">
        <v>0</v>
      </c>
      <c r="X33" s="233">
        <v>0</v>
      </c>
      <c r="Y33" s="233">
        <v>0</v>
      </c>
      <c r="Z33" s="233">
        <v>0</v>
      </c>
      <c r="AA33" s="59"/>
      <c r="AB33" s="367">
        <v>14</v>
      </c>
    </row>
    <row r="34" spans="1:28" x14ac:dyDescent="0.2">
      <c r="A34" s="154" t="s">
        <v>392</v>
      </c>
      <c r="B34" s="233">
        <v>0</v>
      </c>
      <c r="C34" s="233">
        <v>0</v>
      </c>
      <c r="D34" s="233">
        <v>16</v>
      </c>
      <c r="E34" s="233">
        <v>30</v>
      </c>
      <c r="F34" s="233">
        <v>0</v>
      </c>
      <c r="G34" s="233">
        <v>0</v>
      </c>
      <c r="H34" s="233">
        <v>0</v>
      </c>
      <c r="I34" s="234"/>
      <c r="J34" s="247">
        <v>0</v>
      </c>
      <c r="K34" s="247">
        <v>0</v>
      </c>
      <c r="L34" s="247">
        <v>0</v>
      </c>
      <c r="M34" s="247">
        <v>0</v>
      </c>
      <c r="N34" s="247">
        <v>0</v>
      </c>
      <c r="O34" s="247">
        <v>0</v>
      </c>
      <c r="P34" s="247">
        <v>0</v>
      </c>
      <c r="Q34" s="247">
        <v>0</v>
      </c>
      <c r="R34" s="233">
        <v>0</v>
      </c>
      <c r="S34" s="233">
        <v>0</v>
      </c>
      <c r="T34" s="233">
        <v>0</v>
      </c>
      <c r="U34" s="233">
        <v>0</v>
      </c>
      <c r="V34" s="233">
        <v>0</v>
      </c>
      <c r="W34" s="233">
        <v>0</v>
      </c>
      <c r="X34" s="233">
        <v>0</v>
      </c>
      <c r="Y34" s="233">
        <v>0</v>
      </c>
      <c r="Z34" s="233">
        <v>0</v>
      </c>
      <c r="AA34" s="59"/>
      <c r="AB34" s="367">
        <v>14</v>
      </c>
    </row>
    <row r="35" spans="1:28" x14ac:dyDescent="0.2">
      <c r="A35" s="154" t="s">
        <v>393</v>
      </c>
      <c r="B35" s="233">
        <v>0</v>
      </c>
      <c r="C35" s="233">
        <v>0</v>
      </c>
      <c r="D35" s="233">
        <v>16</v>
      </c>
      <c r="E35" s="233">
        <v>30</v>
      </c>
      <c r="F35" s="233">
        <v>0</v>
      </c>
      <c r="G35" s="233">
        <v>0</v>
      </c>
      <c r="H35" s="233">
        <v>0</v>
      </c>
      <c r="I35" s="234"/>
      <c r="J35" s="247">
        <v>0</v>
      </c>
      <c r="K35" s="247">
        <v>0</v>
      </c>
      <c r="L35" s="247">
        <v>0</v>
      </c>
      <c r="M35" s="247">
        <v>0</v>
      </c>
      <c r="N35" s="247">
        <v>0</v>
      </c>
      <c r="O35" s="247">
        <v>0</v>
      </c>
      <c r="P35" s="247">
        <v>0</v>
      </c>
      <c r="Q35" s="247">
        <v>0</v>
      </c>
      <c r="R35" s="233">
        <v>0</v>
      </c>
      <c r="S35" s="233">
        <v>0</v>
      </c>
      <c r="T35" s="233">
        <v>0</v>
      </c>
      <c r="U35" s="233">
        <v>0</v>
      </c>
      <c r="V35" s="233">
        <v>0</v>
      </c>
      <c r="W35" s="233">
        <v>0</v>
      </c>
      <c r="X35" s="233">
        <v>0</v>
      </c>
      <c r="Y35" s="233">
        <v>0</v>
      </c>
      <c r="Z35" s="233">
        <v>0</v>
      </c>
      <c r="AA35" s="59"/>
      <c r="AB35" s="367">
        <v>14</v>
      </c>
    </row>
    <row r="36" spans="1:28" x14ac:dyDescent="0.2">
      <c r="A36" s="154" t="s">
        <v>394</v>
      </c>
      <c r="B36" s="233">
        <v>0</v>
      </c>
      <c r="C36" s="233">
        <v>0</v>
      </c>
      <c r="D36" s="233">
        <v>16</v>
      </c>
      <c r="E36" s="233">
        <v>30</v>
      </c>
      <c r="F36" s="233">
        <v>0</v>
      </c>
      <c r="G36" s="233">
        <v>0</v>
      </c>
      <c r="H36" s="233">
        <v>0</v>
      </c>
      <c r="I36" s="234"/>
      <c r="J36" s="247">
        <v>0</v>
      </c>
      <c r="K36" s="247">
        <v>0</v>
      </c>
      <c r="L36" s="247">
        <v>0</v>
      </c>
      <c r="M36" s="247">
        <v>0</v>
      </c>
      <c r="N36" s="247">
        <v>0</v>
      </c>
      <c r="O36" s="247">
        <v>0</v>
      </c>
      <c r="P36" s="247">
        <v>0</v>
      </c>
      <c r="Q36" s="247">
        <v>0</v>
      </c>
      <c r="R36" s="233">
        <v>0</v>
      </c>
      <c r="S36" s="233">
        <v>0</v>
      </c>
      <c r="T36" s="233">
        <v>0</v>
      </c>
      <c r="U36" s="233">
        <v>0</v>
      </c>
      <c r="V36" s="233">
        <v>0</v>
      </c>
      <c r="W36" s="233">
        <v>0</v>
      </c>
      <c r="X36" s="233">
        <v>0</v>
      </c>
      <c r="Y36" s="233">
        <v>0</v>
      </c>
      <c r="Z36" s="233">
        <v>0</v>
      </c>
      <c r="AA36" s="59"/>
      <c r="AB36" s="367">
        <v>14</v>
      </c>
    </row>
    <row r="37" spans="1:28" x14ac:dyDescent="0.2">
      <c r="A37" s="154" t="s">
        <v>398</v>
      </c>
      <c r="B37" s="233">
        <v>0</v>
      </c>
      <c r="C37" s="233">
        <v>0</v>
      </c>
      <c r="D37" s="233">
        <v>16</v>
      </c>
      <c r="E37" s="233">
        <v>30</v>
      </c>
      <c r="F37" s="233">
        <v>0</v>
      </c>
      <c r="G37" s="233">
        <v>0</v>
      </c>
      <c r="H37" s="233">
        <v>0</v>
      </c>
      <c r="I37" s="234"/>
      <c r="J37" s="247">
        <v>0</v>
      </c>
      <c r="K37" s="247">
        <v>0</v>
      </c>
      <c r="L37" s="247">
        <v>0</v>
      </c>
      <c r="M37" s="247">
        <v>0</v>
      </c>
      <c r="N37" s="247">
        <v>0</v>
      </c>
      <c r="O37" s="247">
        <v>0</v>
      </c>
      <c r="P37" s="247">
        <v>0</v>
      </c>
      <c r="Q37" s="247">
        <v>0</v>
      </c>
      <c r="R37" s="233">
        <v>0</v>
      </c>
      <c r="S37" s="233">
        <v>0</v>
      </c>
      <c r="T37" s="233">
        <v>0</v>
      </c>
      <c r="U37" s="233">
        <v>0</v>
      </c>
      <c r="V37" s="233">
        <v>0</v>
      </c>
      <c r="W37" s="233">
        <v>0</v>
      </c>
      <c r="X37" s="233">
        <v>0</v>
      </c>
      <c r="Y37" s="233">
        <v>0</v>
      </c>
      <c r="Z37" s="233">
        <v>0</v>
      </c>
      <c r="AA37" s="59"/>
      <c r="AB37" s="367">
        <v>14</v>
      </c>
    </row>
    <row r="38" spans="1:28" x14ac:dyDescent="0.2">
      <c r="A38" s="154" t="s">
        <v>400</v>
      </c>
      <c r="B38" s="233">
        <v>0</v>
      </c>
      <c r="C38" s="233">
        <v>0</v>
      </c>
      <c r="D38" s="233">
        <v>16</v>
      </c>
      <c r="E38" s="233">
        <v>30</v>
      </c>
      <c r="F38" s="233">
        <v>0</v>
      </c>
      <c r="G38" s="233">
        <v>0</v>
      </c>
      <c r="H38" s="233">
        <v>0</v>
      </c>
      <c r="I38" s="234"/>
      <c r="J38" s="247">
        <v>0</v>
      </c>
      <c r="K38" s="247">
        <v>0</v>
      </c>
      <c r="L38" s="247">
        <v>0</v>
      </c>
      <c r="M38" s="247">
        <v>0</v>
      </c>
      <c r="N38" s="247">
        <v>0</v>
      </c>
      <c r="O38" s="247">
        <v>0</v>
      </c>
      <c r="P38" s="247">
        <v>0</v>
      </c>
      <c r="Q38" s="247">
        <v>0</v>
      </c>
      <c r="R38" s="233">
        <v>0</v>
      </c>
      <c r="S38" s="233">
        <v>0</v>
      </c>
      <c r="T38" s="233">
        <v>0</v>
      </c>
      <c r="U38" s="233">
        <v>0</v>
      </c>
      <c r="V38" s="233">
        <v>0</v>
      </c>
      <c r="W38" s="233">
        <v>0</v>
      </c>
      <c r="X38" s="233">
        <v>0</v>
      </c>
      <c r="Y38" s="233">
        <v>0</v>
      </c>
      <c r="Z38" s="233">
        <v>0</v>
      </c>
      <c r="AA38" s="59"/>
      <c r="AB38" s="367">
        <v>14</v>
      </c>
    </row>
    <row r="39" spans="1:28" x14ac:dyDescent="0.2">
      <c r="A39" s="154" t="s">
        <v>401</v>
      </c>
      <c r="B39" s="233">
        <v>0</v>
      </c>
      <c r="C39" s="233">
        <v>0</v>
      </c>
      <c r="D39" s="233">
        <v>16</v>
      </c>
      <c r="E39" s="233">
        <v>30</v>
      </c>
      <c r="F39" s="233">
        <v>0</v>
      </c>
      <c r="G39" s="233">
        <v>0</v>
      </c>
      <c r="H39" s="233">
        <v>0</v>
      </c>
      <c r="I39" s="234"/>
      <c r="J39" s="247">
        <v>0</v>
      </c>
      <c r="K39" s="247">
        <v>0</v>
      </c>
      <c r="L39" s="247">
        <v>0</v>
      </c>
      <c r="M39" s="247">
        <v>0</v>
      </c>
      <c r="N39" s="247">
        <v>0</v>
      </c>
      <c r="O39" s="247">
        <v>0</v>
      </c>
      <c r="P39" s="247">
        <v>0</v>
      </c>
      <c r="Q39" s="247">
        <v>0</v>
      </c>
      <c r="R39" s="233">
        <v>0</v>
      </c>
      <c r="S39" s="233">
        <v>0</v>
      </c>
      <c r="T39" s="233">
        <v>0</v>
      </c>
      <c r="U39" s="233">
        <v>0</v>
      </c>
      <c r="V39" s="233">
        <v>0</v>
      </c>
      <c r="W39" s="233">
        <v>0</v>
      </c>
      <c r="X39" s="233">
        <v>0</v>
      </c>
      <c r="Y39" s="233">
        <v>0</v>
      </c>
      <c r="Z39" s="233">
        <v>0</v>
      </c>
      <c r="AA39" s="59"/>
      <c r="AB39" s="367">
        <v>14</v>
      </c>
    </row>
    <row r="40" spans="1:28" x14ac:dyDescent="0.2">
      <c r="A40" s="154" t="s">
        <v>399</v>
      </c>
      <c r="B40" s="233">
        <v>0</v>
      </c>
      <c r="C40" s="233">
        <v>0</v>
      </c>
      <c r="D40" s="233">
        <v>16</v>
      </c>
      <c r="E40" s="233">
        <v>30</v>
      </c>
      <c r="F40" s="233">
        <v>0</v>
      </c>
      <c r="G40" s="233">
        <v>0</v>
      </c>
      <c r="H40" s="233">
        <v>0</v>
      </c>
      <c r="I40" s="234"/>
      <c r="J40" s="247">
        <v>0</v>
      </c>
      <c r="K40" s="247">
        <v>0</v>
      </c>
      <c r="L40" s="247">
        <v>0</v>
      </c>
      <c r="M40" s="247">
        <v>0</v>
      </c>
      <c r="N40" s="247">
        <v>0</v>
      </c>
      <c r="O40" s="247">
        <v>0</v>
      </c>
      <c r="P40" s="247">
        <v>0</v>
      </c>
      <c r="Q40" s="247">
        <v>0</v>
      </c>
      <c r="R40" s="233">
        <v>0</v>
      </c>
      <c r="S40" s="233">
        <v>0</v>
      </c>
      <c r="T40" s="233">
        <v>0</v>
      </c>
      <c r="U40" s="233">
        <v>0</v>
      </c>
      <c r="V40" s="233">
        <v>0</v>
      </c>
      <c r="W40" s="233">
        <v>0</v>
      </c>
      <c r="X40" s="233">
        <v>0</v>
      </c>
      <c r="Y40" s="233">
        <v>0</v>
      </c>
      <c r="Z40" s="233">
        <v>0</v>
      </c>
      <c r="AA40" s="59"/>
      <c r="AB40" s="367">
        <v>14</v>
      </c>
    </row>
    <row r="41" spans="1:28" x14ac:dyDescent="0.2">
      <c r="A41" s="154" t="s">
        <v>397</v>
      </c>
      <c r="B41" s="233">
        <v>0</v>
      </c>
      <c r="C41" s="233">
        <v>0</v>
      </c>
      <c r="D41" s="233">
        <v>16</v>
      </c>
      <c r="E41" s="233">
        <v>30</v>
      </c>
      <c r="F41" s="233">
        <v>0</v>
      </c>
      <c r="G41" s="233">
        <v>0</v>
      </c>
      <c r="H41" s="233">
        <v>0</v>
      </c>
      <c r="I41" s="234"/>
      <c r="J41" s="247">
        <v>0</v>
      </c>
      <c r="K41" s="247">
        <v>0</v>
      </c>
      <c r="L41" s="247">
        <v>0</v>
      </c>
      <c r="M41" s="247">
        <v>0</v>
      </c>
      <c r="N41" s="247">
        <v>0</v>
      </c>
      <c r="O41" s="247">
        <v>0</v>
      </c>
      <c r="P41" s="247">
        <v>0</v>
      </c>
      <c r="Q41" s="247">
        <v>0</v>
      </c>
      <c r="R41" s="233">
        <v>0</v>
      </c>
      <c r="S41" s="233">
        <v>0</v>
      </c>
      <c r="T41" s="233">
        <v>0</v>
      </c>
      <c r="U41" s="233">
        <v>0</v>
      </c>
      <c r="V41" s="233">
        <v>0</v>
      </c>
      <c r="W41" s="233">
        <v>0</v>
      </c>
      <c r="X41" s="233">
        <v>0</v>
      </c>
      <c r="Y41" s="233">
        <v>0</v>
      </c>
      <c r="Z41" s="233">
        <v>0</v>
      </c>
      <c r="AA41" s="59"/>
      <c r="AB41" s="367">
        <v>14</v>
      </c>
    </row>
    <row r="42" spans="1:28" x14ac:dyDescent="0.2">
      <c r="A42" s="154" t="s">
        <v>396</v>
      </c>
      <c r="B42" s="233">
        <v>0</v>
      </c>
      <c r="C42" s="233">
        <v>0</v>
      </c>
      <c r="D42" s="233">
        <v>16</v>
      </c>
      <c r="E42" s="233">
        <v>30</v>
      </c>
      <c r="F42" s="233">
        <v>0</v>
      </c>
      <c r="G42" s="233">
        <v>0</v>
      </c>
      <c r="H42" s="233">
        <v>0</v>
      </c>
      <c r="I42" s="234"/>
      <c r="J42" s="247">
        <v>0</v>
      </c>
      <c r="K42" s="247">
        <v>0</v>
      </c>
      <c r="L42" s="247">
        <v>0</v>
      </c>
      <c r="M42" s="247">
        <v>0</v>
      </c>
      <c r="N42" s="247">
        <v>0</v>
      </c>
      <c r="O42" s="247">
        <v>0</v>
      </c>
      <c r="P42" s="247">
        <v>0</v>
      </c>
      <c r="Q42" s="247">
        <v>0</v>
      </c>
      <c r="R42" s="233">
        <v>0</v>
      </c>
      <c r="S42" s="233">
        <v>0</v>
      </c>
      <c r="T42" s="233">
        <v>0</v>
      </c>
      <c r="U42" s="233">
        <v>0</v>
      </c>
      <c r="V42" s="233">
        <v>0</v>
      </c>
      <c r="W42" s="233">
        <v>0</v>
      </c>
      <c r="X42" s="233">
        <v>0</v>
      </c>
      <c r="Y42" s="233">
        <v>0</v>
      </c>
      <c r="Z42" s="233">
        <v>0</v>
      </c>
      <c r="AA42" s="59"/>
      <c r="AB42" s="367">
        <v>14</v>
      </c>
    </row>
    <row r="43" spans="1:28" x14ac:dyDescent="0.2">
      <c r="A43" s="154" t="s">
        <v>395</v>
      </c>
      <c r="B43" s="233">
        <v>0</v>
      </c>
      <c r="C43" s="233">
        <v>0</v>
      </c>
      <c r="D43" s="233">
        <v>16</v>
      </c>
      <c r="E43" s="233">
        <v>30</v>
      </c>
      <c r="F43" s="233">
        <v>0</v>
      </c>
      <c r="G43" s="233">
        <v>0</v>
      </c>
      <c r="H43" s="233">
        <v>0</v>
      </c>
      <c r="I43" s="234"/>
      <c r="J43" s="247">
        <v>0</v>
      </c>
      <c r="K43" s="247">
        <v>0</v>
      </c>
      <c r="L43" s="247">
        <v>0</v>
      </c>
      <c r="M43" s="247">
        <v>0</v>
      </c>
      <c r="N43" s="247">
        <v>0</v>
      </c>
      <c r="O43" s="247">
        <v>0</v>
      </c>
      <c r="P43" s="247">
        <v>0</v>
      </c>
      <c r="Q43" s="247">
        <v>0</v>
      </c>
      <c r="R43" s="233">
        <v>0</v>
      </c>
      <c r="S43" s="233">
        <v>0</v>
      </c>
      <c r="T43" s="233">
        <v>0</v>
      </c>
      <c r="U43" s="233">
        <v>0</v>
      </c>
      <c r="V43" s="233">
        <v>0</v>
      </c>
      <c r="W43" s="233">
        <v>0</v>
      </c>
      <c r="X43" s="233">
        <v>0</v>
      </c>
      <c r="Y43" s="233">
        <v>0</v>
      </c>
      <c r="Z43" s="233">
        <v>0</v>
      </c>
      <c r="AA43" s="59"/>
      <c r="AB43" s="367">
        <v>14</v>
      </c>
    </row>
    <row r="44" spans="1:28" x14ac:dyDescent="0.2">
      <c r="A44" s="154" t="s">
        <v>402</v>
      </c>
      <c r="B44" s="233">
        <v>0</v>
      </c>
      <c r="C44" s="233">
        <v>0</v>
      </c>
      <c r="D44" s="233">
        <v>16</v>
      </c>
      <c r="E44" s="233">
        <v>30</v>
      </c>
      <c r="F44" s="233">
        <v>0</v>
      </c>
      <c r="G44" s="233">
        <v>0</v>
      </c>
      <c r="H44" s="233">
        <v>0</v>
      </c>
      <c r="I44" s="234"/>
      <c r="J44" s="247">
        <v>0</v>
      </c>
      <c r="K44" s="247">
        <v>0</v>
      </c>
      <c r="L44" s="247">
        <v>0</v>
      </c>
      <c r="M44" s="247">
        <v>0</v>
      </c>
      <c r="N44" s="247">
        <v>0</v>
      </c>
      <c r="O44" s="247">
        <v>0</v>
      </c>
      <c r="P44" s="247">
        <v>0</v>
      </c>
      <c r="Q44" s="247">
        <v>0</v>
      </c>
      <c r="R44" s="233">
        <v>0</v>
      </c>
      <c r="S44" s="233">
        <v>0</v>
      </c>
      <c r="T44" s="233">
        <v>0</v>
      </c>
      <c r="U44" s="233">
        <v>0</v>
      </c>
      <c r="V44" s="233">
        <v>0</v>
      </c>
      <c r="W44" s="233">
        <v>0</v>
      </c>
      <c r="X44" s="233">
        <v>0</v>
      </c>
      <c r="Y44" s="233">
        <v>0</v>
      </c>
      <c r="Z44" s="233">
        <v>0</v>
      </c>
      <c r="AA44" s="59"/>
      <c r="AB44" s="367">
        <v>14</v>
      </c>
    </row>
    <row r="45" spans="1:28" x14ac:dyDescent="0.2">
      <c r="A45" s="154" t="s">
        <v>403</v>
      </c>
      <c r="B45" s="233">
        <v>0</v>
      </c>
      <c r="C45" s="233">
        <v>0</v>
      </c>
      <c r="D45" s="233">
        <v>16</v>
      </c>
      <c r="E45" s="233">
        <v>30</v>
      </c>
      <c r="F45" s="233">
        <v>0</v>
      </c>
      <c r="G45" s="233">
        <v>0</v>
      </c>
      <c r="H45" s="233">
        <v>0</v>
      </c>
      <c r="I45" s="234"/>
      <c r="J45" s="247">
        <v>0</v>
      </c>
      <c r="K45" s="247">
        <v>0</v>
      </c>
      <c r="L45" s="247">
        <v>0</v>
      </c>
      <c r="M45" s="247">
        <v>0</v>
      </c>
      <c r="N45" s="247">
        <v>0</v>
      </c>
      <c r="O45" s="247">
        <v>0</v>
      </c>
      <c r="P45" s="247">
        <v>0</v>
      </c>
      <c r="Q45" s="247">
        <v>0</v>
      </c>
      <c r="R45" s="233">
        <v>0</v>
      </c>
      <c r="S45" s="233">
        <v>0</v>
      </c>
      <c r="T45" s="233">
        <v>0</v>
      </c>
      <c r="U45" s="233">
        <v>0</v>
      </c>
      <c r="V45" s="233">
        <v>0</v>
      </c>
      <c r="W45" s="233">
        <v>0</v>
      </c>
      <c r="X45" s="233">
        <v>0</v>
      </c>
      <c r="Y45" s="233">
        <v>0</v>
      </c>
      <c r="Z45" s="233">
        <v>0</v>
      </c>
      <c r="AA45" s="59"/>
      <c r="AB45" s="367">
        <v>14</v>
      </c>
    </row>
    <row r="46" spans="1:28" x14ac:dyDescent="0.2">
      <c r="A46" s="154" t="s">
        <v>404</v>
      </c>
      <c r="B46" s="233">
        <v>0</v>
      </c>
      <c r="C46" s="233">
        <v>0</v>
      </c>
      <c r="D46" s="233">
        <v>16</v>
      </c>
      <c r="E46" s="233">
        <v>30</v>
      </c>
      <c r="F46" s="233">
        <v>0</v>
      </c>
      <c r="G46" s="233">
        <v>0</v>
      </c>
      <c r="H46" s="233">
        <v>0</v>
      </c>
      <c r="I46" s="234"/>
      <c r="J46" s="247">
        <v>0</v>
      </c>
      <c r="K46" s="247">
        <v>0</v>
      </c>
      <c r="L46" s="247">
        <v>0</v>
      </c>
      <c r="M46" s="247">
        <v>0</v>
      </c>
      <c r="N46" s="247">
        <v>0</v>
      </c>
      <c r="O46" s="247">
        <v>0</v>
      </c>
      <c r="P46" s="247">
        <v>0</v>
      </c>
      <c r="Q46" s="247">
        <v>0</v>
      </c>
      <c r="R46" s="233">
        <v>0</v>
      </c>
      <c r="S46" s="233">
        <v>0</v>
      </c>
      <c r="T46" s="233">
        <v>0</v>
      </c>
      <c r="U46" s="233">
        <v>0</v>
      </c>
      <c r="V46" s="233">
        <v>0</v>
      </c>
      <c r="W46" s="233">
        <v>0</v>
      </c>
      <c r="X46" s="233">
        <v>0</v>
      </c>
      <c r="Y46" s="233">
        <v>0</v>
      </c>
      <c r="Z46" s="233">
        <v>0</v>
      </c>
      <c r="AA46" s="59"/>
      <c r="AB46" s="367">
        <v>14</v>
      </c>
    </row>
    <row r="47" spans="1:28" x14ac:dyDescent="0.2">
      <c r="A47" s="154" t="s">
        <v>405</v>
      </c>
      <c r="B47" s="233">
        <v>0</v>
      </c>
      <c r="C47" s="233">
        <v>0</v>
      </c>
      <c r="D47" s="233">
        <v>16</v>
      </c>
      <c r="E47" s="233">
        <v>30</v>
      </c>
      <c r="F47" s="233">
        <v>0</v>
      </c>
      <c r="G47" s="233">
        <v>0</v>
      </c>
      <c r="H47" s="233">
        <v>0</v>
      </c>
      <c r="I47" s="234"/>
      <c r="J47" s="247">
        <v>0</v>
      </c>
      <c r="K47" s="247">
        <v>0</v>
      </c>
      <c r="L47" s="247">
        <v>0</v>
      </c>
      <c r="M47" s="247">
        <v>0</v>
      </c>
      <c r="N47" s="247">
        <v>0</v>
      </c>
      <c r="O47" s="247">
        <v>0</v>
      </c>
      <c r="P47" s="247">
        <v>0</v>
      </c>
      <c r="Q47" s="247">
        <v>0</v>
      </c>
      <c r="R47" s="233">
        <v>0</v>
      </c>
      <c r="S47" s="233">
        <v>0</v>
      </c>
      <c r="T47" s="233">
        <v>0</v>
      </c>
      <c r="U47" s="233">
        <v>0</v>
      </c>
      <c r="V47" s="233">
        <v>0</v>
      </c>
      <c r="W47" s="233">
        <v>0</v>
      </c>
      <c r="X47" s="233">
        <v>0</v>
      </c>
      <c r="Y47" s="233">
        <v>0</v>
      </c>
      <c r="Z47" s="233">
        <v>0</v>
      </c>
      <c r="AA47" s="59"/>
      <c r="AB47" s="367">
        <v>14</v>
      </c>
    </row>
    <row r="48" spans="1:28" x14ac:dyDescent="0.2">
      <c r="A48" s="154" t="s">
        <v>406</v>
      </c>
      <c r="B48" s="233">
        <v>0</v>
      </c>
      <c r="C48" s="233">
        <v>0</v>
      </c>
      <c r="D48" s="233">
        <v>16</v>
      </c>
      <c r="E48" s="233">
        <v>30</v>
      </c>
      <c r="F48" s="233">
        <v>0</v>
      </c>
      <c r="G48" s="233">
        <v>0</v>
      </c>
      <c r="H48" s="233">
        <v>0</v>
      </c>
      <c r="I48" s="234"/>
      <c r="J48" s="247">
        <v>0</v>
      </c>
      <c r="K48" s="247">
        <v>0</v>
      </c>
      <c r="L48" s="247">
        <v>0</v>
      </c>
      <c r="M48" s="247">
        <v>0</v>
      </c>
      <c r="N48" s="247">
        <v>0</v>
      </c>
      <c r="O48" s="247">
        <v>0</v>
      </c>
      <c r="P48" s="247">
        <v>0</v>
      </c>
      <c r="Q48" s="247">
        <v>0</v>
      </c>
      <c r="R48" s="233">
        <v>0</v>
      </c>
      <c r="S48" s="233">
        <v>0</v>
      </c>
      <c r="T48" s="233">
        <v>0</v>
      </c>
      <c r="U48" s="233">
        <v>0</v>
      </c>
      <c r="V48" s="233">
        <v>0</v>
      </c>
      <c r="W48" s="233">
        <v>0</v>
      </c>
      <c r="X48" s="233">
        <v>0</v>
      </c>
      <c r="Y48" s="233">
        <v>0</v>
      </c>
      <c r="Z48" s="233">
        <v>0</v>
      </c>
      <c r="AA48" s="59"/>
      <c r="AB48" s="367">
        <v>14</v>
      </c>
    </row>
    <row r="49" spans="1:28" x14ac:dyDescent="0.2">
      <c r="A49" s="154" t="s">
        <v>407</v>
      </c>
      <c r="B49" s="233">
        <v>0</v>
      </c>
      <c r="C49" s="233">
        <v>0</v>
      </c>
      <c r="D49" s="233">
        <v>16</v>
      </c>
      <c r="E49" s="233">
        <v>30</v>
      </c>
      <c r="F49" s="233">
        <v>0</v>
      </c>
      <c r="G49" s="233">
        <v>0</v>
      </c>
      <c r="H49" s="233">
        <v>0</v>
      </c>
      <c r="I49" s="234"/>
      <c r="J49" s="247">
        <v>0</v>
      </c>
      <c r="K49" s="247">
        <v>0</v>
      </c>
      <c r="L49" s="247">
        <v>0</v>
      </c>
      <c r="M49" s="247">
        <v>0</v>
      </c>
      <c r="N49" s="247">
        <v>0</v>
      </c>
      <c r="O49" s="247">
        <v>0</v>
      </c>
      <c r="P49" s="247">
        <v>0</v>
      </c>
      <c r="Q49" s="247">
        <v>0</v>
      </c>
      <c r="R49" s="233">
        <v>0</v>
      </c>
      <c r="S49" s="233">
        <v>0</v>
      </c>
      <c r="T49" s="233">
        <v>0</v>
      </c>
      <c r="U49" s="233">
        <v>0</v>
      </c>
      <c r="V49" s="233">
        <v>0</v>
      </c>
      <c r="W49" s="233">
        <v>0</v>
      </c>
      <c r="X49" s="233">
        <v>0</v>
      </c>
      <c r="Y49" s="233">
        <v>0</v>
      </c>
      <c r="Z49" s="233">
        <v>0</v>
      </c>
      <c r="AA49" s="59"/>
      <c r="AB49" s="367">
        <v>14</v>
      </c>
    </row>
    <row r="50" spans="1:28" x14ac:dyDescent="0.2">
      <c r="A50" s="154" t="s">
        <v>409</v>
      </c>
      <c r="B50" s="233">
        <v>0</v>
      </c>
      <c r="C50" s="233">
        <v>0</v>
      </c>
      <c r="D50" s="233">
        <v>16</v>
      </c>
      <c r="E50" s="233">
        <v>30</v>
      </c>
      <c r="F50" s="233">
        <v>0</v>
      </c>
      <c r="G50" s="233">
        <v>0</v>
      </c>
      <c r="H50" s="233">
        <v>0</v>
      </c>
      <c r="I50" s="234"/>
      <c r="J50" s="247">
        <v>0</v>
      </c>
      <c r="K50" s="247">
        <v>0</v>
      </c>
      <c r="L50" s="247">
        <v>0</v>
      </c>
      <c r="M50" s="247">
        <v>0</v>
      </c>
      <c r="N50" s="247">
        <v>0</v>
      </c>
      <c r="O50" s="247">
        <v>0</v>
      </c>
      <c r="P50" s="247">
        <v>0</v>
      </c>
      <c r="Q50" s="247">
        <v>0</v>
      </c>
      <c r="R50" s="233">
        <v>0</v>
      </c>
      <c r="S50" s="233">
        <v>0</v>
      </c>
      <c r="T50" s="233">
        <v>0</v>
      </c>
      <c r="U50" s="233">
        <v>0</v>
      </c>
      <c r="V50" s="233">
        <v>0</v>
      </c>
      <c r="W50" s="233">
        <v>0</v>
      </c>
      <c r="X50" s="233">
        <v>0</v>
      </c>
      <c r="Y50" s="233">
        <v>0</v>
      </c>
      <c r="Z50" s="233">
        <v>0</v>
      </c>
      <c r="AA50" s="59"/>
      <c r="AB50" s="367">
        <v>14</v>
      </c>
    </row>
    <row r="51" spans="1:28" x14ac:dyDescent="0.2">
      <c r="A51" s="154" t="s">
        <v>298</v>
      </c>
      <c r="B51" s="248">
        <v>0</v>
      </c>
      <c r="C51" s="248">
        <v>0</v>
      </c>
      <c r="D51" s="248">
        <v>0</v>
      </c>
      <c r="E51" s="248">
        <v>0</v>
      </c>
      <c r="F51" s="248">
        <v>0</v>
      </c>
      <c r="G51" s="248">
        <v>0</v>
      </c>
      <c r="H51" s="248">
        <v>0</v>
      </c>
      <c r="I51" s="234">
        <f t="shared" si="0"/>
        <v>0</v>
      </c>
      <c r="J51" s="247">
        <v>0</v>
      </c>
      <c r="K51" s="247">
        <v>0</v>
      </c>
      <c r="L51" s="247">
        <v>0</v>
      </c>
      <c r="M51" s="247">
        <v>0</v>
      </c>
      <c r="N51" s="247">
        <v>0</v>
      </c>
      <c r="O51" s="247">
        <v>0</v>
      </c>
      <c r="P51" s="247">
        <v>0</v>
      </c>
      <c r="Q51" s="247">
        <v>0</v>
      </c>
      <c r="R51" s="248">
        <v>0</v>
      </c>
      <c r="S51" s="248">
        <v>0</v>
      </c>
      <c r="T51" s="248">
        <v>0</v>
      </c>
      <c r="U51" s="248">
        <v>0</v>
      </c>
      <c r="V51" s="248">
        <v>0</v>
      </c>
      <c r="W51" s="248">
        <v>0</v>
      </c>
      <c r="X51" s="248">
        <v>0</v>
      </c>
      <c r="Y51" s="218">
        <v>0</v>
      </c>
      <c r="Z51" s="248">
        <v>0</v>
      </c>
      <c r="AA51" s="59"/>
      <c r="AB51" s="367">
        <v>14</v>
      </c>
    </row>
    <row r="52" spans="1:28" x14ac:dyDescent="0.2">
      <c r="A52" s="154" t="s">
        <v>515</v>
      </c>
      <c r="B52" s="233">
        <v>0</v>
      </c>
      <c r="C52" s="233">
        <v>0</v>
      </c>
      <c r="D52" s="249">
        <v>16</v>
      </c>
      <c r="E52" s="233">
        <v>30</v>
      </c>
      <c r="F52" s="233">
        <v>0</v>
      </c>
      <c r="G52" s="233">
        <v>0</v>
      </c>
      <c r="H52" s="233">
        <v>0</v>
      </c>
      <c r="I52" s="234"/>
      <c r="J52" s="247">
        <v>0</v>
      </c>
      <c r="K52" s="247">
        <v>0</v>
      </c>
      <c r="L52" s="247">
        <v>0</v>
      </c>
      <c r="M52" s="247">
        <v>0</v>
      </c>
      <c r="N52" s="247">
        <v>0</v>
      </c>
      <c r="O52" s="247">
        <v>0</v>
      </c>
      <c r="P52" s="247">
        <v>0</v>
      </c>
      <c r="Q52" s="247">
        <v>0</v>
      </c>
      <c r="R52" s="233">
        <v>0</v>
      </c>
      <c r="S52" s="233">
        <v>0</v>
      </c>
      <c r="T52" s="233">
        <v>0</v>
      </c>
      <c r="U52" s="233">
        <v>0</v>
      </c>
      <c r="V52" s="233">
        <v>0</v>
      </c>
      <c r="W52" s="233">
        <v>0</v>
      </c>
      <c r="X52" s="233">
        <v>0</v>
      </c>
      <c r="Y52" s="233">
        <v>0</v>
      </c>
      <c r="Z52" s="233">
        <v>0</v>
      </c>
      <c r="AA52" s="59"/>
      <c r="AB52" s="367">
        <v>14</v>
      </c>
    </row>
    <row r="53" spans="1:28" x14ac:dyDescent="0.2">
      <c r="A53" s="154" t="s">
        <v>408</v>
      </c>
      <c r="B53" s="233">
        <v>0</v>
      </c>
      <c r="C53" s="233">
        <v>0</v>
      </c>
      <c r="D53" s="233">
        <v>16</v>
      </c>
      <c r="E53" s="233">
        <v>30</v>
      </c>
      <c r="F53" s="233">
        <v>0</v>
      </c>
      <c r="G53" s="233">
        <v>0</v>
      </c>
      <c r="H53" s="233">
        <v>0</v>
      </c>
      <c r="I53" s="234">
        <f t="shared" si="0"/>
        <v>0</v>
      </c>
      <c r="J53" s="247">
        <v>0</v>
      </c>
      <c r="K53" s="247">
        <v>0</v>
      </c>
      <c r="L53" s="247">
        <v>0</v>
      </c>
      <c r="M53" s="247">
        <v>0</v>
      </c>
      <c r="N53" s="247">
        <v>0</v>
      </c>
      <c r="O53" s="247">
        <v>0</v>
      </c>
      <c r="P53" s="247">
        <v>0</v>
      </c>
      <c r="Q53" s="247">
        <v>0</v>
      </c>
      <c r="R53" s="233">
        <v>0</v>
      </c>
      <c r="S53" s="233">
        <v>0</v>
      </c>
      <c r="T53" s="233">
        <v>0</v>
      </c>
      <c r="U53" s="233">
        <v>0</v>
      </c>
      <c r="V53" s="233">
        <v>0</v>
      </c>
      <c r="W53" s="233">
        <v>0</v>
      </c>
      <c r="X53" s="233">
        <v>0</v>
      </c>
      <c r="Y53" s="233">
        <v>0</v>
      </c>
      <c r="Z53" s="233">
        <v>0</v>
      </c>
      <c r="AA53" s="59"/>
      <c r="AB53" s="367">
        <v>14</v>
      </c>
    </row>
    <row r="54" spans="1:28" x14ac:dyDescent="0.2">
      <c r="A54" s="154" t="s">
        <v>410</v>
      </c>
      <c r="B54" s="233">
        <v>0</v>
      </c>
      <c r="C54" s="233">
        <v>0</v>
      </c>
      <c r="D54" s="233">
        <v>16</v>
      </c>
      <c r="E54" s="233">
        <v>30</v>
      </c>
      <c r="F54" s="233">
        <v>0</v>
      </c>
      <c r="G54" s="233">
        <v>0</v>
      </c>
      <c r="H54" s="233">
        <v>0</v>
      </c>
      <c r="I54" s="234">
        <f t="shared" si="0"/>
        <v>0</v>
      </c>
      <c r="J54" s="247">
        <v>0</v>
      </c>
      <c r="K54" s="247">
        <v>0</v>
      </c>
      <c r="L54" s="247">
        <v>0</v>
      </c>
      <c r="M54" s="247">
        <v>0</v>
      </c>
      <c r="N54" s="247">
        <v>0</v>
      </c>
      <c r="O54" s="247">
        <v>0</v>
      </c>
      <c r="P54" s="247">
        <v>0</v>
      </c>
      <c r="Q54" s="247">
        <v>0</v>
      </c>
      <c r="R54" s="233">
        <v>0</v>
      </c>
      <c r="S54" s="233">
        <v>0</v>
      </c>
      <c r="T54" s="233">
        <v>0</v>
      </c>
      <c r="U54" s="233">
        <v>0</v>
      </c>
      <c r="V54" s="233">
        <v>0</v>
      </c>
      <c r="W54" s="233">
        <v>0</v>
      </c>
      <c r="X54" s="233">
        <v>0</v>
      </c>
      <c r="Y54" s="233">
        <v>0</v>
      </c>
      <c r="Z54" s="233">
        <v>0</v>
      </c>
      <c r="AA54" s="59"/>
      <c r="AB54" s="367">
        <v>14</v>
      </c>
    </row>
    <row r="55" spans="1:28" x14ac:dyDescent="0.2">
      <c r="A55" s="154" t="s">
        <v>411</v>
      </c>
      <c r="B55" s="233">
        <v>0</v>
      </c>
      <c r="C55" s="233">
        <v>0</v>
      </c>
      <c r="D55" s="233">
        <v>16</v>
      </c>
      <c r="E55" s="233">
        <v>30</v>
      </c>
      <c r="F55" s="233">
        <v>0</v>
      </c>
      <c r="G55" s="233">
        <v>0</v>
      </c>
      <c r="H55" s="233">
        <v>0</v>
      </c>
      <c r="I55" s="234">
        <f t="shared" si="0"/>
        <v>0</v>
      </c>
      <c r="J55" s="247">
        <v>0</v>
      </c>
      <c r="K55" s="247">
        <v>0</v>
      </c>
      <c r="L55" s="247">
        <v>0</v>
      </c>
      <c r="M55" s="247">
        <v>0</v>
      </c>
      <c r="N55" s="247">
        <v>0</v>
      </c>
      <c r="O55" s="247">
        <v>0</v>
      </c>
      <c r="P55" s="247">
        <v>0</v>
      </c>
      <c r="Q55" s="247">
        <v>0</v>
      </c>
      <c r="R55" s="233">
        <v>0</v>
      </c>
      <c r="S55" s="233">
        <v>0</v>
      </c>
      <c r="T55" s="233">
        <v>0</v>
      </c>
      <c r="U55" s="233">
        <v>0</v>
      </c>
      <c r="V55" s="233">
        <v>0</v>
      </c>
      <c r="W55" s="233">
        <v>0</v>
      </c>
      <c r="X55" s="233">
        <v>0</v>
      </c>
      <c r="Y55" s="233">
        <v>0</v>
      </c>
      <c r="Z55" s="233">
        <v>0</v>
      </c>
      <c r="AA55" s="59"/>
      <c r="AB55" s="367">
        <v>14</v>
      </c>
    </row>
    <row r="56" spans="1:28" x14ac:dyDescent="0.2">
      <c r="A56" s="154" t="s">
        <v>413</v>
      </c>
      <c r="B56" s="233">
        <v>0</v>
      </c>
      <c r="C56" s="233">
        <v>0</v>
      </c>
      <c r="D56" s="233">
        <v>16</v>
      </c>
      <c r="E56" s="233">
        <v>30</v>
      </c>
      <c r="F56" s="233">
        <v>0</v>
      </c>
      <c r="G56" s="233">
        <v>0</v>
      </c>
      <c r="H56" s="233">
        <v>0</v>
      </c>
      <c r="I56" s="234">
        <f t="shared" si="0"/>
        <v>0</v>
      </c>
      <c r="J56" s="247">
        <v>0</v>
      </c>
      <c r="K56" s="247">
        <v>0</v>
      </c>
      <c r="L56" s="247">
        <v>0</v>
      </c>
      <c r="M56" s="247">
        <v>0</v>
      </c>
      <c r="N56" s="247">
        <v>0</v>
      </c>
      <c r="O56" s="247">
        <v>0</v>
      </c>
      <c r="P56" s="247">
        <v>0</v>
      </c>
      <c r="Q56" s="247">
        <v>0</v>
      </c>
      <c r="R56" s="233">
        <v>0</v>
      </c>
      <c r="S56" s="233">
        <v>0</v>
      </c>
      <c r="T56" s="233">
        <v>0</v>
      </c>
      <c r="U56" s="233">
        <v>0</v>
      </c>
      <c r="V56" s="233">
        <v>0</v>
      </c>
      <c r="W56" s="233">
        <v>0</v>
      </c>
      <c r="X56" s="233">
        <v>0</v>
      </c>
      <c r="Y56" s="233">
        <v>0</v>
      </c>
      <c r="Z56" s="233">
        <v>0</v>
      </c>
      <c r="AA56" s="59"/>
      <c r="AB56" s="367">
        <v>14</v>
      </c>
    </row>
    <row r="57" spans="1:28" x14ac:dyDescent="0.2">
      <c r="A57" s="154" t="s">
        <v>412</v>
      </c>
      <c r="B57" s="233">
        <v>0</v>
      </c>
      <c r="C57" s="233">
        <v>0</v>
      </c>
      <c r="D57" s="233">
        <v>16</v>
      </c>
      <c r="E57" s="233">
        <v>30</v>
      </c>
      <c r="F57" s="233">
        <v>0</v>
      </c>
      <c r="G57" s="233">
        <v>0</v>
      </c>
      <c r="H57" s="233">
        <v>0</v>
      </c>
      <c r="I57" s="234">
        <f t="shared" si="0"/>
        <v>0</v>
      </c>
      <c r="J57" s="247">
        <v>0</v>
      </c>
      <c r="K57" s="247">
        <v>0</v>
      </c>
      <c r="L57" s="247">
        <v>0</v>
      </c>
      <c r="M57" s="247">
        <v>0</v>
      </c>
      <c r="N57" s="247">
        <v>0</v>
      </c>
      <c r="O57" s="247">
        <v>0</v>
      </c>
      <c r="P57" s="247">
        <v>0</v>
      </c>
      <c r="Q57" s="247">
        <v>0</v>
      </c>
      <c r="R57" s="233">
        <v>0</v>
      </c>
      <c r="S57" s="233">
        <v>0</v>
      </c>
      <c r="T57" s="233">
        <v>0</v>
      </c>
      <c r="U57" s="233">
        <v>0</v>
      </c>
      <c r="V57" s="233">
        <v>0</v>
      </c>
      <c r="W57" s="233">
        <v>0</v>
      </c>
      <c r="X57" s="233">
        <v>0</v>
      </c>
      <c r="Y57" s="233">
        <v>0</v>
      </c>
      <c r="Z57" s="233">
        <v>0</v>
      </c>
      <c r="AA57" s="59"/>
      <c r="AB57" s="367">
        <v>14</v>
      </c>
    </row>
    <row r="58" spans="1:28" x14ac:dyDescent="0.2">
      <c r="A58" s="154" t="s">
        <v>414</v>
      </c>
      <c r="B58" s="233">
        <v>0</v>
      </c>
      <c r="C58" s="233">
        <v>0</v>
      </c>
      <c r="D58" s="233">
        <v>16</v>
      </c>
      <c r="E58" s="233">
        <v>30</v>
      </c>
      <c r="F58" s="233">
        <v>0</v>
      </c>
      <c r="G58" s="233">
        <v>0</v>
      </c>
      <c r="H58" s="233">
        <v>0</v>
      </c>
      <c r="I58" s="234">
        <f t="shared" ref="I58:I64" si="1">AVERAGE(J58:P58)</f>
        <v>0</v>
      </c>
      <c r="J58" s="247">
        <v>0</v>
      </c>
      <c r="K58" s="247">
        <v>0</v>
      </c>
      <c r="L58" s="247">
        <v>0</v>
      </c>
      <c r="M58" s="247">
        <v>0</v>
      </c>
      <c r="N58" s="247">
        <v>0</v>
      </c>
      <c r="O58" s="247">
        <v>0</v>
      </c>
      <c r="P58" s="247">
        <v>0</v>
      </c>
      <c r="Q58" s="247">
        <v>0</v>
      </c>
      <c r="R58" s="233">
        <v>0</v>
      </c>
      <c r="S58" s="233">
        <v>0</v>
      </c>
      <c r="T58" s="233">
        <v>0</v>
      </c>
      <c r="U58" s="233">
        <v>0</v>
      </c>
      <c r="V58" s="233">
        <v>0</v>
      </c>
      <c r="W58" s="233">
        <v>0</v>
      </c>
      <c r="X58" s="233">
        <v>0</v>
      </c>
      <c r="Y58" s="233">
        <v>0</v>
      </c>
      <c r="Z58" s="233">
        <v>0</v>
      </c>
      <c r="AA58" s="59"/>
      <c r="AB58" s="367">
        <v>14</v>
      </c>
    </row>
    <row r="59" spans="1:28" x14ac:dyDescent="0.2">
      <c r="A59" s="154" t="s">
        <v>191</v>
      </c>
      <c r="B59" s="238">
        <v>295</v>
      </c>
      <c r="C59" s="238">
        <v>17</v>
      </c>
      <c r="D59" s="238">
        <v>16</v>
      </c>
      <c r="E59" s="238">
        <v>30</v>
      </c>
      <c r="F59" s="238">
        <v>2E-3</v>
      </c>
      <c r="G59" s="238">
        <v>0.08</v>
      </c>
      <c r="H59" s="238">
        <v>43.1</v>
      </c>
      <c r="I59" s="234">
        <f t="shared" si="1"/>
        <v>0</v>
      </c>
      <c r="J59" s="247">
        <v>0</v>
      </c>
      <c r="K59" s="247">
        <v>0</v>
      </c>
      <c r="L59" s="247">
        <v>0</v>
      </c>
      <c r="M59" s="247">
        <v>0</v>
      </c>
      <c r="N59" s="247">
        <v>0</v>
      </c>
      <c r="O59" s="247">
        <v>0</v>
      </c>
      <c r="P59" s="247">
        <v>0</v>
      </c>
      <c r="Q59" s="247">
        <v>0</v>
      </c>
      <c r="R59" s="238">
        <v>402</v>
      </c>
      <c r="S59" s="238">
        <v>0</v>
      </c>
      <c r="T59" s="238">
        <v>337</v>
      </c>
      <c r="U59" s="238">
        <v>0.2</v>
      </c>
      <c r="V59" s="238">
        <v>0.1</v>
      </c>
      <c r="W59" s="238">
        <v>0.2</v>
      </c>
      <c r="X59" s="238">
        <v>1.6999999999999999E-3</v>
      </c>
      <c r="Y59" s="241">
        <v>0.67</v>
      </c>
      <c r="Z59" s="238">
        <v>10.5</v>
      </c>
      <c r="AA59" s="59"/>
      <c r="AB59" s="367">
        <v>14</v>
      </c>
    </row>
    <row r="60" spans="1:28" x14ac:dyDescent="0.2">
      <c r="A60" s="154" t="s">
        <v>415</v>
      </c>
      <c r="B60" s="233">
        <v>0</v>
      </c>
      <c r="C60" s="233">
        <v>0</v>
      </c>
      <c r="D60" s="233">
        <v>16</v>
      </c>
      <c r="E60" s="233">
        <v>30</v>
      </c>
      <c r="F60" s="233">
        <v>0</v>
      </c>
      <c r="G60" s="233">
        <v>0</v>
      </c>
      <c r="H60" s="233">
        <v>0</v>
      </c>
      <c r="I60" s="234">
        <f t="shared" si="1"/>
        <v>0</v>
      </c>
      <c r="J60" s="247">
        <v>0</v>
      </c>
      <c r="K60" s="247">
        <v>0</v>
      </c>
      <c r="L60" s="247">
        <v>0</v>
      </c>
      <c r="M60" s="247">
        <v>0</v>
      </c>
      <c r="N60" s="247">
        <v>0</v>
      </c>
      <c r="O60" s="247">
        <v>0</v>
      </c>
      <c r="P60" s="247">
        <v>0</v>
      </c>
      <c r="Q60" s="247">
        <v>0</v>
      </c>
      <c r="R60" s="233">
        <v>0</v>
      </c>
      <c r="S60" s="233">
        <v>0</v>
      </c>
      <c r="T60" s="233">
        <v>0</v>
      </c>
      <c r="U60" s="233">
        <v>0</v>
      </c>
      <c r="V60" s="233">
        <v>0</v>
      </c>
      <c r="W60" s="233">
        <v>0</v>
      </c>
      <c r="X60" s="233">
        <v>0</v>
      </c>
      <c r="Y60" s="233">
        <v>0</v>
      </c>
      <c r="Z60" s="233">
        <v>0</v>
      </c>
      <c r="AA60" s="59"/>
      <c r="AB60" s="367">
        <v>14</v>
      </c>
    </row>
    <row r="61" spans="1:28" x14ac:dyDescent="0.2">
      <c r="A61" s="154" t="s">
        <v>173</v>
      </c>
      <c r="B61" s="238">
        <v>255</v>
      </c>
      <c r="C61" s="238">
        <v>11</v>
      </c>
      <c r="D61" s="238">
        <v>12</v>
      </c>
      <c r="E61" s="238">
        <v>85</v>
      </c>
      <c r="F61" s="238">
        <v>4.2000000000000003E-2</v>
      </c>
      <c r="G61" s="238">
        <v>0.08</v>
      </c>
      <c r="H61" s="238">
        <v>10.8</v>
      </c>
      <c r="I61" s="234">
        <f t="shared" si="1"/>
        <v>0</v>
      </c>
      <c r="J61" s="247">
        <v>0</v>
      </c>
      <c r="K61" s="247">
        <v>0</v>
      </c>
      <c r="L61" s="247">
        <v>0</v>
      </c>
      <c r="M61" s="247">
        <v>0</v>
      </c>
      <c r="N61" s="247">
        <v>0</v>
      </c>
      <c r="O61" s="247">
        <v>0</v>
      </c>
      <c r="P61" s="247">
        <v>0</v>
      </c>
      <c r="Q61" s="247">
        <v>0</v>
      </c>
      <c r="R61" s="238">
        <v>198</v>
      </c>
      <c r="S61" s="238">
        <v>0.5</v>
      </c>
      <c r="T61" s="238">
        <v>382</v>
      </c>
      <c r="U61" s="238">
        <v>0.3</v>
      </c>
      <c r="V61" s="238">
        <v>0.2</v>
      </c>
      <c r="W61" s="238">
        <v>0.2</v>
      </c>
      <c r="X61" s="238">
        <v>6.0000000000000001E-3</v>
      </c>
      <c r="Y61" s="241">
        <v>0.33</v>
      </c>
      <c r="Z61" s="238">
        <v>24.1</v>
      </c>
      <c r="AA61" s="59"/>
      <c r="AB61" s="367">
        <v>14</v>
      </c>
    </row>
    <row r="62" spans="1:28" x14ac:dyDescent="0.2">
      <c r="A62" s="154" t="s">
        <v>416</v>
      </c>
      <c r="B62" s="233">
        <v>0</v>
      </c>
      <c r="C62" s="233">
        <v>0</v>
      </c>
      <c r="D62" s="233">
        <v>16</v>
      </c>
      <c r="E62" s="233">
        <v>30</v>
      </c>
      <c r="F62" s="233">
        <v>0</v>
      </c>
      <c r="G62" s="233">
        <v>0</v>
      </c>
      <c r="H62" s="233">
        <v>0</v>
      </c>
      <c r="I62" s="234">
        <f t="shared" si="1"/>
        <v>0</v>
      </c>
      <c r="J62" s="247">
        <v>0</v>
      </c>
      <c r="K62" s="247">
        <v>0</v>
      </c>
      <c r="L62" s="247">
        <v>0</v>
      </c>
      <c r="M62" s="247">
        <v>0</v>
      </c>
      <c r="N62" s="247">
        <v>0</v>
      </c>
      <c r="O62" s="247">
        <v>0</v>
      </c>
      <c r="P62" s="247">
        <v>0</v>
      </c>
      <c r="Q62" s="247">
        <v>0</v>
      </c>
      <c r="R62" s="233">
        <v>0</v>
      </c>
      <c r="S62" s="233">
        <v>0</v>
      </c>
      <c r="T62" s="233">
        <v>0</v>
      </c>
      <c r="U62" s="233">
        <v>0</v>
      </c>
      <c r="V62" s="233">
        <v>0</v>
      </c>
      <c r="W62" s="233">
        <v>0</v>
      </c>
      <c r="X62" s="233">
        <v>0</v>
      </c>
      <c r="Y62" s="233">
        <v>0</v>
      </c>
      <c r="Z62" s="233">
        <v>0</v>
      </c>
      <c r="AA62" s="59"/>
      <c r="AB62" s="367">
        <v>14</v>
      </c>
    </row>
    <row r="63" spans="1:28" x14ac:dyDescent="0.2">
      <c r="A63" s="154" t="s">
        <v>417</v>
      </c>
      <c r="B63" s="233">
        <v>0</v>
      </c>
      <c r="C63" s="233">
        <v>0</v>
      </c>
      <c r="D63" s="233">
        <v>16</v>
      </c>
      <c r="E63" s="233">
        <v>30</v>
      </c>
      <c r="F63" s="233">
        <v>0</v>
      </c>
      <c r="G63" s="233">
        <v>0</v>
      </c>
      <c r="H63" s="233">
        <v>0</v>
      </c>
      <c r="I63" s="234">
        <f t="shared" si="1"/>
        <v>0</v>
      </c>
      <c r="J63" s="247">
        <v>0</v>
      </c>
      <c r="K63" s="247">
        <v>0</v>
      </c>
      <c r="L63" s="247">
        <v>0</v>
      </c>
      <c r="M63" s="247">
        <v>0</v>
      </c>
      <c r="N63" s="247">
        <v>0</v>
      </c>
      <c r="O63" s="247">
        <v>0</v>
      </c>
      <c r="P63" s="247">
        <v>0</v>
      </c>
      <c r="Q63" s="247">
        <v>0</v>
      </c>
      <c r="R63" s="233">
        <v>0</v>
      </c>
      <c r="S63" s="233">
        <v>0</v>
      </c>
      <c r="T63" s="233">
        <v>0</v>
      </c>
      <c r="U63" s="233">
        <v>0</v>
      </c>
      <c r="V63" s="233">
        <v>0</v>
      </c>
      <c r="W63" s="233">
        <v>0</v>
      </c>
      <c r="X63" s="233">
        <v>0</v>
      </c>
      <c r="Y63" s="233">
        <v>0</v>
      </c>
      <c r="Z63" s="233">
        <v>0</v>
      </c>
      <c r="AA63" s="59"/>
      <c r="AB63" s="367">
        <v>14</v>
      </c>
    </row>
    <row r="64" spans="1:28" x14ac:dyDescent="0.2">
      <c r="A64" s="154" t="s">
        <v>376</v>
      </c>
      <c r="B64" s="233">
        <v>0</v>
      </c>
      <c r="C64" s="233">
        <v>0</v>
      </c>
      <c r="D64" s="233">
        <v>16</v>
      </c>
      <c r="E64" s="233">
        <v>30</v>
      </c>
      <c r="F64" s="233">
        <v>0</v>
      </c>
      <c r="G64" s="233">
        <v>0</v>
      </c>
      <c r="H64" s="233">
        <v>0</v>
      </c>
      <c r="I64" s="234">
        <f t="shared" si="1"/>
        <v>0</v>
      </c>
      <c r="J64" s="247">
        <v>0</v>
      </c>
      <c r="K64" s="247">
        <v>0</v>
      </c>
      <c r="L64" s="247">
        <v>0</v>
      </c>
      <c r="M64" s="247">
        <v>0</v>
      </c>
      <c r="N64" s="247">
        <v>0</v>
      </c>
      <c r="O64" s="247">
        <v>0</v>
      </c>
      <c r="P64" s="247">
        <v>0</v>
      </c>
      <c r="Q64" s="247">
        <v>0</v>
      </c>
      <c r="R64" s="233">
        <v>0</v>
      </c>
      <c r="S64" s="233">
        <v>0</v>
      </c>
      <c r="T64" s="233">
        <v>0</v>
      </c>
      <c r="U64" s="233">
        <v>0</v>
      </c>
      <c r="V64" s="233">
        <v>0</v>
      </c>
      <c r="W64" s="233">
        <v>0</v>
      </c>
      <c r="X64" s="233">
        <v>0</v>
      </c>
      <c r="Y64" s="233">
        <v>0</v>
      </c>
      <c r="Z64" s="233">
        <v>0</v>
      </c>
      <c r="AA64" s="59"/>
      <c r="AB64" s="367">
        <v>14</v>
      </c>
    </row>
    <row r="65" spans="1:27" x14ac:dyDescent="0.2">
      <c r="A65" s="58"/>
      <c r="B65" s="59"/>
      <c r="C65" s="59"/>
      <c r="D65" s="59"/>
      <c r="E65" s="59"/>
      <c r="F65" s="59"/>
      <c r="G65" s="59"/>
      <c r="H65" s="59"/>
      <c r="I65" s="59"/>
      <c r="J65" s="59"/>
      <c r="K65" s="59"/>
      <c r="L65" s="59"/>
      <c r="M65" s="59"/>
      <c r="N65" s="59"/>
      <c r="O65" s="59"/>
      <c r="P65" s="59"/>
      <c r="Q65" s="59"/>
      <c r="R65" s="59"/>
      <c r="S65" s="59"/>
      <c r="T65" s="59"/>
      <c r="U65" s="59"/>
      <c r="V65" s="59"/>
      <c r="W65" s="59"/>
      <c r="X65" s="59"/>
      <c r="Y65" s="59"/>
      <c r="Z65" s="59"/>
      <c r="AA65" s="59"/>
    </row>
    <row r="66" spans="1:27" ht="34" x14ac:dyDescent="0.2">
      <c r="A66" s="187" t="s">
        <v>309</v>
      </c>
      <c r="B66" s="218" t="s">
        <v>445</v>
      </c>
      <c r="C66" s="218" t="s">
        <v>446</v>
      </c>
      <c r="D66" s="218" t="s">
        <v>447</v>
      </c>
      <c r="E66" s="218" t="s">
        <v>448</v>
      </c>
      <c r="F66" s="362" t="s">
        <v>949</v>
      </c>
      <c r="G66" s="218" t="s">
        <v>449</v>
      </c>
      <c r="H66" s="250" t="s">
        <v>665</v>
      </c>
      <c r="I66" s="218" t="s">
        <v>666</v>
      </c>
      <c r="J66" s="218" t="s">
        <v>335</v>
      </c>
      <c r="K66" s="59"/>
      <c r="L66" s="59"/>
      <c r="M66" s="59"/>
      <c r="N66" s="59"/>
      <c r="O66" s="59"/>
      <c r="P66" s="59"/>
      <c r="Q66" s="59"/>
      <c r="R66" s="59"/>
      <c r="S66" s="59"/>
      <c r="T66" s="59"/>
      <c r="U66" s="59"/>
      <c r="V66" s="59"/>
      <c r="W66" s="59"/>
      <c r="X66" s="59"/>
      <c r="Y66" s="59"/>
      <c r="Z66" s="59"/>
      <c r="AA66" s="59"/>
    </row>
    <row r="67" spans="1:27" x14ac:dyDescent="0.2">
      <c r="A67" s="154" t="s">
        <v>218</v>
      </c>
      <c r="B67" s="251">
        <v>1</v>
      </c>
      <c r="C67" s="363" t="s">
        <v>950</v>
      </c>
      <c r="D67" s="218">
        <f>(((1/3)*1.686)+0.4)*(5.823+1.22+0.61)</f>
        <v>7.3621860000000003</v>
      </c>
      <c r="E67" s="251">
        <f>180*2</f>
        <v>360</v>
      </c>
      <c r="F67" s="156">
        <f>5.02*2.4384*2</f>
        <v>24.481535999999998</v>
      </c>
      <c r="G67" s="251">
        <v>0</v>
      </c>
      <c r="H67" s="251">
        <v>0</v>
      </c>
      <c r="I67" s="251">
        <v>0</v>
      </c>
      <c r="J67" s="252" t="s">
        <v>656</v>
      </c>
      <c r="K67" s="59"/>
      <c r="L67" s="59"/>
      <c r="M67" s="59"/>
      <c r="N67" s="59"/>
      <c r="O67" s="59"/>
      <c r="P67" s="59"/>
      <c r="Q67" s="59"/>
      <c r="R67" s="59"/>
      <c r="S67" s="59"/>
      <c r="T67" s="59"/>
      <c r="U67" s="59"/>
      <c r="V67" s="59"/>
      <c r="W67" s="59"/>
      <c r="X67" s="59"/>
      <c r="Y67" s="59"/>
      <c r="Z67" s="59"/>
      <c r="AA67" s="59"/>
    </row>
    <row r="68" spans="1:27" x14ac:dyDescent="0.2">
      <c r="A68" s="154" t="s">
        <v>219</v>
      </c>
      <c r="B68" s="251">
        <v>1</v>
      </c>
      <c r="C68" s="251">
        <v>0</v>
      </c>
      <c r="D68" s="251">
        <v>0</v>
      </c>
      <c r="E68" s="251">
        <v>0</v>
      </c>
      <c r="F68" s="156"/>
      <c r="G68" s="251">
        <v>0</v>
      </c>
      <c r="H68" s="251">
        <v>0</v>
      </c>
      <c r="I68" s="251">
        <v>0</v>
      </c>
      <c r="J68" s="252" t="s">
        <v>657</v>
      </c>
      <c r="K68" s="59"/>
      <c r="L68" s="59"/>
      <c r="M68" s="59"/>
      <c r="N68" s="59"/>
      <c r="O68" s="59"/>
      <c r="P68" s="59"/>
      <c r="Q68" s="59"/>
      <c r="R68" s="59"/>
      <c r="S68" s="59"/>
      <c r="T68" s="59"/>
      <c r="U68" s="59"/>
      <c r="V68" s="59"/>
      <c r="W68" s="59"/>
      <c r="X68" s="59"/>
      <c r="Y68" s="59"/>
      <c r="Z68" s="59"/>
      <c r="AA68" s="59"/>
    </row>
    <row r="69" spans="1:27" x14ac:dyDescent="0.2">
      <c r="A69" s="154" t="s">
        <v>628</v>
      </c>
      <c r="B69" s="251">
        <v>1</v>
      </c>
      <c r="C69" s="251">
        <v>0</v>
      </c>
      <c r="D69" s="251">
        <v>0</v>
      </c>
      <c r="E69" s="251">
        <v>0</v>
      </c>
      <c r="F69" s="156"/>
      <c r="G69" s="251">
        <v>0</v>
      </c>
      <c r="H69" s="251">
        <v>0</v>
      </c>
      <c r="I69" s="251">
        <v>0</v>
      </c>
      <c r="J69" s="252" t="s">
        <v>658</v>
      </c>
      <c r="K69" s="59"/>
      <c r="L69" s="59"/>
      <c r="M69" s="59"/>
      <c r="N69" s="59"/>
      <c r="O69" s="59"/>
      <c r="P69" s="59"/>
      <c r="Q69" s="59"/>
      <c r="R69" s="59"/>
      <c r="S69" s="59"/>
      <c r="T69" s="59"/>
      <c r="U69" s="59"/>
      <c r="V69" s="59"/>
      <c r="W69" s="59"/>
      <c r="X69" s="59"/>
      <c r="Y69" s="59"/>
      <c r="Z69" s="59"/>
      <c r="AA69" s="59"/>
    </row>
    <row r="70" spans="1:27" x14ac:dyDescent="0.2">
      <c r="A70" s="154" t="s">
        <v>625</v>
      </c>
      <c r="B70" s="251">
        <v>1</v>
      </c>
      <c r="C70" s="251">
        <v>0</v>
      </c>
      <c r="D70" s="251">
        <v>0</v>
      </c>
      <c r="E70" s="251">
        <v>0</v>
      </c>
      <c r="F70" s="156"/>
      <c r="G70" s="251">
        <v>0</v>
      </c>
      <c r="H70" s="251">
        <v>0</v>
      </c>
      <c r="I70" s="251">
        <v>0</v>
      </c>
      <c r="J70" s="252" t="s">
        <v>659</v>
      </c>
      <c r="K70" s="59"/>
      <c r="L70" s="59"/>
      <c r="M70" s="59"/>
      <c r="N70" s="59"/>
      <c r="O70" s="59"/>
      <c r="P70" s="59"/>
      <c r="Q70" s="59"/>
      <c r="R70" s="59"/>
      <c r="S70" s="59"/>
      <c r="T70" s="59"/>
      <c r="U70" s="59"/>
      <c r="V70" s="59"/>
      <c r="W70" s="59"/>
      <c r="X70" s="59"/>
      <c r="Y70" s="59"/>
      <c r="Z70" s="59"/>
      <c r="AA70" s="59"/>
    </row>
    <row r="71" spans="1:27" x14ac:dyDescent="0.2">
      <c r="A71" s="154" t="s">
        <v>626</v>
      </c>
      <c r="B71" s="251">
        <v>1</v>
      </c>
      <c r="C71" s="251">
        <v>0</v>
      </c>
      <c r="D71" s="251">
        <v>0</v>
      </c>
      <c r="E71" s="251">
        <v>0</v>
      </c>
      <c r="F71" s="156"/>
      <c r="G71" s="251">
        <v>0</v>
      </c>
      <c r="H71" s="251">
        <v>0</v>
      </c>
      <c r="I71" s="251">
        <v>0</v>
      </c>
      <c r="J71" s="252" t="s">
        <v>660</v>
      </c>
      <c r="K71" s="59"/>
      <c r="L71" s="59"/>
      <c r="M71" s="59"/>
      <c r="N71" s="59"/>
      <c r="O71" s="59"/>
      <c r="P71" s="59"/>
      <c r="Q71" s="59"/>
      <c r="R71" s="59"/>
      <c r="S71" s="59"/>
      <c r="T71" s="59"/>
      <c r="U71" s="59"/>
      <c r="V71" s="59"/>
      <c r="W71" s="59"/>
      <c r="X71" s="59"/>
      <c r="Y71" s="59"/>
      <c r="Z71" s="59"/>
      <c r="AA71" s="59"/>
    </row>
    <row r="72" spans="1:27" x14ac:dyDescent="0.2">
      <c r="A72" s="154" t="s">
        <v>627</v>
      </c>
      <c r="B72" s="251">
        <v>1</v>
      </c>
      <c r="C72" s="251">
        <v>0</v>
      </c>
      <c r="D72" s="251">
        <v>0</v>
      </c>
      <c r="E72" s="251">
        <v>0</v>
      </c>
      <c r="F72" s="156"/>
      <c r="G72" s="251">
        <v>0</v>
      </c>
      <c r="H72" s="251">
        <v>0</v>
      </c>
      <c r="I72" s="251">
        <v>0</v>
      </c>
      <c r="J72" s="252" t="s">
        <v>661</v>
      </c>
      <c r="K72" s="59"/>
      <c r="L72" s="59"/>
      <c r="M72" s="59"/>
      <c r="N72" s="59"/>
      <c r="O72" s="59"/>
      <c r="P72" s="59"/>
      <c r="Q72" s="59"/>
      <c r="R72" s="59"/>
      <c r="S72" s="59"/>
      <c r="T72" s="59"/>
      <c r="U72" s="59"/>
      <c r="V72" s="59"/>
      <c r="W72" s="59"/>
      <c r="X72" s="59"/>
      <c r="Y72" s="59"/>
      <c r="Z72" s="59"/>
      <c r="AA72" s="59"/>
    </row>
    <row r="73" spans="1:27" x14ac:dyDescent="0.2">
      <c r="A73" s="154" t="s">
        <v>629</v>
      </c>
      <c r="B73" s="251">
        <v>1</v>
      </c>
      <c r="C73" s="251">
        <v>0</v>
      </c>
      <c r="D73" s="251">
        <v>0</v>
      </c>
      <c r="E73" s="251">
        <v>0</v>
      </c>
      <c r="F73" s="156"/>
      <c r="G73" s="251">
        <v>0</v>
      </c>
      <c r="H73" s="251">
        <v>0</v>
      </c>
      <c r="I73" s="251">
        <v>0</v>
      </c>
      <c r="J73" s="252" t="s">
        <v>662</v>
      </c>
      <c r="K73" s="59"/>
      <c r="L73" s="59"/>
      <c r="M73" s="59"/>
      <c r="N73" s="59"/>
      <c r="O73" s="59"/>
      <c r="P73" s="59"/>
      <c r="Q73" s="59"/>
      <c r="R73" s="59"/>
      <c r="S73" s="59"/>
      <c r="T73" s="59"/>
      <c r="U73" s="59"/>
      <c r="V73" s="59"/>
      <c r="W73" s="59"/>
      <c r="X73" s="59"/>
      <c r="Y73" s="59"/>
      <c r="Z73" s="59"/>
      <c r="AA73" s="59"/>
    </row>
    <row r="74" spans="1:27" x14ac:dyDescent="0.2">
      <c r="A74" s="154" t="s">
        <v>630</v>
      </c>
      <c r="B74" s="251">
        <v>1</v>
      </c>
      <c r="C74" s="251">
        <v>0</v>
      </c>
      <c r="D74" s="251">
        <v>0</v>
      </c>
      <c r="E74" s="251">
        <v>0</v>
      </c>
      <c r="F74" s="156"/>
      <c r="G74" s="251">
        <v>0</v>
      </c>
      <c r="H74" s="251">
        <v>0</v>
      </c>
      <c r="I74" s="251">
        <v>0</v>
      </c>
      <c r="J74" s="252" t="s">
        <v>663</v>
      </c>
      <c r="K74" s="59"/>
      <c r="L74" s="59"/>
      <c r="M74" s="59"/>
      <c r="N74" s="59"/>
      <c r="O74" s="59"/>
      <c r="P74" s="59"/>
      <c r="Q74" s="59"/>
      <c r="R74" s="59"/>
      <c r="S74" s="59"/>
      <c r="T74" s="59"/>
      <c r="U74" s="59"/>
      <c r="V74" s="59"/>
      <c r="W74" s="59"/>
      <c r="X74" s="59"/>
      <c r="Y74" s="59"/>
      <c r="Z74" s="59"/>
      <c r="AA74" s="59"/>
    </row>
    <row r="75" spans="1:27" x14ac:dyDescent="0.2">
      <c r="A75" s="154" t="s">
        <v>631</v>
      </c>
      <c r="B75" s="251">
        <v>1</v>
      </c>
      <c r="C75" s="251">
        <v>0</v>
      </c>
      <c r="D75" s="251">
        <v>0</v>
      </c>
      <c r="E75" s="251">
        <v>0</v>
      </c>
      <c r="F75" s="156"/>
      <c r="G75" s="251">
        <v>0</v>
      </c>
      <c r="H75" s="251">
        <v>0</v>
      </c>
      <c r="I75" s="251">
        <v>0</v>
      </c>
      <c r="J75" s="252" t="s">
        <v>664</v>
      </c>
      <c r="K75" s="59"/>
      <c r="L75" s="59"/>
      <c r="M75" s="59"/>
      <c r="N75" s="59"/>
      <c r="O75" s="59"/>
      <c r="P75" s="59"/>
      <c r="Q75" s="59"/>
      <c r="R75" s="59"/>
      <c r="S75" s="59"/>
      <c r="T75" s="59"/>
      <c r="U75" s="59"/>
      <c r="V75" s="59"/>
      <c r="W75" s="59"/>
      <c r="X75" s="59"/>
      <c r="Y75" s="59"/>
      <c r="Z75" s="59"/>
      <c r="AA75" s="59"/>
    </row>
    <row r="76" spans="1:27" x14ac:dyDescent="0.2">
      <c r="A76" s="154" t="s">
        <v>632</v>
      </c>
      <c r="B76" s="251">
        <v>1</v>
      </c>
      <c r="C76" s="251">
        <v>0</v>
      </c>
      <c r="D76" s="251">
        <v>0</v>
      </c>
      <c r="E76" s="251">
        <v>0</v>
      </c>
      <c r="F76" s="156"/>
      <c r="G76" s="251">
        <v>0</v>
      </c>
      <c r="H76" s="251">
        <v>0</v>
      </c>
      <c r="I76" s="251">
        <v>0</v>
      </c>
      <c r="J76" s="218" t="s">
        <v>100</v>
      </c>
      <c r="K76" s="59"/>
      <c r="L76" s="59"/>
      <c r="M76" s="59"/>
      <c r="N76" s="59"/>
      <c r="O76" s="59"/>
      <c r="P76" s="59"/>
      <c r="Q76" s="59"/>
      <c r="R76" s="59"/>
      <c r="S76" s="59"/>
      <c r="T76" s="59"/>
      <c r="U76" s="59"/>
      <c r="V76" s="59"/>
      <c r="W76" s="59"/>
      <c r="X76" s="59"/>
      <c r="Y76" s="59"/>
      <c r="Z76" s="59"/>
      <c r="AA76" s="59"/>
    </row>
    <row r="77" spans="1:27" x14ac:dyDescent="0.2">
      <c r="A77" s="154" t="s">
        <v>298</v>
      </c>
      <c r="B77" s="251">
        <v>1</v>
      </c>
      <c r="C77" s="251">
        <v>0</v>
      </c>
      <c r="D77" s="251">
        <v>0</v>
      </c>
      <c r="E77" s="251">
        <v>0</v>
      </c>
      <c r="F77" s="156"/>
      <c r="G77" s="251">
        <v>0</v>
      </c>
      <c r="H77" s="251">
        <v>0</v>
      </c>
      <c r="I77" s="251">
        <v>0</v>
      </c>
      <c r="J77" s="218" t="s">
        <v>100</v>
      </c>
      <c r="K77" s="59"/>
      <c r="L77" s="59"/>
      <c r="M77" s="59"/>
      <c r="N77" s="59"/>
      <c r="O77" s="59"/>
      <c r="P77" s="59"/>
      <c r="Q77" s="59"/>
      <c r="R77" s="59"/>
      <c r="S77" s="59"/>
      <c r="T77" s="59"/>
      <c r="U77" s="59"/>
      <c r="V77" s="59"/>
      <c r="W77" s="59"/>
      <c r="X77" s="59"/>
      <c r="Y77" s="59"/>
      <c r="Z77" s="59"/>
      <c r="AA77" s="59"/>
    </row>
    <row r="78" spans="1:27" x14ac:dyDescent="0.2">
      <c r="A78" s="38"/>
      <c r="B78" s="59"/>
      <c r="C78" s="59"/>
      <c r="D78" s="59"/>
      <c r="E78" s="59"/>
      <c r="F78" s="59"/>
      <c r="G78" s="59"/>
      <c r="H78" s="59"/>
      <c r="I78" s="59"/>
      <c r="J78" s="59"/>
      <c r="K78" s="59"/>
      <c r="L78" s="59"/>
      <c r="M78" s="59"/>
      <c r="N78" s="59"/>
      <c r="O78" s="59"/>
      <c r="P78" s="59"/>
      <c r="Q78" s="59"/>
      <c r="R78" s="59"/>
      <c r="S78" s="59"/>
      <c r="T78" s="59"/>
      <c r="U78" s="59"/>
      <c r="V78" s="59"/>
      <c r="W78" s="59"/>
      <c r="X78" s="59"/>
      <c r="Y78" s="59"/>
      <c r="Z78" s="59"/>
      <c r="AA78" s="59"/>
    </row>
    <row r="79" spans="1:27" x14ac:dyDescent="0.2">
      <c r="A79" s="187" t="s">
        <v>310</v>
      </c>
      <c r="B79" s="218" t="s">
        <v>312</v>
      </c>
      <c r="C79" s="218" t="s">
        <v>314</v>
      </c>
      <c r="D79" s="218" t="s">
        <v>362</v>
      </c>
      <c r="E79" s="218" t="s">
        <v>316</v>
      </c>
      <c r="F79" s="245" t="s">
        <v>451</v>
      </c>
      <c r="G79" s="218" t="s">
        <v>364</v>
      </c>
      <c r="H79" s="218" t="s">
        <v>319</v>
      </c>
      <c r="I79" s="157" t="s">
        <v>363</v>
      </c>
      <c r="J79" s="218" t="s">
        <v>320</v>
      </c>
      <c r="K79" s="157" t="s">
        <v>344</v>
      </c>
      <c r="L79" s="218" t="s">
        <v>322</v>
      </c>
      <c r="M79" s="218" t="s">
        <v>324</v>
      </c>
      <c r="N79" s="218" t="s">
        <v>326</v>
      </c>
      <c r="O79" s="218" t="s">
        <v>327</v>
      </c>
      <c r="P79" s="218" t="s">
        <v>329</v>
      </c>
      <c r="Q79" s="157" t="s">
        <v>341</v>
      </c>
      <c r="R79" s="157" t="s">
        <v>342</v>
      </c>
      <c r="S79" s="157" t="s">
        <v>347</v>
      </c>
      <c r="T79" s="218" t="s">
        <v>330</v>
      </c>
      <c r="U79" s="218" t="s">
        <v>331</v>
      </c>
      <c r="V79" s="218" t="s">
        <v>333</v>
      </c>
      <c r="W79" s="218" t="s">
        <v>335</v>
      </c>
      <c r="X79" s="253" t="s">
        <v>620</v>
      </c>
    </row>
    <row r="80" spans="1:27" x14ac:dyDescent="0.2">
      <c r="A80" s="154" t="s">
        <v>600</v>
      </c>
      <c r="B80" s="218" t="s">
        <v>313</v>
      </c>
      <c r="C80" s="218" t="s">
        <v>612</v>
      </c>
      <c r="D80" s="218">
        <v>200</v>
      </c>
      <c r="E80" s="251">
        <v>0</v>
      </c>
      <c r="F80" s="254">
        <v>160</v>
      </c>
      <c r="G80" s="251">
        <v>0</v>
      </c>
      <c r="H80" s="218">
        <v>2.2000000000000002</v>
      </c>
      <c r="I80" s="254">
        <v>0</v>
      </c>
      <c r="J80" s="254">
        <v>0</v>
      </c>
      <c r="K80" s="254">
        <v>0</v>
      </c>
      <c r="L80" s="254">
        <v>0</v>
      </c>
      <c r="M80" s="254">
        <v>0</v>
      </c>
      <c r="N80" s="254">
        <v>0</v>
      </c>
      <c r="O80" s="254">
        <v>0</v>
      </c>
      <c r="P80" s="251">
        <v>50000</v>
      </c>
      <c r="Q80" s="254">
        <v>0</v>
      </c>
      <c r="R80" s="254">
        <v>0</v>
      </c>
      <c r="S80" s="254">
        <v>0</v>
      </c>
      <c r="T80" s="254">
        <v>0</v>
      </c>
      <c r="U80" s="254">
        <v>0</v>
      </c>
      <c r="V80" s="254">
        <v>0</v>
      </c>
      <c r="W80" s="252" t="s">
        <v>648</v>
      </c>
      <c r="X80" s="253" t="s">
        <v>622</v>
      </c>
    </row>
    <row r="81" spans="1:24" x14ac:dyDescent="0.2">
      <c r="A81" s="154" t="s">
        <v>601</v>
      </c>
      <c r="B81" s="218" t="s">
        <v>313</v>
      </c>
      <c r="C81" s="218" t="s">
        <v>612</v>
      </c>
      <c r="D81" s="218">
        <v>852</v>
      </c>
      <c r="E81" s="251">
        <v>0</v>
      </c>
      <c r="F81" s="254">
        <v>160</v>
      </c>
      <c r="G81" s="251">
        <v>0</v>
      </c>
      <c r="H81" s="218">
        <v>2.4</v>
      </c>
      <c r="I81" s="254">
        <v>0</v>
      </c>
      <c r="J81" s="254">
        <v>0</v>
      </c>
      <c r="K81" s="254">
        <v>0</v>
      </c>
      <c r="L81" s="254">
        <v>0</v>
      </c>
      <c r="M81" s="254">
        <v>0</v>
      </c>
      <c r="N81" s="254">
        <v>0</v>
      </c>
      <c r="O81" s="254">
        <v>0</v>
      </c>
      <c r="P81" s="251">
        <v>50000</v>
      </c>
      <c r="Q81" s="254">
        <v>0</v>
      </c>
      <c r="R81" s="254">
        <v>0</v>
      </c>
      <c r="S81" s="254">
        <v>0</v>
      </c>
      <c r="T81" s="254">
        <v>0</v>
      </c>
      <c r="U81" s="218" t="s">
        <v>623</v>
      </c>
      <c r="V81" s="254">
        <v>0</v>
      </c>
      <c r="W81" s="252" t="s">
        <v>649</v>
      </c>
      <c r="X81" s="253" t="s">
        <v>621</v>
      </c>
    </row>
    <row r="82" spans="1:24" x14ac:dyDescent="0.2">
      <c r="A82" s="154" t="s">
        <v>602</v>
      </c>
      <c r="B82" s="218" t="s">
        <v>313</v>
      </c>
      <c r="C82" s="218" t="s">
        <v>612</v>
      </c>
      <c r="D82" s="218">
        <v>1593</v>
      </c>
      <c r="E82" s="251">
        <v>0</v>
      </c>
      <c r="F82" s="254">
        <v>160</v>
      </c>
      <c r="G82" s="251">
        <v>0</v>
      </c>
      <c r="H82" s="218">
        <v>2.5</v>
      </c>
      <c r="I82" s="254">
        <v>0</v>
      </c>
      <c r="J82" s="254">
        <v>0</v>
      </c>
      <c r="K82" s="254">
        <v>0</v>
      </c>
      <c r="L82" s="254">
        <v>0</v>
      </c>
      <c r="M82" s="254">
        <v>0</v>
      </c>
      <c r="N82" s="254">
        <v>0</v>
      </c>
      <c r="O82" s="254">
        <v>0</v>
      </c>
      <c r="P82" s="251">
        <v>50000</v>
      </c>
      <c r="Q82" s="254">
        <v>0</v>
      </c>
      <c r="R82" s="254">
        <v>0</v>
      </c>
      <c r="S82" s="254">
        <v>0</v>
      </c>
      <c r="T82" s="254">
        <v>0</v>
      </c>
      <c r="U82" s="218" t="s">
        <v>624</v>
      </c>
      <c r="V82" s="254">
        <v>0</v>
      </c>
      <c r="W82" s="252" t="s">
        <v>649</v>
      </c>
      <c r="X82" s="253" t="s">
        <v>621</v>
      </c>
    </row>
    <row r="83" spans="1:24" x14ac:dyDescent="0.2">
      <c r="A83" s="120" t="s">
        <v>311</v>
      </c>
      <c r="B83" s="218" t="s">
        <v>313</v>
      </c>
      <c r="C83" s="218" t="s">
        <v>315</v>
      </c>
      <c r="D83" s="218">
        <v>320</v>
      </c>
      <c r="E83" s="218" t="s">
        <v>317</v>
      </c>
      <c r="F83" s="254">
        <v>0</v>
      </c>
      <c r="G83" s="218" t="s">
        <v>318</v>
      </c>
      <c r="H83" s="218">
        <v>2.4</v>
      </c>
      <c r="I83" s="254">
        <v>0</v>
      </c>
      <c r="J83" s="218" t="s">
        <v>321</v>
      </c>
      <c r="K83" s="254">
        <v>0</v>
      </c>
      <c r="L83" s="218" t="s">
        <v>323</v>
      </c>
      <c r="M83" s="218" t="s">
        <v>325</v>
      </c>
      <c r="N83" s="218" t="s">
        <v>220</v>
      </c>
      <c r="O83" s="218" t="s">
        <v>328</v>
      </c>
      <c r="P83" s="218">
        <v>50000</v>
      </c>
      <c r="Q83" s="254">
        <v>0</v>
      </c>
      <c r="R83" s="254">
        <v>0</v>
      </c>
      <c r="S83" s="254">
        <v>0</v>
      </c>
      <c r="T83" s="218" t="s">
        <v>298</v>
      </c>
      <c r="U83" s="218" t="s">
        <v>332</v>
      </c>
      <c r="V83" s="218" t="s">
        <v>334</v>
      </c>
      <c r="W83" s="255" t="s">
        <v>336</v>
      </c>
      <c r="X83" s="253" t="s">
        <v>622</v>
      </c>
    </row>
    <row r="84" spans="1:24" x14ac:dyDescent="0.2">
      <c r="A84" s="154" t="s">
        <v>603</v>
      </c>
      <c r="B84" s="218" t="s">
        <v>313</v>
      </c>
      <c r="C84" s="218" t="s">
        <v>612</v>
      </c>
      <c r="D84" s="218">
        <v>81</v>
      </c>
      <c r="E84" s="251">
        <v>0</v>
      </c>
      <c r="F84" s="254">
        <v>160</v>
      </c>
      <c r="G84" s="251">
        <v>0</v>
      </c>
      <c r="H84" s="218">
        <v>2.5</v>
      </c>
      <c r="I84" s="254">
        <v>0</v>
      </c>
      <c r="J84" s="254">
        <v>0</v>
      </c>
      <c r="K84" s="254">
        <v>0</v>
      </c>
      <c r="L84" s="254">
        <v>0</v>
      </c>
      <c r="M84" s="254">
        <v>0</v>
      </c>
      <c r="N84" s="254">
        <v>0</v>
      </c>
      <c r="O84" s="254">
        <v>0</v>
      </c>
      <c r="P84" s="251">
        <v>50000</v>
      </c>
      <c r="Q84" s="254">
        <v>0</v>
      </c>
      <c r="R84" s="254">
        <v>0</v>
      </c>
      <c r="S84" s="254">
        <v>0</v>
      </c>
      <c r="T84" s="254">
        <v>0</v>
      </c>
      <c r="U84" s="254">
        <v>0</v>
      </c>
      <c r="V84" s="254">
        <v>0</v>
      </c>
      <c r="W84" s="252" t="s">
        <v>650</v>
      </c>
      <c r="X84" s="253" t="s">
        <v>622</v>
      </c>
    </row>
    <row r="85" spans="1:24" x14ac:dyDescent="0.2">
      <c r="A85" s="154" t="s">
        <v>603</v>
      </c>
      <c r="B85" s="218" t="s">
        <v>313</v>
      </c>
      <c r="C85" s="218" t="s">
        <v>613</v>
      </c>
      <c r="D85" s="218">
        <v>91</v>
      </c>
      <c r="E85" s="251">
        <v>0</v>
      </c>
      <c r="F85" s="254">
        <v>160</v>
      </c>
      <c r="G85" s="251">
        <v>0</v>
      </c>
      <c r="H85" s="218">
        <v>2.8</v>
      </c>
      <c r="I85" s="254">
        <v>0</v>
      </c>
      <c r="J85" s="254">
        <v>0</v>
      </c>
      <c r="K85" s="254">
        <v>0</v>
      </c>
      <c r="L85" s="254">
        <v>0</v>
      </c>
      <c r="M85" s="254">
        <v>0</v>
      </c>
      <c r="N85" s="254">
        <v>0</v>
      </c>
      <c r="O85" s="254">
        <v>0</v>
      </c>
      <c r="P85" s="251">
        <v>50000</v>
      </c>
      <c r="Q85" s="254">
        <v>0</v>
      </c>
      <c r="R85" s="254">
        <v>0</v>
      </c>
      <c r="S85" s="254">
        <v>0</v>
      </c>
      <c r="T85" s="254">
        <v>0</v>
      </c>
      <c r="U85" s="254">
        <v>0</v>
      </c>
      <c r="V85" s="254">
        <v>0</v>
      </c>
      <c r="W85" s="252" t="s">
        <v>650</v>
      </c>
      <c r="X85" s="253" t="s">
        <v>622</v>
      </c>
    </row>
    <row r="86" spans="1:24" x14ac:dyDescent="0.2">
      <c r="A86" s="154" t="s">
        <v>633</v>
      </c>
      <c r="B86" s="218"/>
      <c r="C86" s="218"/>
      <c r="D86" s="218"/>
      <c r="E86" s="251">
        <v>0</v>
      </c>
      <c r="F86" s="254">
        <v>0</v>
      </c>
      <c r="G86" s="251">
        <v>0</v>
      </c>
      <c r="H86" s="254">
        <v>0</v>
      </c>
      <c r="I86" s="254">
        <v>0</v>
      </c>
      <c r="J86" s="254">
        <v>0</v>
      </c>
      <c r="K86" s="254">
        <v>0</v>
      </c>
      <c r="L86" s="254">
        <v>0</v>
      </c>
      <c r="M86" s="254">
        <v>0</v>
      </c>
      <c r="N86" s="254">
        <v>0</v>
      </c>
      <c r="O86" s="254">
        <v>0</v>
      </c>
      <c r="P86" s="251">
        <v>50000</v>
      </c>
      <c r="Q86" s="254">
        <v>0</v>
      </c>
      <c r="R86" s="254">
        <v>0</v>
      </c>
      <c r="S86" s="254">
        <v>0</v>
      </c>
      <c r="T86" s="254">
        <v>0</v>
      </c>
      <c r="U86" s="254">
        <v>0</v>
      </c>
      <c r="V86" s="254">
        <v>0</v>
      </c>
      <c r="W86" s="252" t="s">
        <v>651</v>
      </c>
      <c r="X86" s="253"/>
    </row>
    <row r="87" spans="1:24" x14ac:dyDescent="0.2">
      <c r="A87" s="256" t="s">
        <v>365</v>
      </c>
      <c r="B87" s="218" t="s">
        <v>313</v>
      </c>
      <c r="C87" s="218" t="s">
        <v>357</v>
      </c>
      <c r="D87" s="218">
        <v>250</v>
      </c>
      <c r="E87" s="218" t="s">
        <v>338</v>
      </c>
      <c r="F87" s="157">
        <v>120</v>
      </c>
      <c r="G87" s="218" t="s">
        <v>360</v>
      </c>
      <c r="H87" s="218" t="s">
        <v>337</v>
      </c>
      <c r="I87" s="156">
        <v>2.5</v>
      </c>
      <c r="J87" s="254">
        <v>0</v>
      </c>
      <c r="K87" s="157" t="s">
        <v>345</v>
      </c>
      <c r="L87" s="218" t="s">
        <v>340</v>
      </c>
      <c r="M87" s="254">
        <v>0</v>
      </c>
      <c r="N87" s="254">
        <v>0</v>
      </c>
      <c r="O87" s="254">
        <v>0</v>
      </c>
      <c r="P87" s="218">
        <v>60000</v>
      </c>
      <c r="Q87" s="157" t="s">
        <v>343</v>
      </c>
      <c r="R87" s="218">
        <v>3.5</v>
      </c>
      <c r="S87" s="218" t="s">
        <v>348</v>
      </c>
      <c r="T87" s="251">
        <v>0</v>
      </c>
      <c r="U87" s="218" t="s">
        <v>349</v>
      </c>
      <c r="V87" s="254">
        <v>0</v>
      </c>
      <c r="W87" s="252" t="s">
        <v>652</v>
      </c>
      <c r="X87" s="253" t="s">
        <v>622</v>
      </c>
    </row>
    <row r="88" spans="1:24" x14ac:dyDescent="0.2">
      <c r="A88" s="256" t="s">
        <v>366</v>
      </c>
      <c r="B88" s="218" t="s">
        <v>313</v>
      </c>
      <c r="C88" s="218" t="s">
        <v>358</v>
      </c>
      <c r="D88" s="218">
        <v>220</v>
      </c>
      <c r="E88" s="218" t="s">
        <v>338</v>
      </c>
      <c r="F88" s="157">
        <v>120</v>
      </c>
      <c r="G88" s="218" t="s">
        <v>360</v>
      </c>
      <c r="H88" s="218" t="s">
        <v>351</v>
      </c>
      <c r="I88" s="156">
        <v>2.2000000000000002</v>
      </c>
      <c r="J88" s="254">
        <v>0</v>
      </c>
      <c r="K88" s="157" t="s">
        <v>352</v>
      </c>
      <c r="L88" s="218" t="s">
        <v>340</v>
      </c>
      <c r="M88" s="254">
        <v>0</v>
      </c>
      <c r="N88" s="254">
        <v>0</v>
      </c>
      <c r="O88" s="254">
        <v>0</v>
      </c>
      <c r="P88" s="218">
        <v>60000</v>
      </c>
      <c r="Q88" s="157" t="s">
        <v>343</v>
      </c>
      <c r="R88" s="218">
        <v>4.5</v>
      </c>
      <c r="S88" s="218" t="s">
        <v>348</v>
      </c>
      <c r="T88" s="251">
        <v>0</v>
      </c>
      <c r="U88" s="218" t="s">
        <v>349</v>
      </c>
      <c r="V88" s="254">
        <v>0</v>
      </c>
      <c r="W88" s="252" t="s">
        <v>652</v>
      </c>
      <c r="X88" s="253" t="s">
        <v>622</v>
      </c>
    </row>
    <row r="89" spans="1:24" x14ac:dyDescent="0.2">
      <c r="A89" s="256" t="s">
        <v>367</v>
      </c>
      <c r="B89" s="218" t="s">
        <v>313</v>
      </c>
      <c r="C89" s="218" t="s">
        <v>359</v>
      </c>
      <c r="D89" s="218">
        <v>160</v>
      </c>
      <c r="E89" s="218" t="s">
        <v>338</v>
      </c>
      <c r="F89" s="157">
        <v>120</v>
      </c>
      <c r="G89" s="218" t="s">
        <v>360</v>
      </c>
      <c r="H89" s="218" t="s">
        <v>353</v>
      </c>
      <c r="I89" s="156">
        <v>1.6</v>
      </c>
      <c r="J89" s="254">
        <v>0</v>
      </c>
      <c r="K89" s="157" t="s">
        <v>354</v>
      </c>
      <c r="L89" s="218" t="s">
        <v>340</v>
      </c>
      <c r="M89" s="254">
        <v>0</v>
      </c>
      <c r="N89" s="254">
        <v>0</v>
      </c>
      <c r="O89" s="254">
        <v>0</v>
      </c>
      <c r="P89" s="218">
        <v>60000</v>
      </c>
      <c r="Q89" s="157" t="s">
        <v>343</v>
      </c>
      <c r="R89" s="218">
        <v>5.5</v>
      </c>
      <c r="S89" s="218" t="s">
        <v>348</v>
      </c>
      <c r="T89" s="251">
        <v>0</v>
      </c>
      <c r="U89" s="218" t="s">
        <v>349</v>
      </c>
      <c r="V89" s="254">
        <v>0</v>
      </c>
      <c r="W89" s="252" t="s">
        <v>652</v>
      </c>
      <c r="X89" s="253" t="s">
        <v>622</v>
      </c>
    </row>
    <row r="90" spans="1:24" x14ac:dyDescent="0.2">
      <c r="A90" s="256" t="s">
        <v>368</v>
      </c>
      <c r="B90" s="218" t="s">
        <v>313</v>
      </c>
      <c r="C90" s="218" t="s">
        <v>357</v>
      </c>
      <c r="D90" s="218">
        <v>375</v>
      </c>
      <c r="E90" s="218" t="s">
        <v>339</v>
      </c>
      <c r="F90" s="157">
        <v>160</v>
      </c>
      <c r="G90" s="218" t="s">
        <v>361</v>
      </c>
      <c r="H90" s="218" t="s">
        <v>337</v>
      </c>
      <c r="I90" s="156">
        <v>2.5</v>
      </c>
      <c r="J90" s="254">
        <v>0</v>
      </c>
      <c r="K90" s="157" t="s">
        <v>346</v>
      </c>
      <c r="L90" s="218" t="s">
        <v>340</v>
      </c>
      <c r="M90" s="254">
        <v>0</v>
      </c>
      <c r="N90" s="254">
        <v>0</v>
      </c>
      <c r="O90" s="254">
        <v>0</v>
      </c>
      <c r="P90" s="218">
        <v>60000</v>
      </c>
      <c r="Q90" s="218" t="s">
        <v>343</v>
      </c>
      <c r="R90" s="218">
        <v>5.3</v>
      </c>
      <c r="S90" s="218" t="s">
        <v>348</v>
      </c>
      <c r="T90" s="251">
        <v>0</v>
      </c>
      <c r="U90" s="218" t="s">
        <v>350</v>
      </c>
      <c r="V90" s="254">
        <v>0</v>
      </c>
      <c r="W90" s="252" t="s">
        <v>652</v>
      </c>
      <c r="X90" s="253" t="s">
        <v>622</v>
      </c>
    </row>
    <row r="91" spans="1:24" x14ac:dyDescent="0.2">
      <c r="A91" s="256" t="s">
        <v>369</v>
      </c>
      <c r="B91" s="218" t="s">
        <v>313</v>
      </c>
      <c r="C91" s="218" t="s">
        <v>358</v>
      </c>
      <c r="D91" s="218">
        <v>330</v>
      </c>
      <c r="E91" s="218" t="s">
        <v>339</v>
      </c>
      <c r="F91" s="157">
        <v>160</v>
      </c>
      <c r="G91" s="218" t="s">
        <v>361</v>
      </c>
      <c r="H91" s="218" t="s">
        <v>351</v>
      </c>
      <c r="I91" s="156">
        <v>2.2000000000000002</v>
      </c>
      <c r="J91" s="254">
        <v>0</v>
      </c>
      <c r="K91" s="157" t="s">
        <v>355</v>
      </c>
      <c r="L91" s="218" t="s">
        <v>340</v>
      </c>
      <c r="M91" s="254">
        <v>0</v>
      </c>
      <c r="N91" s="254">
        <v>0</v>
      </c>
      <c r="O91" s="254">
        <v>0</v>
      </c>
      <c r="P91" s="218">
        <v>60000</v>
      </c>
      <c r="Q91" s="218" t="s">
        <v>343</v>
      </c>
      <c r="R91" s="218">
        <v>6.3</v>
      </c>
      <c r="S91" s="218" t="s">
        <v>348</v>
      </c>
      <c r="T91" s="251">
        <v>0</v>
      </c>
      <c r="U91" s="218" t="s">
        <v>350</v>
      </c>
      <c r="V91" s="254">
        <v>0</v>
      </c>
      <c r="W91" s="252" t="s">
        <v>652</v>
      </c>
      <c r="X91" s="253" t="s">
        <v>622</v>
      </c>
    </row>
    <row r="92" spans="1:24" x14ac:dyDescent="0.2">
      <c r="A92" s="256" t="s">
        <v>370</v>
      </c>
      <c r="B92" s="218" t="s">
        <v>313</v>
      </c>
      <c r="C92" s="218" t="s">
        <v>359</v>
      </c>
      <c r="D92" s="218">
        <v>240</v>
      </c>
      <c r="E92" s="218" t="s">
        <v>339</v>
      </c>
      <c r="F92" s="157">
        <v>160</v>
      </c>
      <c r="G92" s="218" t="s">
        <v>361</v>
      </c>
      <c r="H92" s="218" t="s">
        <v>353</v>
      </c>
      <c r="I92" s="156">
        <v>1.6</v>
      </c>
      <c r="J92" s="254">
        <v>0</v>
      </c>
      <c r="K92" s="157" t="s">
        <v>356</v>
      </c>
      <c r="L92" s="218" t="s">
        <v>340</v>
      </c>
      <c r="M92" s="254">
        <v>0</v>
      </c>
      <c r="N92" s="254">
        <v>0</v>
      </c>
      <c r="O92" s="254">
        <v>0</v>
      </c>
      <c r="P92" s="218">
        <v>60000</v>
      </c>
      <c r="Q92" s="218" t="s">
        <v>343</v>
      </c>
      <c r="R92" s="218">
        <v>7.3</v>
      </c>
      <c r="S92" s="218" t="s">
        <v>348</v>
      </c>
      <c r="T92" s="251">
        <v>0</v>
      </c>
      <c r="U92" s="218" t="s">
        <v>350</v>
      </c>
      <c r="V92" s="254">
        <v>0</v>
      </c>
      <c r="W92" s="252" t="s">
        <v>652</v>
      </c>
      <c r="X92" s="253" t="s">
        <v>622</v>
      </c>
    </row>
    <row r="93" spans="1:24" x14ac:dyDescent="0.2">
      <c r="A93" s="256" t="s">
        <v>604</v>
      </c>
      <c r="B93" s="218" t="s">
        <v>313</v>
      </c>
      <c r="C93" s="218" t="s">
        <v>614</v>
      </c>
      <c r="D93" s="218">
        <v>1712</v>
      </c>
      <c r="E93" s="251">
        <v>0</v>
      </c>
      <c r="F93" s="254">
        <v>160</v>
      </c>
      <c r="G93" s="251">
        <v>0</v>
      </c>
      <c r="H93" s="218">
        <v>2.5</v>
      </c>
      <c r="I93" s="254">
        <v>0</v>
      </c>
      <c r="J93" s="254">
        <v>0</v>
      </c>
      <c r="K93" s="254">
        <v>0</v>
      </c>
      <c r="L93" s="254">
        <v>0</v>
      </c>
      <c r="M93" s="254">
        <v>0</v>
      </c>
      <c r="N93" s="254">
        <v>0</v>
      </c>
      <c r="O93" s="254">
        <v>0</v>
      </c>
      <c r="P93" s="251">
        <v>50000</v>
      </c>
      <c r="Q93" s="254">
        <v>0</v>
      </c>
      <c r="R93" s="254">
        <v>0</v>
      </c>
      <c r="S93" s="254">
        <v>0</v>
      </c>
      <c r="T93" s="254">
        <v>0</v>
      </c>
      <c r="U93" s="251">
        <v>0</v>
      </c>
      <c r="V93" s="254">
        <v>0</v>
      </c>
      <c r="W93" s="252" t="s">
        <v>653</v>
      </c>
      <c r="X93" s="253" t="s">
        <v>622</v>
      </c>
    </row>
    <row r="94" spans="1:24" x14ac:dyDescent="0.2">
      <c r="A94" s="256" t="s">
        <v>605</v>
      </c>
      <c r="B94" s="218" t="s">
        <v>313</v>
      </c>
      <c r="C94" s="218" t="s">
        <v>614</v>
      </c>
      <c r="D94" s="218">
        <v>491</v>
      </c>
      <c r="E94" s="251">
        <v>0</v>
      </c>
      <c r="F94" s="254">
        <v>160</v>
      </c>
      <c r="G94" s="251">
        <v>0</v>
      </c>
      <c r="H94" s="218">
        <v>2.4</v>
      </c>
      <c r="I94" s="254">
        <v>0</v>
      </c>
      <c r="J94" s="254">
        <v>0</v>
      </c>
      <c r="K94" s="254">
        <v>0</v>
      </c>
      <c r="L94" s="254">
        <v>0</v>
      </c>
      <c r="M94" s="254">
        <v>0</v>
      </c>
      <c r="N94" s="254">
        <v>0</v>
      </c>
      <c r="O94" s="254">
        <v>0</v>
      </c>
      <c r="P94" s="251">
        <v>50000</v>
      </c>
      <c r="Q94" s="254">
        <v>0</v>
      </c>
      <c r="R94" s="254">
        <v>0</v>
      </c>
      <c r="S94" s="254">
        <v>0</v>
      </c>
      <c r="T94" s="254">
        <v>0</v>
      </c>
      <c r="U94" s="218" t="s">
        <v>623</v>
      </c>
      <c r="V94" s="254">
        <v>0</v>
      </c>
      <c r="W94" s="252" t="s">
        <v>654</v>
      </c>
      <c r="X94" s="253" t="s">
        <v>621</v>
      </c>
    </row>
    <row r="95" spans="1:24" x14ac:dyDescent="0.2">
      <c r="A95" s="256" t="s">
        <v>606</v>
      </c>
      <c r="B95" s="218" t="s">
        <v>313</v>
      </c>
      <c r="C95" s="218" t="s">
        <v>615</v>
      </c>
      <c r="D95" s="218">
        <v>533</v>
      </c>
      <c r="E95" s="251">
        <v>0</v>
      </c>
      <c r="F95" s="254">
        <v>160</v>
      </c>
      <c r="G95" s="251">
        <v>0</v>
      </c>
      <c r="H95" s="218">
        <v>2.7</v>
      </c>
      <c r="I95" s="254">
        <v>0</v>
      </c>
      <c r="J95" s="254">
        <v>0</v>
      </c>
      <c r="K95" s="254">
        <v>0</v>
      </c>
      <c r="L95" s="254">
        <v>0</v>
      </c>
      <c r="M95" s="254">
        <v>0</v>
      </c>
      <c r="N95" s="254">
        <v>0</v>
      </c>
      <c r="O95" s="254">
        <v>0</v>
      </c>
      <c r="P95" s="251">
        <v>50000</v>
      </c>
      <c r="Q95" s="254">
        <v>0</v>
      </c>
      <c r="R95" s="254">
        <v>0</v>
      </c>
      <c r="S95" s="254">
        <v>0</v>
      </c>
      <c r="T95" s="254">
        <v>0</v>
      </c>
      <c r="U95" s="218" t="s">
        <v>623</v>
      </c>
      <c r="V95" s="254">
        <v>0</v>
      </c>
      <c r="W95" s="252" t="s">
        <v>654</v>
      </c>
      <c r="X95" s="253" t="s">
        <v>621</v>
      </c>
    </row>
    <row r="96" spans="1:24" x14ac:dyDescent="0.2">
      <c r="A96" s="256" t="s">
        <v>608</v>
      </c>
      <c r="B96" s="218" t="s">
        <v>313</v>
      </c>
      <c r="C96" s="218" t="s">
        <v>616</v>
      </c>
      <c r="D96" s="218">
        <v>210</v>
      </c>
      <c r="E96" s="251">
        <v>0</v>
      </c>
      <c r="F96" s="254">
        <v>160</v>
      </c>
      <c r="G96" s="251">
        <v>0</v>
      </c>
      <c r="H96" s="218">
        <v>3</v>
      </c>
      <c r="I96" s="254">
        <v>0</v>
      </c>
      <c r="J96" s="254">
        <v>0</v>
      </c>
      <c r="K96" s="254">
        <v>0</v>
      </c>
      <c r="L96" s="254">
        <v>0</v>
      </c>
      <c r="M96" s="254">
        <v>0</v>
      </c>
      <c r="N96" s="254">
        <v>0</v>
      </c>
      <c r="O96" s="254">
        <v>0</v>
      </c>
      <c r="P96" s="251">
        <v>50000</v>
      </c>
      <c r="Q96" s="254">
        <v>0</v>
      </c>
      <c r="R96" s="254">
        <v>0</v>
      </c>
      <c r="S96" s="254">
        <v>0</v>
      </c>
      <c r="T96" s="254">
        <v>0</v>
      </c>
      <c r="U96" s="251">
        <v>0</v>
      </c>
      <c r="V96" s="254">
        <v>0</v>
      </c>
      <c r="W96" s="252" t="s">
        <v>655</v>
      </c>
      <c r="X96" s="253" t="s">
        <v>622</v>
      </c>
    </row>
    <row r="97" spans="1:27" x14ac:dyDescent="0.2">
      <c r="A97" s="256" t="s">
        <v>609</v>
      </c>
      <c r="B97" s="218" t="s">
        <v>313</v>
      </c>
      <c r="C97" s="218" t="s">
        <v>617</v>
      </c>
      <c r="D97" s="218">
        <v>210</v>
      </c>
      <c r="E97" s="251">
        <v>0</v>
      </c>
      <c r="F97" s="254">
        <v>160</v>
      </c>
      <c r="G97" s="251">
        <v>0</v>
      </c>
      <c r="H97" s="218">
        <v>3</v>
      </c>
      <c r="I97" s="254">
        <v>0</v>
      </c>
      <c r="J97" s="254">
        <v>0</v>
      </c>
      <c r="K97" s="254">
        <v>0</v>
      </c>
      <c r="L97" s="254">
        <v>0</v>
      </c>
      <c r="M97" s="254">
        <v>0</v>
      </c>
      <c r="N97" s="254">
        <v>0</v>
      </c>
      <c r="O97" s="254">
        <v>0</v>
      </c>
      <c r="P97" s="251">
        <v>50000</v>
      </c>
      <c r="Q97" s="254">
        <v>0</v>
      </c>
      <c r="R97" s="254">
        <v>0</v>
      </c>
      <c r="S97" s="254">
        <v>0</v>
      </c>
      <c r="T97" s="254">
        <v>0</v>
      </c>
      <c r="U97" s="251">
        <v>0</v>
      </c>
      <c r="V97" s="254">
        <v>0</v>
      </c>
      <c r="W97" s="252" t="s">
        <v>655</v>
      </c>
      <c r="X97" s="253" t="s">
        <v>622</v>
      </c>
    </row>
    <row r="98" spans="1:27" x14ac:dyDescent="0.2">
      <c r="A98" s="256" t="s">
        <v>610</v>
      </c>
      <c r="B98" s="218" t="s">
        <v>313</v>
      </c>
      <c r="C98" s="218" t="s">
        <v>618</v>
      </c>
      <c r="D98" s="218">
        <v>210</v>
      </c>
      <c r="E98" s="251">
        <v>0</v>
      </c>
      <c r="F98" s="254">
        <v>160</v>
      </c>
      <c r="G98" s="251">
        <v>0</v>
      </c>
      <c r="H98" s="218">
        <v>2.8</v>
      </c>
      <c r="I98" s="254">
        <v>0</v>
      </c>
      <c r="J98" s="254">
        <v>0</v>
      </c>
      <c r="K98" s="254">
        <v>0</v>
      </c>
      <c r="L98" s="254">
        <v>0</v>
      </c>
      <c r="M98" s="254">
        <v>0</v>
      </c>
      <c r="N98" s="254">
        <v>0</v>
      </c>
      <c r="O98" s="254">
        <v>0</v>
      </c>
      <c r="P98" s="251">
        <v>50000</v>
      </c>
      <c r="Q98" s="254">
        <v>0</v>
      </c>
      <c r="R98" s="254">
        <v>0</v>
      </c>
      <c r="S98" s="254">
        <v>0</v>
      </c>
      <c r="T98" s="254">
        <v>0</v>
      </c>
      <c r="U98" s="251">
        <v>0</v>
      </c>
      <c r="V98" s="254">
        <v>0</v>
      </c>
      <c r="W98" s="252" t="s">
        <v>655</v>
      </c>
      <c r="X98" s="253" t="s">
        <v>622</v>
      </c>
    </row>
    <row r="99" spans="1:27" x14ac:dyDescent="0.2">
      <c r="A99" s="256" t="s">
        <v>611</v>
      </c>
      <c r="B99" s="218" t="s">
        <v>313</v>
      </c>
      <c r="C99" s="218" t="s">
        <v>619</v>
      </c>
      <c r="D99" s="218">
        <v>210</v>
      </c>
      <c r="E99" s="251">
        <v>0</v>
      </c>
      <c r="F99" s="254">
        <v>160</v>
      </c>
      <c r="G99" s="251">
        <v>0</v>
      </c>
      <c r="H99" s="218">
        <v>2.7</v>
      </c>
      <c r="I99" s="254">
        <v>0</v>
      </c>
      <c r="J99" s="254">
        <v>0</v>
      </c>
      <c r="K99" s="254">
        <v>0</v>
      </c>
      <c r="L99" s="254">
        <v>0</v>
      </c>
      <c r="M99" s="254">
        <v>0</v>
      </c>
      <c r="N99" s="254">
        <v>0</v>
      </c>
      <c r="O99" s="254">
        <v>0</v>
      </c>
      <c r="P99" s="251">
        <v>50000</v>
      </c>
      <c r="Q99" s="254">
        <v>0</v>
      </c>
      <c r="R99" s="254">
        <v>0</v>
      </c>
      <c r="S99" s="254">
        <v>0</v>
      </c>
      <c r="T99" s="254">
        <v>0</v>
      </c>
      <c r="U99" s="251">
        <v>0</v>
      </c>
      <c r="V99" s="254">
        <v>0</v>
      </c>
      <c r="W99" s="252" t="s">
        <v>655</v>
      </c>
      <c r="X99" s="253" t="s">
        <v>622</v>
      </c>
    </row>
    <row r="100" spans="1:27" x14ac:dyDescent="0.2">
      <c r="X100" s="59"/>
      <c r="Y100" s="59"/>
    </row>
    <row r="101" spans="1:27" x14ac:dyDescent="0.2">
      <c r="A101" s="214" t="s">
        <v>583</v>
      </c>
      <c r="B101" s="218"/>
      <c r="C101" s="218"/>
      <c r="D101" s="218"/>
      <c r="E101" s="218"/>
      <c r="F101" s="218"/>
      <c r="G101" s="218"/>
      <c r="H101" s="218"/>
      <c r="I101" s="218"/>
      <c r="J101" s="59"/>
      <c r="K101" s="59"/>
      <c r="L101" s="59"/>
      <c r="M101" s="59"/>
      <c r="N101" s="59"/>
      <c r="O101" s="59"/>
      <c r="P101" s="59"/>
      <c r="Q101" s="59"/>
      <c r="R101" s="59"/>
      <c r="S101" s="59"/>
      <c r="T101" s="59"/>
      <c r="U101" s="59"/>
      <c r="V101" s="59"/>
      <c r="W101" s="59"/>
      <c r="X101" s="59"/>
      <c r="Y101" s="59"/>
      <c r="Z101" s="59"/>
      <c r="AA101" s="59"/>
    </row>
    <row r="102" spans="1:27" x14ac:dyDescent="0.2">
      <c r="A102" s="156"/>
      <c r="B102" s="253" t="s">
        <v>584</v>
      </c>
      <c r="C102" s="218" t="s">
        <v>585</v>
      </c>
      <c r="D102" s="218" t="s">
        <v>586</v>
      </c>
      <c r="E102" s="218" t="s">
        <v>587</v>
      </c>
      <c r="F102" s="218" t="s">
        <v>331</v>
      </c>
      <c r="G102" s="218" t="s">
        <v>588</v>
      </c>
      <c r="H102" s="218" t="s">
        <v>589</v>
      </c>
      <c r="I102" s="218" t="s">
        <v>590</v>
      </c>
      <c r="J102" s="59"/>
      <c r="K102" s="59"/>
      <c r="L102" s="59"/>
      <c r="M102" s="59"/>
      <c r="N102" s="59"/>
      <c r="O102" s="59"/>
      <c r="P102" s="59"/>
      <c r="Q102" s="59"/>
      <c r="R102" s="59"/>
      <c r="S102" s="59"/>
      <c r="T102" s="59"/>
      <c r="U102" s="59"/>
      <c r="V102" s="59"/>
      <c r="W102" s="59"/>
      <c r="X102" s="59"/>
      <c r="Y102" s="59"/>
      <c r="Z102" s="59"/>
      <c r="AA102" s="59"/>
    </row>
    <row r="103" spans="1:27" x14ac:dyDescent="0.2">
      <c r="A103" s="253" t="s">
        <v>607</v>
      </c>
      <c r="B103" s="253" t="s">
        <v>598</v>
      </c>
      <c r="C103" s="218" t="s">
        <v>592</v>
      </c>
      <c r="D103" s="257" t="s">
        <v>593</v>
      </c>
      <c r="E103" s="257" t="s">
        <v>593</v>
      </c>
      <c r="F103" s="257" t="s">
        <v>594</v>
      </c>
      <c r="G103" s="257" t="s">
        <v>595</v>
      </c>
      <c r="H103" s="257" t="s">
        <v>596</v>
      </c>
      <c r="I103" s="218" t="s">
        <v>597</v>
      </c>
      <c r="J103" s="59"/>
      <c r="K103" s="59"/>
      <c r="L103" s="59"/>
      <c r="M103" s="59"/>
      <c r="N103" s="59"/>
      <c r="O103" s="59"/>
      <c r="P103" s="59"/>
      <c r="Q103" s="59"/>
      <c r="R103" s="59"/>
      <c r="S103" s="59"/>
      <c r="T103" s="59"/>
      <c r="U103" s="59"/>
      <c r="V103" s="59"/>
      <c r="W103" s="59"/>
      <c r="X103" s="59"/>
      <c r="Y103" s="59"/>
      <c r="Z103" s="59"/>
      <c r="AA103" s="59"/>
    </row>
    <row r="104" spans="1:27" x14ac:dyDescent="0.2">
      <c r="A104" s="258">
        <v>44197</v>
      </c>
      <c r="B104" s="253" t="s">
        <v>591</v>
      </c>
      <c r="C104" s="218" t="s">
        <v>592</v>
      </c>
      <c r="D104" s="257" t="s">
        <v>593</v>
      </c>
      <c r="E104" s="257" t="s">
        <v>593</v>
      </c>
      <c r="F104" s="257" t="s">
        <v>594</v>
      </c>
      <c r="G104" s="257" t="s">
        <v>599</v>
      </c>
      <c r="H104" s="257" t="s">
        <v>596</v>
      </c>
      <c r="I104" s="218" t="s">
        <v>597</v>
      </c>
      <c r="J104" s="59"/>
      <c r="K104" s="59"/>
      <c r="L104" s="59"/>
      <c r="M104" s="59"/>
    </row>
    <row r="106" spans="1:27" x14ac:dyDescent="0.2">
      <c r="A106" s="259" t="s">
        <v>86</v>
      </c>
      <c r="B106" s="259" t="s">
        <v>85</v>
      </c>
    </row>
    <row r="107" spans="1:27" x14ac:dyDescent="0.2">
      <c r="A107" s="259" t="s">
        <v>84</v>
      </c>
      <c r="B107" s="259">
        <v>2</v>
      </c>
    </row>
    <row r="108" spans="1:27" x14ac:dyDescent="0.2">
      <c r="A108" s="259" t="s">
        <v>83</v>
      </c>
      <c r="B108" s="259">
        <v>1.5</v>
      </c>
    </row>
    <row r="109" spans="1:27" x14ac:dyDescent="0.2">
      <c r="A109" s="259" t="s">
        <v>82</v>
      </c>
      <c r="B109" s="259">
        <v>1.3</v>
      </c>
    </row>
    <row r="110" spans="1:27" x14ac:dyDescent="0.2">
      <c r="A110" s="259" t="s">
        <v>81</v>
      </c>
      <c r="B110" s="259">
        <v>1.3</v>
      </c>
    </row>
    <row r="111" spans="1:27" x14ac:dyDescent="0.2">
      <c r="A111" s="57"/>
    </row>
    <row r="112" spans="1:27" x14ac:dyDescent="0.2">
      <c r="A112" s="214" t="s">
        <v>802</v>
      </c>
      <c r="B112" s="215"/>
      <c r="C112" s="215"/>
      <c r="D112" s="215"/>
      <c r="E112" s="215"/>
      <c r="F112" s="215"/>
      <c r="G112" s="215"/>
      <c r="H112" s="215"/>
      <c r="I112" s="215"/>
      <c r="J112" s="215"/>
      <c r="K112" s="215"/>
      <c r="L112" s="215"/>
      <c r="M112" s="215"/>
      <c r="N112" s="215"/>
      <c r="O112" s="215"/>
      <c r="P112" s="215"/>
    </row>
    <row r="113" spans="1:19" x14ac:dyDescent="0.2">
      <c r="A113" s="216" t="s">
        <v>803</v>
      </c>
      <c r="B113" s="217">
        <v>1</v>
      </c>
      <c r="C113" s="217">
        <v>2</v>
      </c>
      <c r="D113" s="217">
        <v>3</v>
      </c>
      <c r="E113" s="217">
        <v>4</v>
      </c>
      <c r="F113" s="217">
        <v>5</v>
      </c>
      <c r="G113" s="217">
        <v>6</v>
      </c>
      <c r="H113" s="217">
        <v>7</v>
      </c>
      <c r="I113" s="217">
        <v>8</v>
      </c>
      <c r="J113" s="217">
        <v>9</v>
      </c>
      <c r="K113" s="217">
        <v>10</v>
      </c>
      <c r="L113" s="217">
        <v>11</v>
      </c>
      <c r="M113" s="217">
        <v>12</v>
      </c>
      <c r="N113" s="217">
        <v>13</v>
      </c>
      <c r="O113" s="217">
        <v>14</v>
      </c>
      <c r="P113" s="217">
        <v>15</v>
      </c>
    </row>
    <row r="114" spans="1:19" x14ac:dyDescent="0.2">
      <c r="A114" s="218" t="s">
        <v>160</v>
      </c>
      <c r="B114" s="339">
        <f>0.1254/2</f>
        <v>6.2700000000000006E-2</v>
      </c>
      <c r="C114" s="339">
        <v>0.1129</v>
      </c>
      <c r="D114" s="339">
        <v>0.1016</v>
      </c>
      <c r="E114" s="339">
        <v>9.3399999999999997E-2</v>
      </c>
      <c r="F114" s="339">
        <v>8.5999999999999993E-2</v>
      </c>
      <c r="G114" s="339">
        <v>7.9100000000000004E-2</v>
      </c>
      <c r="H114" s="339">
        <v>7.2800000000000004E-2</v>
      </c>
      <c r="I114" s="339">
        <v>6.8400000000000002E-2</v>
      </c>
      <c r="J114" s="339">
        <v>6.4299999999999996E-2</v>
      </c>
      <c r="K114" s="339">
        <v>6.0400000000000002E-2</v>
      </c>
      <c r="L114" s="339">
        <v>5.6800000000000003E-2</v>
      </c>
      <c r="M114" s="339">
        <v>5.3400000000000003E-2</v>
      </c>
      <c r="N114" s="339">
        <v>5.0200000000000002E-2</v>
      </c>
      <c r="O114" s="339">
        <v>4.7199999999999999E-2</v>
      </c>
      <c r="P114" s="339">
        <v>4.4400000000000002E-2</v>
      </c>
    </row>
    <row r="115" spans="1:19" x14ac:dyDescent="0.2">
      <c r="A115" s="216" t="s">
        <v>162</v>
      </c>
      <c r="B115" s="340">
        <f>0.1777/2</f>
        <v>8.8849999999999998E-2</v>
      </c>
      <c r="C115" s="340">
        <f>0.1599/2</f>
        <v>7.9949999999999993E-2</v>
      </c>
      <c r="D115" s="340">
        <f>0.1439/2</f>
        <v>7.195E-2</v>
      </c>
      <c r="E115" s="340">
        <f>0.1324/2</f>
        <v>6.6199999999999995E-2</v>
      </c>
      <c r="F115" s="340">
        <f>0.1218/2</f>
        <v>6.0900000000000003E-2</v>
      </c>
      <c r="G115" s="340">
        <f>0.1121/2</f>
        <v>5.6050000000000003E-2</v>
      </c>
      <c r="H115" s="340">
        <f>0.1031/2</f>
        <v>5.1549999999999999E-2</v>
      </c>
      <c r="I115" s="340">
        <f>0.0969/2</f>
        <v>4.845E-2</v>
      </c>
      <c r="J115" s="340">
        <f>0.0911/2</f>
        <v>4.555E-2</v>
      </c>
      <c r="K115" s="340">
        <f>0.0856/2</f>
        <v>4.2799999999999998E-2</v>
      </c>
      <c r="L115" s="340">
        <f>0.0805/2</f>
        <v>4.0250000000000001E-2</v>
      </c>
      <c r="M115" s="340">
        <f>0.0757/2</f>
        <v>3.7850000000000002E-2</v>
      </c>
      <c r="N115" s="340">
        <f>0.0711/2</f>
        <v>3.5549999999999998E-2</v>
      </c>
      <c r="O115" s="340">
        <f>0.0668/2</f>
        <v>3.3399999999999999E-2</v>
      </c>
      <c r="P115" s="340">
        <f>0.0628/2</f>
        <v>3.1399999999999997E-2</v>
      </c>
    </row>
    <row r="116" spans="1:19" x14ac:dyDescent="0.2">
      <c r="A116" s="218" t="s">
        <v>161</v>
      </c>
      <c r="B116" s="339">
        <f>0.2404/2</f>
        <v>0.1202</v>
      </c>
      <c r="C116" s="339">
        <f>0.2163/2</f>
        <v>0.10815</v>
      </c>
      <c r="D116" s="339">
        <v>0.19470000000000001</v>
      </c>
      <c r="E116" s="339">
        <v>0.17910000000000001</v>
      </c>
      <c r="F116" s="339">
        <v>0.1648</v>
      </c>
      <c r="G116" s="339">
        <v>0.15160000000000001</v>
      </c>
      <c r="H116" s="339">
        <v>0.13950000000000001</v>
      </c>
      <c r="I116" s="339">
        <v>0.13109999999999999</v>
      </c>
      <c r="J116" s="339">
        <v>0.1232</v>
      </c>
      <c r="K116" s="339">
        <v>0.1158</v>
      </c>
      <c r="L116" s="339">
        <v>0.1089</v>
      </c>
      <c r="M116" s="339">
        <v>0.1024</v>
      </c>
      <c r="N116" s="339">
        <v>9.6199999999999994E-2</v>
      </c>
      <c r="O116" s="339">
        <v>9.0399999999999994E-2</v>
      </c>
      <c r="P116" s="339">
        <v>8.5000000000000006E-2</v>
      </c>
    </row>
    <row r="117" spans="1:19" x14ac:dyDescent="0.2">
      <c r="A117" s="57"/>
    </row>
    <row r="118" spans="1:19" x14ac:dyDescent="0.2">
      <c r="A118" s="187" t="s">
        <v>801</v>
      </c>
      <c r="B118" s="154" t="s">
        <v>498</v>
      </c>
      <c r="C118" s="154" t="s">
        <v>74</v>
      </c>
      <c r="D118" s="154" t="s">
        <v>495</v>
      </c>
      <c r="E118" s="154" t="s">
        <v>496</v>
      </c>
      <c r="F118" s="154" t="s">
        <v>221</v>
      </c>
    </row>
    <row r="119" spans="1:19" x14ac:dyDescent="0.2">
      <c r="A119" s="154" t="s">
        <v>160</v>
      </c>
      <c r="B119" s="154">
        <v>1</v>
      </c>
      <c r="C119" s="154">
        <v>1</v>
      </c>
      <c r="D119" s="154">
        <v>1</v>
      </c>
      <c r="E119" s="154">
        <v>1</v>
      </c>
      <c r="F119" s="154" t="s">
        <v>100</v>
      </c>
    </row>
    <row r="120" spans="1:19" x14ac:dyDescent="0.2">
      <c r="A120" s="154" t="s">
        <v>162</v>
      </c>
      <c r="B120" s="154">
        <v>0.9</v>
      </c>
      <c r="C120" s="154">
        <v>0.9</v>
      </c>
      <c r="D120" s="154">
        <v>0.9</v>
      </c>
      <c r="E120" s="154">
        <v>0.97</v>
      </c>
      <c r="F120" s="154" t="s">
        <v>100</v>
      </c>
    </row>
    <row r="121" spans="1:19" x14ac:dyDescent="0.2">
      <c r="A121" s="154" t="s">
        <v>161</v>
      </c>
      <c r="B121" s="154">
        <v>0.6</v>
      </c>
      <c r="C121" s="154">
        <v>0.85</v>
      </c>
      <c r="D121" s="154">
        <v>0.85</v>
      </c>
      <c r="E121" s="154">
        <v>0.95</v>
      </c>
      <c r="F121" s="154" t="s">
        <v>100</v>
      </c>
    </row>
    <row r="122" spans="1:19" x14ac:dyDescent="0.2">
      <c r="A122" s="154" t="s">
        <v>220</v>
      </c>
      <c r="B122" s="154" t="s">
        <v>100</v>
      </c>
      <c r="C122" s="154" t="s">
        <v>100</v>
      </c>
      <c r="D122" s="154" t="s">
        <v>100</v>
      </c>
      <c r="E122" s="154" t="s">
        <v>100</v>
      </c>
      <c r="F122" s="154">
        <v>1</v>
      </c>
    </row>
    <row r="123" spans="1:19" x14ac:dyDescent="0.2">
      <c r="A123" s="154" t="s">
        <v>497</v>
      </c>
      <c r="B123" s="154" t="s">
        <v>100</v>
      </c>
      <c r="C123" s="154" t="s">
        <v>100</v>
      </c>
      <c r="D123" s="154" t="s">
        <v>100</v>
      </c>
      <c r="E123" s="154" t="s">
        <v>100</v>
      </c>
      <c r="F123" s="154">
        <v>0.9</v>
      </c>
    </row>
    <row r="124" spans="1:19" x14ac:dyDescent="0.2">
      <c r="A124"/>
    </row>
    <row r="125" spans="1:19" x14ac:dyDescent="0.2">
      <c r="A125" s="341" t="s">
        <v>899</v>
      </c>
      <c r="B125" s="342"/>
      <c r="C125" s="342"/>
      <c r="D125" s="342"/>
      <c r="E125" s="342"/>
      <c r="F125" s="342"/>
      <c r="G125" s="342"/>
      <c r="H125" s="342"/>
      <c r="I125" s="342"/>
      <c r="J125" s="342"/>
      <c r="K125" s="342"/>
      <c r="L125" s="342"/>
      <c r="M125" s="342"/>
      <c r="N125" s="342"/>
      <c r="O125" s="342"/>
      <c r="P125" s="342"/>
      <c r="Q125" s="342"/>
      <c r="R125" s="342"/>
      <c r="S125" s="342"/>
    </row>
    <row r="126" spans="1:19" x14ac:dyDescent="0.2">
      <c r="A126" s="342" t="s">
        <v>900</v>
      </c>
      <c r="B126" s="342"/>
      <c r="C126" s="342"/>
      <c r="D126" s="342"/>
      <c r="E126" s="342"/>
      <c r="F126" s="342"/>
      <c r="G126" s="342"/>
      <c r="H126" s="342"/>
      <c r="I126" s="342"/>
      <c r="J126" s="342"/>
      <c r="K126" s="342"/>
      <c r="L126" s="343" t="s">
        <v>901</v>
      </c>
      <c r="M126" s="344"/>
      <c r="N126" s="344"/>
      <c r="O126" s="344"/>
      <c r="P126" s="344"/>
      <c r="Q126" s="344"/>
      <c r="R126" s="342"/>
      <c r="S126" s="342"/>
    </row>
    <row r="127" spans="1:19" x14ac:dyDescent="0.2">
      <c r="A127" s="342" t="s">
        <v>902</v>
      </c>
      <c r="B127" s="342"/>
      <c r="C127" s="342"/>
      <c r="D127" s="342"/>
      <c r="E127" s="342"/>
      <c r="F127" s="342"/>
      <c r="G127" s="342"/>
      <c r="H127" s="342"/>
      <c r="I127" s="342"/>
      <c r="J127" s="342"/>
      <c r="K127" s="342"/>
      <c r="L127" s="342"/>
      <c r="M127" s="342"/>
      <c r="N127" s="342"/>
      <c r="O127" s="342"/>
      <c r="P127" s="342"/>
      <c r="Q127" s="342"/>
      <c r="R127" s="342"/>
      <c r="S127" s="342"/>
    </row>
    <row r="128" spans="1:19" x14ac:dyDescent="0.2">
      <c r="A128" s="342" t="s">
        <v>903</v>
      </c>
      <c r="B128" s="342"/>
      <c r="C128" s="342"/>
      <c r="D128" s="342"/>
      <c r="E128" s="342"/>
      <c r="F128" s="342"/>
      <c r="G128" s="342"/>
      <c r="H128" s="342"/>
      <c r="I128" s="342"/>
      <c r="J128" s="342"/>
      <c r="K128" s="342"/>
      <c r="L128" s="342"/>
      <c r="M128" s="342"/>
      <c r="N128" s="342"/>
      <c r="O128" s="342"/>
      <c r="P128" s="342"/>
      <c r="Q128" s="342"/>
      <c r="R128" s="342"/>
      <c r="S128" s="342"/>
    </row>
    <row r="129" spans="1:20" x14ac:dyDescent="0.2">
      <c r="A129" s="342"/>
      <c r="B129" s="342"/>
      <c r="C129" s="342"/>
      <c r="D129" s="342"/>
      <c r="E129" s="342"/>
      <c r="F129" s="342"/>
      <c r="G129" s="342"/>
      <c r="H129" s="342"/>
      <c r="I129" s="342"/>
      <c r="J129" s="342"/>
      <c r="K129" s="342"/>
      <c r="L129" s="342"/>
      <c r="M129" s="342"/>
      <c r="N129" s="342"/>
      <c r="O129" s="342"/>
      <c r="P129" s="342"/>
      <c r="Q129" s="342"/>
      <c r="R129" s="342"/>
      <c r="S129" s="342"/>
    </row>
    <row r="130" spans="1:20" x14ac:dyDescent="0.2">
      <c r="A130" s="342"/>
      <c r="B130" s="342"/>
      <c r="C130" s="361" t="s">
        <v>946</v>
      </c>
      <c r="D130" s="345" t="s">
        <v>889</v>
      </c>
      <c r="E130" s="345" t="s">
        <v>904</v>
      </c>
      <c r="F130" s="345" t="s">
        <v>892</v>
      </c>
      <c r="G130" s="345" t="s">
        <v>888</v>
      </c>
      <c r="H130" s="345" t="s">
        <v>905</v>
      </c>
      <c r="I130" s="345" t="s">
        <v>906</v>
      </c>
      <c r="J130" s="345" t="s">
        <v>887</v>
      </c>
      <c r="K130" s="345" t="s">
        <v>907</v>
      </c>
      <c r="L130" s="345" t="s">
        <v>885</v>
      </c>
      <c r="M130" s="345" t="s">
        <v>908</v>
      </c>
      <c r="N130" s="345" t="s">
        <v>909</v>
      </c>
      <c r="O130" s="345" t="s">
        <v>886</v>
      </c>
      <c r="P130" s="345" t="s">
        <v>910</v>
      </c>
      <c r="Q130" s="345" t="s">
        <v>911</v>
      </c>
      <c r="R130" s="345" t="s">
        <v>912</v>
      </c>
      <c r="S130" s="345" t="s">
        <v>913</v>
      </c>
      <c r="T130" s="345"/>
    </row>
    <row r="131" spans="1:20" x14ac:dyDescent="0.2">
      <c r="A131" s="431" t="s">
        <v>914</v>
      </c>
      <c r="B131" s="357" t="s">
        <v>915</v>
      </c>
      <c r="C131" s="237"/>
      <c r="D131" s="346" t="s">
        <v>890</v>
      </c>
      <c r="E131" s="346" t="s">
        <v>916</v>
      </c>
      <c r="F131" s="346" t="s">
        <v>891</v>
      </c>
      <c r="G131" s="346" t="s">
        <v>893</v>
      </c>
      <c r="H131" s="346" t="s">
        <v>917</v>
      </c>
      <c r="I131" s="346" t="s">
        <v>918</v>
      </c>
      <c r="J131" s="347" t="s">
        <v>919</v>
      </c>
      <c r="K131" s="346" t="s">
        <v>920</v>
      </c>
      <c r="L131" s="346" t="s">
        <v>896</v>
      </c>
      <c r="M131" s="347" t="s">
        <v>895</v>
      </c>
      <c r="N131" s="346" t="s">
        <v>894</v>
      </c>
      <c r="O131" s="347" t="s">
        <v>897</v>
      </c>
      <c r="P131" s="346" t="s">
        <v>100</v>
      </c>
      <c r="Q131" s="346" t="s">
        <v>100</v>
      </c>
      <c r="R131" s="346" t="s">
        <v>100</v>
      </c>
      <c r="S131" s="347" t="s">
        <v>921</v>
      </c>
      <c r="T131" s="352" t="s">
        <v>922</v>
      </c>
    </row>
    <row r="132" spans="1:20" x14ac:dyDescent="0.2">
      <c r="A132" s="431"/>
      <c r="B132" s="357" t="s">
        <v>923</v>
      </c>
      <c r="C132" s="237"/>
      <c r="D132" s="346">
        <v>1000</v>
      </c>
      <c r="E132" s="346">
        <v>250</v>
      </c>
      <c r="F132" s="346"/>
      <c r="G132" s="346">
        <v>480</v>
      </c>
      <c r="H132" s="346">
        <v>150</v>
      </c>
      <c r="I132" s="346">
        <v>20</v>
      </c>
      <c r="J132" s="347" t="s">
        <v>924</v>
      </c>
      <c r="K132" s="346">
        <v>5</v>
      </c>
      <c r="L132" s="346">
        <v>20</v>
      </c>
      <c r="M132" s="346">
        <v>25</v>
      </c>
      <c r="N132" s="346">
        <v>40</v>
      </c>
      <c r="O132" s="346">
        <v>15</v>
      </c>
      <c r="P132" s="346" t="s">
        <v>100</v>
      </c>
      <c r="Q132" s="346" t="s">
        <v>100</v>
      </c>
      <c r="R132" s="346" t="s">
        <v>100</v>
      </c>
      <c r="S132" s="346">
        <v>5</v>
      </c>
      <c r="T132" s="352"/>
    </row>
    <row r="133" spans="1:20" x14ac:dyDescent="0.2">
      <c r="A133" s="431"/>
      <c r="B133" s="358" t="s">
        <v>915</v>
      </c>
      <c r="C133" s="156"/>
      <c r="D133" s="345" t="s">
        <v>925</v>
      </c>
      <c r="E133" s="345" t="s">
        <v>926</v>
      </c>
      <c r="F133" s="345"/>
      <c r="G133" s="345" t="s">
        <v>927</v>
      </c>
      <c r="H133" s="345" t="s">
        <v>928</v>
      </c>
      <c r="I133" s="345" t="s">
        <v>100</v>
      </c>
      <c r="J133" s="348" t="s">
        <v>929</v>
      </c>
      <c r="K133" s="345" t="s">
        <v>930</v>
      </c>
      <c r="L133" s="345" t="s">
        <v>931</v>
      </c>
      <c r="M133" s="348" t="s">
        <v>929</v>
      </c>
      <c r="N133" s="345" t="s">
        <v>932</v>
      </c>
      <c r="O133" s="345" t="s">
        <v>933</v>
      </c>
      <c r="P133" s="345" t="s">
        <v>100</v>
      </c>
      <c r="Q133" s="345" t="s">
        <v>100</v>
      </c>
      <c r="R133" s="345" t="s">
        <v>100</v>
      </c>
      <c r="S133" s="345" t="s">
        <v>934</v>
      </c>
      <c r="T133" s="351" t="s">
        <v>935</v>
      </c>
    </row>
    <row r="134" spans="1:20" x14ac:dyDescent="0.2">
      <c r="A134" s="431"/>
      <c r="B134" s="359" t="s">
        <v>923</v>
      </c>
      <c r="C134" s="156"/>
      <c r="D134" s="345">
        <v>800</v>
      </c>
      <c r="E134" s="345">
        <v>140</v>
      </c>
      <c r="F134" s="345"/>
      <c r="G134" s="345">
        <v>600</v>
      </c>
      <c r="H134" s="345">
        <v>130</v>
      </c>
      <c r="I134" s="345" t="s">
        <v>100</v>
      </c>
      <c r="J134" s="348" t="s">
        <v>936</v>
      </c>
      <c r="K134" s="345">
        <v>30</v>
      </c>
      <c r="L134" s="345">
        <v>10</v>
      </c>
      <c r="M134" s="345">
        <v>30</v>
      </c>
      <c r="N134" s="345">
        <v>40</v>
      </c>
      <c r="O134" s="345">
        <v>20</v>
      </c>
      <c r="P134" s="345" t="s">
        <v>100</v>
      </c>
      <c r="Q134" s="345" t="s">
        <v>100</v>
      </c>
      <c r="R134" s="345" t="s">
        <v>100</v>
      </c>
      <c r="S134" s="345">
        <v>20</v>
      </c>
      <c r="T134" s="351"/>
    </row>
    <row r="135" spans="1:20" x14ac:dyDescent="0.2">
      <c r="A135" s="431"/>
      <c r="B135" s="357" t="s">
        <v>915</v>
      </c>
      <c r="C135" s="237"/>
      <c r="D135" s="349"/>
      <c r="E135" s="349"/>
      <c r="F135" s="349"/>
      <c r="G135" s="349"/>
      <c r="H135" s="349"/>
      <c r="I135" s="349"/>
      <c r="J135" s="349"/>
      <c r="K135" s="349"/>
      <c r="L135" s="349"/>
      <c r="M135" s="349"/>
      <c r="N135" s="349"/>
      <c r="O135" s="349"/>
      <c r="P135" s="349"/>
      <c r="Q135" s="346" t="s">
        <v>937</v>
      </c>
      <c r="R135" s="346" t="s">
        <v>938</v>
      </c>
      <c r="S135" s="349"/>
      <c r="T135" s="356" t="s">
        <v>939</v>
      </c>
    </row>
    <row r="136" spans="1:20" x14ac:dyDescent="0.2">
      <c r="A136" s="431"/>
      <c r="B136" s="357" t="s">
        <v>290</v>
      </c>
      <c r="C136" s="237"/>
      <c r="D136" s="349"/>
      <c r="E136" s="349"/>
      <c r="F136" s="349"/>
      <c r="G136" s="349"/>
      <c r="H136" s="349"/>
      <c r="I136" s="349"/>
      <c r="J136" s="349"/>
      <c r="K136" s="349"/>
      <c r="L136" s="349"/>
      <c r="M136" s="349"/>
      <c r="N136" s="349"/>
      <c r="O136" s="349"/>
      <c r="P136" s="349"/>
      <c r="Q136" s="349"/>
      <c r="R136" s="349">
        <v>100</v>
      </c>
      <c r="S136" s="349"/>
      <c r="T136" s="356"/>
    </row>
    <row r="137" spans="1:20" x14ac:dyDescent="0.2">
      <c r="A137" s="342"/>
      <c r="B137" s="360" t="s">
        <v>940</v>
      </c>
      <c r="C137" s="156"/>
      <c r="D137" s="345" t="s">
        <v>100</v>
      </c>
      <c r="E137" s="345" t="s">
        <v>100</v>
      </c>
      <c r="F137" s="345" t="s">
        <v>100</v>
      </c>
      <c r="G137" s="345" t="s">
        <v>100</v>
      </c>
      <c r="H137" s="345" t="s">
        <v>100</v>
      </c>
      <c r="I137" s="345" t="s">
        <v>100</v>
      </c>
      <c r="J137" s="345" t="s">
        <v>100</v>
      </c>
      <c r="K137" s="345" t="s">
        <v>100</v>
      </c>
      <c r="L137" s="345" t="s">
        <v>100</v>
      </c>
      <c r="M137" s="345" t="s">
        <v>100</v>
      </c>
      <c r="N137" s="345" t="s">
        <v>100</v>
      </c>
      <c r="O137" s="345" t="s">
        <v>100</v>
      </c>
      <c r="P137" s="345">
        <v>280</v>
      </c>
      <c r="Q137" s="350">
        <v>131</v>
      </c>
      <c r="R137" s="350">
        <v>100</v>
      </c>
      <c r="S137" s="351" t="s">
        <v>100</v>
      </c>
      <c r="T137" s="351" t="s">
        <v>941</v>
      </c>
    </row>
    <row r="138" spans="1:20" x14ac:dyDescent="0.2">
      <c r="A138" s="342"/>
      <c r="B138" s="357" t="s">
        <v>942</v>
      </c>
      <c r="C138" s="237">
        <v>233</v>
      </c>
      <c r="D138" s="346">
        <f>(D132+D134)/2</f>
        <v>900</v>
      </c>
      <c r="E138" s="346">
        <f t="shared" ref="E138:H138" si="2">(E132+E134)/2</f>
        <v>195</v>
      </c>
      <c r="F138" s="346">
        <v>660</v>
      </c>
      <c r="G138" s="346">
        <f t="shared" si="2"/>
        <v>540</v>
      </c>
      <c r="H138" s="346">
        <f t="shared" si="2"/>
        <v>140</v>
      </c>
      <c r="I138" s="346">
        <v>20</v>
      </c>
      <c r="J138" s="347">
        <f t="shared" ref="J138:O138" si="3">(J132+J134)/2</f>
        <v>27.5</v>
      </c>
      <c r="K138" s="347">
        <f t="shared" si="3"/>
        <v>17.5</v>
      </c>
      <c r="L138" s="347">
        <f t="shared" si="3"/>
        <v>15</v>
      </c>
      <c r="M138" s="347">
        <f t="shared" si="3"/>
        <v>27.5</v>
      </c>
      <c r="N138" s="347">
        <f t="shared" si="3"/>
        <v>40</v>
      </c>
      <c r="O138" s="347">
        <f t="shared" si="3"/>
        <v>17.5</v>
      </c>
      <c r="P138" s="346">
        <v>280</v>
      </c>
      <c r="Q138" s="349">
        <v>131</v>
      </c>
      <c r="R138" s="349">
        <v>100</v>
      </c>
      <c r="S138" s="352">
        <f>(S132+S134)/2</f>
        <v>12.5</v>
      </c>
      <c r="T138" s="352" t="s">
        <v>943</v>
      </c>
    </row>
    <row r="139" spans="1:20" x14ac:dyDescent="0.2">
      <c r="A139" s="342"/>
      <c r="B139" s="342"/>
      <c r="C139" s="342"/>
      <c r="D139" s="342"/>
      <c r="E139" s="342"/>
      <c r="F139" s="342"/>
      <c r="G139" s="342"/>
      <c r="H139" s="342"/>
      <c r="I139" s="342"/>
      <c r="J139" s="342"/>
      <c r="K139" s="342"/>
      <c r="L139" s="342"/>
      <c r="M139" s="342"/>
      <c r="N139" s="342"/>
      <c r="O139" s="342"/>
      <c r="P139" s="353"/>
      <c r="Q139" s="353"/>
      <c r="R139" s="354"/>
      <c r="S139" s="354"/>
    </row>
    <row r="140" spans="1:20" x14ac:dyDescent="0.2">
      <c r="A140" s="355" t="s">
        <v>944</v>
      </c>
      <c r="B140" s="355" t="str">
        <f>Overview!B54</f>
        <v>Average UK energy mix</v>
      </c>
      <c r="C140" s="342"/>
      <c r="D140" s="342"/>
      <c r="E140" s="342"/>
      <c r="F140" s="342"/>
      <c r="G140" s="342"/>
      <c r="H140" s="342"/>
      <c r="I140" s="342"/>
      <c r="J140" s="342"/>
      <c r="K140" s="342"/>
      <c r="L140" s="342"/>
      <c r="M140" s="342"/>
      <c r="N140" s="342"/>
      <c r="O140" s="342"/>
      <c r="P140" s="342"/>
      <c r="Q140" s="342"/>
      <c r="R140" s="342"/>
      <c r="S140" s="342"/>
    </row>
    <row r="141" spans="1:20" x14ac:dyDescent="0.2">
      <c r="A141" s="342" t="s">
        <v>947</v>
      </c>
      <c r="B141" s="342">
        <f>HLOOKUP(Overview!B54,C130:S138, 9, FALSE)</f>
        <v>233</v>
      </c>
      <c r="C141" s="342"/>
      <c r="D141" s="342"/>
      <c r="E141" s="342"/>
      <c r="F141" s="342"/>
      <c r="G141" s="342"/>
      <c r="H141" s="342"/>
      <c r="I141" s="342"/>
      <c r="J141" s="342"/>
      <c r="K141" s="342"/>
      <c r="L141" s="342"/>
      <c r="M141" s="342"/>
      <c r="N141" s="342"/>
      <c r="O141" s="342"/>
      <c r="P141" s="342"/>
      <c r="Q141" s="342"/>
      <c r="R141" s="342"/>
      <c r="S141" s="342"/>
    </row>
    <row r="142" spans="1:20" x14ac:dyDescent="0.2">
      <c r="A142" s="342"/>
      <c r="B142" s="342"/>
      <c r="C142" s="342"/>
      <c r="D142" s="342"/>
      <c r="E142" s="342"/>
      <c r="F142" s="342"/>
      <c r="G142" s="342"/>
      <c r="H142" s="342"/>
      <c r="I142" s="342"/>
      <c r="J142" s="342"/>
      <c r="K142" s="342"/>
      <c r="L142" s="342"/>
      <c r="M142" s="342"/>
      <c r="N142" s="342"/>
      <c r="O142" s="342"/>
      <c r="P142" s="342"/>
      <c r="Q142" s="342"/>
      <c r="R142" s="342"/>
      <c r="S142" s="342"/>
    </row>
    <row r="143" spans="1:20" x14ac:dyDescent="0.2">
      <c r="A143" s="38" t="s">
        <v>973</v>
      </c>
    </row>
    <row r="144" spans="1:20" x14ac:dyDescent="0.2">
      <c r="A144" s="44" t="s">
        <v>974</v>
      </c>
      <c r="B144" s="44" t="s">
        <v>975</v>
      </c>
      <c r="C144" s="44" t="s">
        <v>976</v>
      </c>
      <c r="D144" s="44" t="s">
        <v>977</v>
      </c>
      <c r="E144" s="44" t="s">
        <v>978</v>
      </c>
      <c r="F144" s="44" t="s">
        <v>979</v>
      </c>
      <c r="G144" s="44" t="s">
        <v>980</v>
      </c>
      <c r="H144" s="44" t="s">
        <v>981</v>
      </c>
      <c r="I144" s="44" t="s">
        <v>982</v>
      </c>
      <c r="J144" s="44" t="s">
        <v>983</v>
      </c>
      <c r="K144" s="44" t="s">
        <v>984</v>
      </c>
      <c r="L144" s="44" t="s">
        <v>985</v>
      </c>
      <c r="M144" s="44" t="s">
        <v>19</v>
      </c>
    </row>
    <row r="145" spans="1:13" x14ac:dyDescent="0.2">
      <c r="A145" s="38" t="s">
        <v>986</v>
      </c>
      <c r="B145" s="38" t="s">
        <v>987</v>
      </c>
      <c r="C145" s="38" t="s">
        <v>638</v>
      </c>
      <c r="D145" s="38" t="s">
        <v>988</v>
      </c>
      <c r="E145" s="38">
        <v>1</v>
      </c>
      <c r="F145" s="38">
        <v>200</v>
      </c>
      <c r="G145" s="38">
        <v>200</v>
      </c>
      <c r="H145" s="38">
        <v>24</v>
      </c>
      <c r="I145" s="38">
        <v>4800</v>
      </c>
      <c r="J145" s="38"/>
      <c r="K145" s="38"/>
      <c r="L145" s="38"/>
      <c r="M145" s="38"/>
    </row>
    <row r="146" spans="1:13" x14ac:dyDescent="0.2">
      <c r="A146" s="38" t="s">
        <v>989</v>
      </c>
      <c r="B146" s="38" t="s">
        <v>990</v>
      </c>
      <c r="C146" s="38" t="s">
        <v>991</v>
      </c>
      <c r="D146" s="38" t="s">
        <v>992</v>
      </c>
      <c r="E146" s="38">
        <v>1</v>
      </c>
      <c r="F146" s="38">
        <v>0</v>
      </c>
      <c r="G146" s="38">
        <v>0</v>
      </c>
      <c r="H146" s="38">
        <v>0</v>
      </c>
      <c r="I146" s="38">
        <v>0</v>
      </c>
      <c r="J146" s="38"/>
      <c r="K146" s="38"/>
      <c r="L146" s="38"/>
      <c r="M146" s="38" t="s">
        <v>993</v>
      </c>
    </row>
    <row r="147" spans="1:13" x14ac:dyDescent="0.2">
      <c r="A147" s="38" t="s">
        <v>994</v>
      </c>
      <c r="B147" s="38" t="s">
        <v>995</v>
      </c>
      <c r="C147" s="38" t="s">
        <v>996</v>
      </c>
      <c r="D147" s="343" t="s">
        <v>652</v>
      </c>
      <c r="E147" s="38">
        <v>32</v>
      </c>
      <c r="F147" s="38">
        <v>100</v>
      </c>
      <c r="G147" s="38">
        <v>3200</v>
      </c>
      <c r="H147" s="38">
        <v>16</v>
      </c>
      <c r="I147" s="38">
        <v>51200</v>
      </c>
      <c r="J147" s="38" t="s">
        <v>997</v>
      </c>
      <c r="K147" s="38"/>
      <c r="L147" s="38"/>
      <c r="M147" s="38"/>
    </row>
    <row r="148" spans="1:13" x14ac:dyDescent="0.2">
      <c r="A148" s="38" t="s">
        <v>994</v>
      </c>
      <c r="B148" s="38" t="s">
        <v>998</v>
      </c>
      <c r="C148" s="38" t="s">
        <v>999</v>
      </c>
      <c r="D148" s="38" t="s">
        <v>1000</v>
      </c>
      <c r="E148" s="38">
        <v>96</v>
      </c>
      <c r="F148" s="38">
        <v>100</v>
      </c>
      <c r="G148" s="38">
        <v>9600</v>
      </c>
      <c r="H148" s="38">
        <v>16</v>
      </c>
      <c r="I148" s="38">
        <v>153600</v>
      </c>
      <c r="J148" s="38" t="s">
        <v>997</v>
      </c>
      <c r="K148" s="38"/>
      <c r="L148" s="38"/>
      <c r="M148" s="38"/>
    </row>
    <row r="149" spans="1:13" x14ac:dyDescent="0.2">
      <c r="A149" s="38" t="s">
        <v>994</v>
      </c>
      <c r="B149" s="38" t="s">
        <v>1001</v>
      </c>
      <c r="C149" s="376" t="s">
        <v>1002</v>
      </c>
      <c r="D149" s="343" t="s">
        <v>1003</v>
      </c>
      <c r="E149" s="38">
        <v>16</v>
      </c>
      <c r="F149" s="38">
        <v>600</v>
      </c>
      <c r="G149" s="38">
        <v>9600</v>
      </c>
      <c r="H149" s="38">
        <v>0</v>
      </c>
      <c r="I149" s="38">
        <v>0</v>
      </c>
      <c r="J149" s="38"/>
      <c r="K149" s="38"/>
      <c r="L149" s="38"/>
      <c r="M149" s="38" t="s">
        <v>1004</v>
      </c>
    </row>
    <row r="150" spans="1:13" x14ac:dyDescent="0.2">
      <c r="A150" s="38" t="s">
        <v>1005</v>
      </c>
      <c r="B150" s="38" t="s">
        <v>1006</v>
      </c>
      <c r="C150" s="38" t="s">
        <v>1007</v>
      </c>
      <c r="D150" s="343" t="s">
        <v>1008</v>
      </c>
      <c r="E150" s="38">
        <v>1</v>
      </c>
      <c r="F150" s="38">
        <v>25</v>
      </c>
      <c r="G150" s="38">
        <v>25</v>
      </c>
      <c r="H150" s="38">
        <v>24</v>
      </c>
      <c r="I150" s="38">
        <v>600</v>
      </c>
      <c r="J150" s="38"/>
      <c r="K150" s="38"/>
      <c r="L150" s="38"/>
      <c r="M150" s="38"/>
    </row>
    <row r="151" spans="1:13" x14ac:dyDescent="0.2">
      <c r="A151" s="38" t="s">
        <v>1005</v>
      </c>
      <c r="B151" s="38" t="s">
        <v>1009</v>
      </c>
      <c r="C151" s="38" t="s">
        <v>1010</v>
      </c>
      <c r="D151" s="343" t="s">
        <v>1011</v>
      </c>
      <c r="E151" s="38">
        <v>1</v>
      </c>
      <c r="F151" s="38">
        <v>550</v>
      </c>
      <c r="G151" s="38">
        <v>550</v>
      </c>
      <c r="H151" s="38">
        <v>24</v>
      </c>
      <c r="I151" s="38">
        <v>13200</v>
      </c>
      <c r="J151" s="38"/>
      <c r="K151" s="38"/>
      <c r="L151" s="38"/>
      <c r="M151" s="38"/>
    </row>
    <row r="152" spans="1:13" x14ac:dyDescent="0.2">
      <c r="A152" s="38" t="s">
        <v>1012</v>
      </c>
      <c r="B152" s="38" t="s">
        <v>1013</v>
      </c>
      <c r="C152" s="38" t="s">
        <v>1014</v>
      </c>
      <c r="D152" s="343" t="s">
        <v>1015</v>
      </c>
      <c r="E152" s="38">
        <v>1</v>
      </c>
      <c r="F152" s="38">
        <v>23</v>
      </c>
      <c r="G152" s="38">
        <v>23</v>
      </c>
      <c r="H152" s="38">
        <v>24</v>
      </c>
      <c r="I152" s="38">
        <v>552</v>
      </c>
      <c r="J152" s="38"/>
      <c r="K152" s="38"/>
      <c r="L152" s="38"/>
      <c r="M152" s="38"/>
    </row>
    <row r="153" spans="1:13" x14ac:dyDescent="0.2">
      <c r="A153" s="38" t="s">
        <v>1012</v>
      </c>
      <c r="B153" s="38" t="s">
        <v>1016</v>
      </c>
      <c r="C153" s="38" t="s">
        <v>1014</v>
      </c>
      <c r="D153" s="343" t="s">
        <v>1015</v>
      </c>
      <c r="E153" s="38">
        <v>1</v>
      </c>
      <c r="F153" s="38">
        <v>23</v>
      </c>
      <c r="G153" s="38">
        <v>23</v>
      </c>
      <c r="H153" s="38">
        <v>1</v>
      </c>
      <c r="I153" s="38">
        <v>23</v>
      </c>
      <c r="J153" s="38"/>
      <c r="K153" s="38"/>
      <c r="L153" s="38"/>
      <c r="M153" s="38" t="s">
        <v>1017</v>
      </c>
    </row>
    <row r="154" spans="1:13" x14ac:dyDescent="0.2">
      <c r="A154" s="38" t="s">
        <v>1018</v>
      </c>
      <c r="B154" s="38" t="s">
        <v>1019</v>
      </c>
      <c r="C154" s="38" t="s">
        <v>1014</v>
      </c>
      <c r="D154" s="343" t="s">
        <v>1015</v>
      </c>
      <c r="E154" s="38">
        <v>1</v>
      </c>
      <c r="F154" s="38">
        <v>23</v>
      </c>
      <c r="G154" s="38">
        <v>23</v>
      </c>
      <c r="H154" s="38">
        <v>2</v>
      </c>
      <c r="I154" s="38">
        <v>46</v>
      </c>
      <c r="J154" s="38"/>
      <c r="K154" s="38"/>
      <c r="L154" s="38"/>
      <c r="M154" s="38"/>
    </row>
    <row r="155" spans="1:13" x14ac:dyDescent="0.2">
      <c r="A155" s="38" t="s">
        <v>1020</v>
      </c>
      <c r="B155" s="38" t="s">
        <v>1019</v>
      </c>
      <c r="C155" s="38" t="s">
        <v>1014</v>
      </c>
      <c r="D155" s="343" t="s">
        <v>1015</v>
      </c>
      <c r="E155" s="38">
        <v>1</v>
      </c>
      <c r="F155" s="38">
        <v>23</v>
      </c>
      <c r="G155" s="38">
        <v>23</v>
      </c>
      <c r="H155" s="38">
        <v>2</v>
      </c>
      <c r="I155" s="38">
        <v>46</v>
      </c>
      <c r="J155" s="38"/>
      <c r="K155" s="38"/>
      <c r="L155" s="38"/>
      <c r="M155" s="38"/>
    </row>
    <row r="156" spans="1:13" x14ac:dyDescent="0.2">
      <c r="A156" s="38" t="s">
        <v>1018</v>
      </c>
      <c r="B156" s="38" t="s">
        <v>1021</v>
      </c>
      <c r="C156" s="38" t="s">
        <v>1022</v>
      </c>
      <c r="D156" s="38" t="s">
        <v>1023</v>
      </c>
      <c r="E156" s="38">
        <v>2</v>
      </c>
      <c r="F156" s="38">
        <v>3</v>
      </c>
      <c r="G156" s="38">
        <v>6</v>
      </c>
      <c r="H156" s="38">
        <v>2</v>
      </c>
      <c r="I156" s="38">
        <v>12</v>
      </c>
      <c r="J156" s="38"/>
      <c r="K156" s="38"/>
      <c r="L156" s="38"/>
      <c r="M156" s="38"/>
    </row>
    <row r="157" spans="1:13" x14ac:dyDescent="0.2">
      <c r="A157" s="38" t="s">
        <v>1020</v>
      </c>
      <c r="B157" s="38" t="s">
        <v>1021</v>
      </c>
      <c r="C157" s="38" t="s">
        <v>1022</v>
      </c>
      <c r="D157" s="38" t="s">
        <v>1023</v>
      </c>
      <c r="E157" s="38">
        <v>2</v>
      </c>
      <c r="F157" s="38">
        <v>3</v>
      </c>
      <c r="G157" s="38">
        <v>6</v>
      </c>
      <c r="H157" s="38">
        <v>2</v>
      </c>
      <c r="I157" s="38">
        <v>12</v>
      </c>
      <c r="J157" s="38"/>
      <c r="K157" s="38"/>
      <c r="L157" s="38"/>
      <c r="M157" s="38"/>
    </row>
    <row r="158" spans="1:13" x14ac:dyDescent="0.2">
      <c r="A158" s="38" t="s">
        <v>1018</v>
      </c>
      <c r="B158" s="38" t="s">
        <v>1024</v>
      </c>
      <c r="C158" s="38" t="s">
        <v>1025</v>
      </c>
      <c r="D158" s="38"/>
      <c r="E158" s="38">
        <v>16</v>
      </c>
      <c r="F158" s="38">
        <v>28</v>
      </c>
      <c r="G158" s="38">
        <v>448</v>
      </c>
      <c r="H158" s="38">
        <v>16</v>
      </c>
      <c r="I158" s="38">
        <v>7168</v>
      </c>
      <c r="J158" s="38" t="s">
        <v>997</v>
      </c>
      <c r="K158" s="38"/>
      <c r="L158" s="38"/>
      <c r="M158" s="38"/>
    </row>
    <row r="159" spans="1:13" x14ac:dyDescent="0.2">
      <c r="A159" s="38" t="s">
        <v>1020</v>
      </c>
      <c r="B159" s="38" t="s">
        <v>1026</v>
      </c>
      <c r="C159" s="38" t="s">
        <v>1027</v>
      </c>
      <c r="D159" s="38"/>
      <c r="E159" s="38">
        <v>9</v>
      </c>
      <c r="F159" s="38">
        <v>54</v>
      </c>
      <c r="G159" s="38">
        <v>486</v>
      </c>
      <c r="H159" s="38">
        <v>16</v>
      </c>
      <c r="I159" s="38">
        <v>7776</v>
      </c>
      <c r="J159" s="38" t="s">
        <v>997</v>
      </c>
      <c r="K159" s="38"/>
      <c r="L159" s="38"/>
      <c r="M159" s="38"/>
    </row>
    <row r="160" spans="1:13" x14ac:dyDescent="0.2">
      <c r="A160" s="38" t="s">
        <v>1028</v>
      </c>
      <c r="B160" s="38" t="s">
        <v>1029</v>
      </c>
      <c r="C160" s="38" t="s">
        <v>1030</v>
      </c>
      <c r="D160" s="343" t="s">
        <v>1031</v>
      </c>
      <c r="E160" s="38">
        <v>4</v>
      </c>
      <c r="F160" s="38">
        <v>145</v>
      </c>
      <c r="G160" s="38">
        <v>580</v>
      </c>
      <c r="H160" s="38">
        <v>16</v>
      </c>
      <c r="I160" s="38">
        <v>9280</v>
      </c>
      <c r="J160" s="38" t="s">
        <v>997</v>
      </c>
      <c r="K160" s="38"/>
      <c r="L160" s="38"/>
      <c r="M160" s="38"/>
    </row>
    <row r="161" spans="1:13" x14ac:dyDescent="0.2">
      <c r="A161" s="38" t="s">
        <v>1032</v>
      </c>
      <c r="B161" s="38" t="s">
        <v>1033</v>
      </c>
      <c r="C161" s="38">
        <v>3100306</v>
      </c>
      <c r="D161" s="343" t="s">
        <v>1034</v>
      </c>
      <c r="E161" s="38">
        <v>1</v>
      </c>
      <c r="F161" s="38">
        <v>2000</v>
      </c>
      <c r="G161" s="38">
        <v>2000</v>
      </c>
      <c r="H161" s="38">
        <v>1</v>
      </c>
      <c r="I161" s="38">
        <v>2000</v>
      </c>
      <c r="J161" s="38"/>
      <c r="K161" s="38"/>
      <c r="L161" s="38"/>
      <c r="M161" s="38"/>
    </row>
    <row r="162" spans="1:13" x14ac:dyDescent="0.2">
      <c r="A162" s="38" t="s">
        <v>1035</v>
      </c>
      <c r="B162" s="38" t="s">
        <v>1033</v>
      </c>
      <c r="C162" s="38">
        <v>3100306</v>
      </c>
      <c r="D162" s="343" t="s">
        <v>1034</v>
      </c>
      <c r="E162" s="38">
        <v>1</v>
      </c>
      <c r="F162" s="38">
        <v>2000</v>
      </c>
      <c r="G162" s="38">
        <v>2000</v>
      </c>
      <c r="H162" s="38">
        <v>0</v>
      </c>
      <c r="I162" s="38">
        <v>0</v>
      </c>
      <c r="J162" s="38"/>
      <c r="K162" s="38"/>
      <c r="L162" s="38"/>
      <c r="M162" s="38" t="s">
        <v>1036</v>
      </c>
    </row>
    <row r="163" spans="1:13" x14ac:dyDescent="0.2">
      <c r="A163" s="38" t="s">
        <v>1037</v>
      </c>
      <c r="B163" s="38" t="s">
        <v>1033</v>
      </c>
      <c r="C163" s="38">
        <v>3100306</v>
      </c>
      <c r="D163" s="343" t="s">
        <v>1034</v>
      </c>
      <c r="E163" s="38">
        <v>1</v>
      </c>
      <c r="F163" s="38">
        <v>2000</v>
      </c>
      <c r="G163" s="38">
        <v>2000</v>
      </c>
      <c r="H163" s="38">
        <v>0</v>
      </c>
      <c r="I163" s="38">
        <v>0</v>
      </c>
      <c r="J163" s="38"/>
      <c r="K163" s="38"/>
      <c r="L163" s="38"/>
      <c r="M163" s="38" t="s">
        <v>1036</v>
      </c>
    </row>
    <row r="164" spans="1:13" x14ac:dyDescent="0.2">
      <c r="A164" s="38" t="s">
        <v>1038</v>
      </c>
      <c r="B164" s="38" t="s">
        <v>1039</v>
      </c>
      <c r="C164" s="38">
        <v>97775332</v>
      </c>
      <c r="D164" s="38" t="s">
        <v>1040</v>
      </c>
      <c r="E164" s="38">
        <v>1</v>
      </c>
      <c r="F164" s="38">
        <v>650</v>
      </c>
      <c r="G164" s="38">
        <v>650</v>
      </c>
      <c r="H164" s="38">
        <v>1</v>
      </c>
      <c r="I164" s="38">
        <v>650</v>
      </c>
      <c r="J164" s="38"/>
      <c r="K164" s="38"/>
      <c r="L164" s="38"/>
      <c r="M164" s="38"/>
    </row>
    <row r="165" spans="1:13" x14ac:dyDescent="0.2">
      <c r="A165" s="38" t="s">
        <v>1041</v>
      </c>
      <c r="B165" s="38" t="s">
        <v>1042</v>
      </c>
      <c r="C165" s="38">
        <v>97775332</v>
      </c>
      <c r="D165" s="38" t="s">
        <v>1040</v>
      </c>
      <c r="E165" s="38">
        <v>1</v>
      </c>
      <c r="F165" s="38">
        <v>650</v>
      </c>
      <c r="G165" s="38">
        <v>650</v>
      </c>
      <c r="H165" s="38">
        <v>1</v>
      </c>
      <c r="I165" s="38">
        <v>650</v>
      </c>
      <c r="J165" s="38"/>
      <c r="K165" s="38"/>
      <c r="L165" s="38"/>
      <c r="M165" s="38"/>
    </row>
    <row r="166" spans="1:13" x14ac:dyDescent="0.2">
      <c r="A166" s="38" t="s">
        <v>1043</v>
      </c>
      <c r="B166" s="38" t="s">
        <v>1044</v>
      </c>
      <c r="C166" s="38" t="s">
        <v>1045</v>
      </c>
      <c r="D166" s="38" t="s">
        <v>1046</v>
      </c>
      <c r="E166" s="38">
        <v>1</v>
      </c>
      <c r="F166" s="38">
        <v>16</v>
      </c>
      <c r="G166" s="38">
        <v>16</v>
      </c>
      <c r="H166" s="38">
        <v>24</v>
      </c>
      <c r="I166" s="38">
        <v>384</v>
      </c>
      <c r="J166" s="38"/>
      <c r="K166" s="38"/>
      <c r="L166" s="38"/>
      <c r="M166" s="38"/>
    </row>
    <row r="167" spans="1:13" x14ac:dyDescent="0.2">
      <c r="A167" s="38" t="s">
        <v>1047</v>
      </c>
      <c r="B167" s="38" t="s">
        <v>1044</v>
      </c>
      <c r="C167" s="38" t="s">
        <v>1045</v>
      </c>
      <c r="D167" s="38" t="s">
        <v>1046</v>
      </c>
      <c r="E167" s="38">
        <v>1</v>
      </c>
      <c r="F167" s="38">
        <v>16</v>
      </c>
      <c r="G167" s="38">
        <v>16</v>
      </c>
      <c r="H167" s="38">
        <v>24</v>
      </c>
      <c r="I167" s="38">
        <v>384</v>
      </c>
      <c r="J167" s="38"/>
      <c r="K167" s="38"/>
      <c r="L167" s="38"/>
      <c r="M167" s="38"/>
    </row>
    <row r="168" spans="1:13" x14ac:dyDescent="0.2">
      <c r="A168" s="38"/>
      <c r="B168" s="38"/>
      <c r="C168" s="38"/>
      <c r="D168" s="38"/>
      <c r="E168" s="38"/>
      <c r="F168" s="38"/>
      <c r="G168" s="38"/>
      <c r="H168" s="38"/>
      <c r="I168" s="38"/>
      <c r="J168" s="38"/>
      <c r="K168" s="38"/>
      <c r="L168" s="38"/>
      <c r="M168" s="38"/>
    </row>
    <row r="169" spans="1:13" x14ac:dyDescent="0.2">
      <c r="A169" s="38"/>
      <c r="B169" s="38"/>
      <c r="C169" s="38"/>
      <c r="D169" s="38"/>
      <c r="E169" s="38"/>
      <c r="F169" s="38" t="s">
        <v>1048</v>
      </c>
      <c r="G169" s="38">
        <v>32125</v>
      </c>
      <c r="H169" s="44" t="s">
        <v>1049</v>
      </c>
      <c r="I169" s="44">
        <v>252383</v>
      </c>
      <c r="J169" s="44"/>
      <c r="K169" s="44">
        <v>10.79</v>
      </c>
      <c r="L169" s="44">
        <v>7.34</v>
      </c>
      <c r="M169" s="38"/>
    </row>
    <row r="170" spans="1:13" x14ac:dyDescent="0.2">
      <c r="A170" s="38"/>
      <c r="B170" s="38"/>
      <c r="C170" s="38"/>
      <c r="D170" s="38"/>
      <c r="E170" s="38"/>
      <c r="F170" s="38" t="s">
        <v>1050</v>
      </c>
      <c r="G170" s="38">
        <v>32.125</v>
      </c>
      <c r="H170" s="44" t="s">
        <v>1051</v>
      </c>
      <c r="I170" s="44">
        <v>252.38300000000001</v>
      </c>
      <c r="J170" s="44"/>
      <c r="K170" s="44"/>
      <c r="L170" s="44"/>
      <c r="M170" s="38"/>
    </row>
    <row r="171" spans="1:13" x14ac:dyDescent="0.2">
      <c r="A171" s="38"/>
      <c r="B171" s="38"/>
      <c r="C171" s="38"/>
      <c r="D171" s="38"/>
      <c r="E171" s="38"/>
      <c r="F171" s="38"/>
      <c r="G171" s="38"/>
      <c r="H171" s="38" t="s">
        <v>1052</v>
      </c>
      <c r="I171" s="38">
        <f>(I170-(I147-I148))/1000</f>
        <v>102.652383</v>
      </c>
      <c r="J171" s="44"/>
      <c r="K171" s="38"/>
      <c r="L171" s="38"/>
      <c r="M171" s="38"/>
    </row>
    <row r="172" spans="1:13" x14ac:dyDescent="0.2">
      <c r="A172" s="38"/>
      <c r="B172" s="38"/>
      <c r="C172" s="38"/>
      <c r="D172" s="38"/>
      <c r="E172" s="38"/>
      <c r="F172" s="38"/>
      <c r="G172" s="38"/>
      <c r="H172" s="38"/>
      <c r="I172" s="38"/>
      <c r="J172" s="44"/>
      <c r="K172" s="38"/>
      <c r="L172" s="38"/>
      <c r="M172" s="38"/>
    </row>
  </sheetData>
  <autoFilter ref="A7:Z64" xr:uid="{294F1981-EF3B-ED49-B4C9-0F3090CA4658}">
    <sortState xmlns:xlrd2="http://schemas.microsoft.com/office/spreadsheetml/2017/richdata2" ref="A8:Z64">
      <sortCondition ref="A7:A64"/>
    </sortState>
  </autoFilter>
  <sortState xmlns:xlrd2="http://schemas.microsoft.com/office/spreadsheetml/2017/richdata2" ref="A8:V64">
    <sortCondition ref="A8:A64"/>
  </sortState>
  <mergeCells count="2">
    <mergeCell ref="J6:O6"/>
    <mergeCell ref="A131:A136"/>
  </mergeCells>
  <phoneticPr fontId="33" type="noConversion"/>
  <hyperlinks>
    <hyperlink ref="W83" r:id="rId1" xr:uid="{6951BE87-0DEE-2D41-B852-49720AF62F95}"/>
    <hyperlink ref="W80" r:id="rId2" xr:uid="{2C271945-9AF5-9B49-9AAA-CA44B011A012}"/>
    <hyperlink ref="W82" r:id="rId3" xr:uid="{27E4547F-128A-8141-90C9-670D3F1858AE}"/>
    <hyperlink ref="W84" r:id="rId4" xr:uid="{4FFC2F02-4DE8-204B-AB31-C1A2A3BC9ED4}"/>
    <hyperlink ref="W87" r:id="rId5" xr:uid="{65954815-8090-C541-98FE-2E18E48508DF}"/>
    <hyperlink ref="W89" r:id="rId6" xr:uid="{A7ED3F9C-CCBB-8143-A5DC-813FAE230D1F}"/>
    <hyperlink ref="W90" r:id="rId7" xr:uid="{D0AA62EC-0F9B-044D-8193-4747E852C91C}"/>
    <hyperlink ref="W94" r:id="rId8" xr:uid="{5308E1AC-7785-B246-8A5C-2210C5F9555A}"/>
    <hyperlink ref="W99" r:id="rId9" xr:uid="{BCD09910-93FA-AC4B-B269-37418DC2EDFA}"/>
    <hyperlink ref="J67" r:id="rId10" xr:uid="{4E92167C-2CB9-FE45-9D62-4B86B9AD7652}"/>
    <hyperlink ref="J69" r:id="rId11" xr:uid="{994EF342-B1C2-424D-A965-8684B5072B5E}"/>
    <hyperlink ref="J70" r:id="rId12" xr:uid="{2DF0013D-89B2-6E42-9C75-70E547890B28}"/>
    <hyperlink ref="L126" r:id="rId13" xr:uid="{7DA255E5-BBAA-7E48-84AF-DFFBE4512BAE}"/>
    <hyperlink ref="D147" r:id="rId14" xr:uid="{9276DCE4-2897-0E45-A973-799B5979850D}"/>
    <hyperlink ref="D149" r:id="rId15" xr:uid="{EF992754-456F-3646-A673-79ADFA0B492F}"/>
    <hyperlink ref="D150" r:id="rId16" xr:uid="{EFBAD916-9EF5-754B-B161-C363FDC2A808}"/>
    <hyperlink ref="D151" r:id="rId17" xr:uid="{675604DF-0EDA-FF4C-AC39-4E292A75C6D7}"/>
    <hyperlink ref="D152" r:id="rId18" display="http://www.jecod.com/" xr:uid="{C375E64F-9794-5F4B-9852-33551C4ED66A}"/>
    <hyperlink ref="D153" r:id="rId19" display="http://www.jecod.com/" xr:uid="{4C69BB18-31BB-0941-BE7E-F6A987DE65CB}"/>
    <hyperlink ref="D154" r:id="rId20" display="http://www.jecod.com/" xr:uid="{2C1312E7-8985-FF41-BA00-E9E09C2BFDD6}"/>
    <hyperlink ref="D155" r:id="rId21" display="http://www.jecod.com/" xr:uid="{859AC2F3-73AF-F54E-A90E-DAEFF067DFBA}"/>
    <hyperlink ref="D160" r:id="rId22" display="http://www.bflc.com.cn/" xr:uid="{A13B02F1-BBA7-4044-BF18-328982FB3377}"/>
    <hyperlink ref="D161" r:id="rId23" xr:uid="{07285233-17AB-DD4B-BCB6-0E847EAB4FBC}"/>
    <hyperlink ref="D162" r:id="rId24" xr:uid="{2B9A57BE-D56F-8141-9D36-83FA2FC19AC4}"/>
    <hyperlink ref="D163" r:id="rId25" xr:uid="{242BC5FE-5520-4842-AF11-56A76192672D}"/>
    <hyperlink ref="J68" r:id="rId26" xr:uid="{FFCCF47B-D00D-0247-B88F-86B731B1E6F1}"/>
    <hyperlink ref="J75" r:id="rId27" xr:uid="{7956F2A3-30AD-544F-ABA6-F8D9EAF6B0B2}"/>
    <hyperlink ref="J73" r:id="rId28" xr:uid="{6EF6B8DE-98BF-2E47-9A26-B11AD068BB4D}"/>
    <hyperlink ref="W98" r:id="rId29" xr:uid="{A47C6449-8247-2446-8B24-D7BA9D9D4EEF}"/>
    <hyperlink ref="W97" r:id="rId30" xr:uid="{5B3B389F-480E-3343-8B46-3F4CB9EA2DAF}"/>
    <hyperlink ref="J72" r:id="rId31" xr:uid="{E7D3C99E-4842-9046-84BA-9225003C77F7}"/>
    <hyperlink ref="J71" r:id="rId32" xr:uid="{B428DDE2-A642-AE48-97FC-D947F361CE97}"/>
    <hyperlink ref="J74" r:id="rId33" xr:uid="{F1852188-9572-CF46-BC58-A88F035F6762}"/>
    <hyperlink ref="W81" r:id="rId34" xr:uid="{FC5523AC-C232-1645-9643-B18B255A7629}"/>
    <hyperlink ref="W86" r:id="rId35" xr:uid="{0CE264FD-9120-7344-8655-A695D91E22A7}"/>
    <hyperlink ref="W85" r:id="rId36" xr:uid="{BB03E59E-7713-C84D-8230-EDBD4B2BC0F0}"/>
    <hyperlink ref="W88" r:id="rId37" xr:uid="{9CC21C21-9493-6C46-A62E-8AA421EF6524}"/>
    <hyperlink ref="W93" r:id="rId38" xr:uid="{947E584E-E5D5-8E4C-AF99-39F62D9B5423}"/>
    <hyperlink ref="W92" r:id="rId39" xr:uid="{B70BCF4A-25F4-5748-BCC1-4C9EA6C779AE}"/>
    <hyperlink ref="W91" r:id="rId40" xr:uid="{B7937EBF-1953-6A4D-9327-F847A83718B8}"/>
    <hyperlink ref="W96" r:id="rId41" xr:uid="{5A4D0E22-AAB9-DB44-BE42-FAA2114E755F}"/>
    <hyperlink ref="W95" r:id="rId42" xr:uid="{EA8C5E19-E5DD-564F-BB07-F748436CFB83}"/>
  </hyperlinks>
  <pageMargins left="0.7" right="0.7" top="0.75" bottom="0.75" header="0.3" footer="0.3"/>
  <pageSetup paperSize="9" orientation="portrait" horizontalDpi="0" verticalDpi="0"/>
  <drawing r:id="rId43"/>
  <legacyDrawing r:id="rId4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B76A1-68CD-2D4F-A7FB-6307FD1A118D}">
  <dimension ref="A1:N87"/>
  <sheetViews>
    <sheetView zoomScale="120" zoomScaleNormal="120" workbookViewId="0">
      <selection activeCell="H45" sqref="H45"/>
    </sheetView>
  </sheetViews>
  <sheetFormatPr baseColWidth="10" defaultRowHeight="13" x14ac:dyDescent="0.15"/>
  <cols>
    <col min="1" max="1" width="11.5" customWidth="1"/>
    <col min="2" max="2" width="30" bestFit="1" customWidth="1"/>
    <col min="3" max="3" width="56.33203125" customWidth="1"/>
    <col min="4" max="4" width="12.5" bestFit="1" customWidth="1"/>
    <col min="5" max="5" width="16.33203125" bestFit="1" customWidth="1"/>
    <col min="6" max="6" width="12.6640625" bestFit="1" customWidth="1"/>
    <col min="7" max="7" width="17.1640625" bestFit="1" customWidth="1"/>
    <col min="8" max="8" width="43.33203125" bestFit="1" customWidth="1"/>
    <col min="9" max="9" width="10.6640625" bestFit="1" customWidth="1"/>
    <col min="10" max="10" width="26.6640625" bestFit="1" customWidth="1"/>
    <col min="11" max="11" width="19.83203125" bestFit="1" customWidth="1"/>
    <col min="12" max="12" width="15.33203125" bestFit="1" customWidth="1"/>
  </cols>
  <sheetData>
    <row r="1" spans="1:14" ht="17" customHeight="1" x14ac:dyDescent="0.2">
      <c r="A1" s="154" t="s">
        <v>834</v>
      </c>
      <c r="B1" s="324">
        <v>43910</v>
      </c>
      <c r="C1" s="435" t="s">
        <v>818</v>
      </c>
      <c r="D1" s="435"/>
      <c r="E1" s="435"/>
      <c r="F1" s="432" t="s">
        <v>819</v>
      </c>
      <c r="G1" s="432"/>
      <c r="H1" s="432"/>
      <c r="I1" s="433" t="s">
        <v>820</v>
      </c>
      <c r="J1" s="433"/>
      <c r="K1" s="434" t="s">
        <v>821</v>
      </c>
      <c r="L1" s="434"/>
    </row>
    <row r="2" spans="1:14" ht="16" x14ac:dyDescent="0.2">
      <c r="A2" s="154" t="s">
        <v>822</v>
      </c>
      <c r="B2" s="187" t="s">
        <v>823</v>
      </c>
      <c r="C2" s="187" t="s">
        <v>824</v>
      </c>
      <c r="D2" s="187" t="s">
        <v>825</v>
      </c>
      <c r="E2" s="187" t="s">
        <v>826</v>
      </c>
      <c r="F2" s="187" t="s">
        <v>827</v>
      </c>
      <c r="G2" s="187" t="s">
        <v>828</v>
      </c>
      <c r="H2" s="187" t="s">
        <v>835</v>
      </c>
      <c r="I2" s="187" t="s">
        <v>829</v>
      </c>
      <c r="J2" s="187" t="s">
        <v>830</v>
      </c>
      <c r="K2" s="187" t="s">
        <v>831</v>
      </c>
      <c r="L2" s="187" t="s">
        <v>836</v>
      </c>
      <c r="M2" s="44"/>
      <c r="N2" s="44"/>
    </row>
    <row r="3" spans="1:14" ht="16" x14ac:dyDescent="0.2">
      <c r="A3" s="325">
        <v>1</v>
      </c>
      <c r="B3" s="325"/>
      <c r="C3" s="326" t="s">
        <v>840</v>
      </c>
      <c r="D3" s="326"/>
      <c r="E3" s="325"/>
      <c r="F3" s="325"/>
      <c r="G3" s="325"/>
      <c r="H3" s="325"/>
      <c r="I3" s="325"/>
      <c r="J3" s="325"/>
      <c r="K3" s="325"/>
      <c r="L3" s="325"/>
      <c r="M3" s="38"/>
      <c r="N3" s="38"/>
    </row>
    <row r="4" spans="1:14" ht="16" x14ac:dyDescent="0.2">
      <c r="A4" s="154">
        <v>1.1000000000000001</v>
      </c>
      <c r="B4" s="327" t="s">
        <v>852</v>
      </c>
      <c r="C4" s="327" t="s">
        <v>861</v>
      </c>
      <c r="D4" s="327">
        <v>2</v>
      </c>
      <c r="E4" s="327">
        <v>2</v>
      </c>
      <c r="F4" s="328"/>
      <c r="G4" s="328"/>
      <c r="H4" s="329" t="s">
        <v>870</v>
      </c>
      <c r="I4" s="330"/>
      <c r="J4" s="330"/>
      <c r="K4" s="154">
        <f>D4*E4</f>
        <v>4</v>
      </c>
      <c r="L4" s="154">
        <f>J4*D4</f>
        <v>0</v>
      </c>
      <c r="M4" s="38"/>
      <c r="N4" s="38"/>
    </row>
    <row r="5" spans="1:14" ht="16" x14ac:dyDescent="0.2">
      <c r="A5" s="154">
        <v>1.2</v>
      </c>
      <c r="B5" s="327"/>
      <c r="C5" s="327"/>
      <c r="D5" s="327"/>
      <c r="E5" s="327"/>
      <c r="F5" s="328"/>
      <c r="G5" s="328"/>
      <c r="H5" s="328"/>
      <c r="I5" s="330"/>
      <c r="J5" s="330"/>
      <c r="K5" s="154">
        <f>D5*E5</f>
        <v>0</v>
      </c>
      <c r="L5" s="154">
        <f>J5*D5</f>
        <v>0</v>
      </c>
      <c r="M5" s="38"/>
      <c r="N5" s="38"/>
    </row>
    <row r="6" spans="1:14" ht="16" x14ac:dyDescent="0.2">
      <c r="A6" s="325">
        <v>2</v>
      </c>
      <c r="B6" s="325"/>
      <c r="C6" s="326" t="s">
        <v>842</v>
      </c>
      <c r="D6" s="325"/>
      <c r="E6" s="325"/>
      <c r="F6" s="325"/>
      <c r="G6" s="325"/>
      <c r="H6" s="325"/>
      <c r="I6" s="325"/>
      <c r="J6" s="325"/>
      <c r="K6" s="325"/>
      <c r="L6" s="325"/>
      <c r="M6" s="38"/>
      <c r="N6" s="38"/>
    </row>
    <row r="7" spans="1:14" ht="16" x14ac:dyDescent="0.2">
      <c r="A7" s="154">
        <v>2.1</v>
      </c>
      <c r="B7" s="327" t="s">
        <v>847</v>
      </c>
      <c r="C7" s="327" t="s">
        <v>858</v>
      </c>
      <c r="D7" s="327">
        <v>3</v>
      </c>
      <c r="E7" s="327">
        <v>1</v>
      </c>
      <c r="F7" s="328"/>
      <c r="G7" s="328"/>
      <c r="H7" s="328" t="s">
        <v>862</v>
      </c>
      <c r="I7" s="330"/>
      <c r="J7" s="330"/>
      <c r="K7" s="154">
        <f>D7*E7</f>
        <v>3</v>
      </c>
      <c r="L7" s="154">
        <f t="shared" ref="L7:L22" si="0">J7*D7</f>
        <v>0</v>
      </c>
      <c r="M7" s="38"/>
      <c r="N7" s="38"/>
    </row>
    <row r="8" spans="1:14" ht="16" x14ac:dyDescent="0.2">
      <c r="A8" s="154">
        <v>2.2000000000000002</v>
      </c>
      <c r="B8" s="327" t="s">
        <v>853</v>
      </c>
      <c r="C8" s="327" t="s">
        <v>859</v>
      </c>
      <c r="D8" s="327">
        <v>1</v>
      </c>
      <c r="E8" s="327">
        <v>2</v>
      </c>
      <c r="F8" s="328"/>
      <c r="G8" s="328"/>
      <c r="H8" s="328" t="s">
        <v>863</v>
      </c>
      <c r="I8" s="330"/>
      <c r="J8" s="330"/>
      <c r="K8" s="154">
        <f t="shared" ref="K8:K22" si="1">D8*E8</f>
        <v>2</v>
      </c>
      <c r="L8" s="154">
        <f t="shared" si="0"/>
        <v>0</v>
      </c>
      <c r="M8" s="38"/>
      <c r="N8" s="38"/>
    </row>
    <row r="9" spans="1:14" ht="16" x14ac:dyDescent="0.2">
      <c r="A9" s="154">
        <v>2.2999999999999998</v>
      </c>
      <c r="B9" s="327" t="s">
        <v>854</v>
      </c>
      <c r="C9" s="327" t="s">
        <v>860</v>
      </c>
      <c r="D9" s="327">
        <v>4</v>
      </c>
      <c r="E9" s="327">
        <v>1</v>
      </c>
      <c r="F9" s="328"/>
      <c r="G9" s="328"/>
      <c r="H9" s="328" t="s">
        <v>864</v>
      </c>
      <c r="I9" s="330"/>
      <c r="J9" s="330"/>
      <c r="K9" s="154">
        <f t="shared" si="1"/>
        <v>4</v>
      </c>
      <c r="L9" s="154">
        <f t="shared" si="0"/>
        <v>0</v>
      </c>
      <c r="M9" s="38"/>
      <c r="N9" s="38"/>
    </row>
    <row r="10" spans="1:14" ht="16" x14ac:dyDescent="0.2">
      <c r="A10" s="325">
        <v>3</v>
      </c>
      <c r="B10" s="325"/>
      <c r="C10" s="326" t="s">
        <v>839</v>
      </c>
      <c r="D10" s="325"/>
      <c r="E10" s="325"/>
      <c r="F10" s="325"/>
      <c r="G10" s="325"/>
      <c r="H10" s="325"/>
      <c r="I10" s="325"/>
      <c r="J10" s="325"/>
      <c r="K10" s="325"/>
      <c r="L10" s="325"/>
      <c r="M10" s="38"/>
      <c r="N10" s="38"/>
    </row>
    <row r="11" spans="1:14" ht="16" x14ac:dyDescent="0.2">
      <c r="A11" s="154">
        <v>3.1</v>
      </c>
      <c r="B11" s="327" t="s">
        <v>843</v>
      </c>
      <c r="C11" s="327" t="s">
        <v>857</v>
      </c>
      <c r="D11" s="327">
        <v>2</v>
      </c>
      <c r="E11" s="327">
        <v>1</v>
      </c>
      <c r="F11" s="328"/>
      <c r="G11" s="328"/>
      <c r="H11" s="328" t="s">
        <v>865</v>
      </c>
      <c r="I11" s="330"/>
      <c r="J11" s="330"/>
      <c r="K11" s="154">
        <f t="shared" si="1"/>
        <v>2</v>
      </c>
      <c r="L11" s="154">
        <f t="shared" si="0"/>
        <v>0</v>
      </c>
      <c r="M11" s="38"/>
      <c r="N11" s="38"/>
    </row>
    <row r="12" spans="1:14" ht="16" x14ac:dyDescent="0.2">
      <c r="A12" s="154">
        <v>3.2</v>
      </c>
      <c r="B12" s="327" t="s">
        <v>832</v>
      </c>
      <c r="C12" s="327" t="s">
        <v>856</v>
      </c>
      <c r="D12" s="327">
        <v>2</v>
      </c>
      <c r="E12" s="327">
        <v>2</v>
      </c>
      <c r="F12" s="328"/>
      <c r="G12" s="328"/>
      <c r="H12" s="328" t="s">
        <v>865</v>
      </c>
      <c r="I12" s="330"/>
      <c r="J12" s="330"/>
      <c r="K12" s="154">
        <f t="shared" si="1"/>
        <v>4</v>
      </c>
      <c r="L12" s="154">
        <f t="shared" si="0"/>
        <v>0</v>
      </c>
      <c r="M12" s="38"/>
      <c r="N12" s="38"/>
    </row>
    <row r="13" spans="1:14" ht="16" x14ac:dyDescent="0.2">
      <c r="A13" s="325">
        <v>4</v>
      </c>
      <c r="B13" s="325"/>
      <c r="C13" s="326" t="s">
        <v>838</v>
      </c>
      <c r="D13" s="325"/>
      <c r="E13" s="325"/>
      <c r="F13" s="325"/>
      <c r="G13" s="325"/>
      <c r="H13" s="325"/>
      <c r="I13" s="325"/>
      <c r="J13" s="325"/>
      <c r="K13" s="325"/>
      <c r="L13" s="325"/>
      <c r="M13" s="38"/>
      <c r="N13" s="38"/>
    </row>
    <row r="14" spans="1:14" ht="16" x14ac:dyDescent="0.2">
      <c r="A14" s="154">
        <v>4.0999999999999996</v>
      </c>
      <c r="B14" s="327"/>
      <c r="C14" s="327"/>
      <c r="D14" s="327"/>
      <c r="E14" s="327"/>
      <c r="F14" s="328"/>
      <c r="G14" s="328"/>
      <c r="H14" s="328"/>
      <c r="I14" s="330"/>
      <c r="J14" s="330"/>
      <c r="K14" s="154">
        <f t="shared" si="1"/>
        <v>0</v>
      </c>
      <c r="L14" s="154">
        <f t="shared" si="0"/>
        <v>0</v>
      </c>
      <c r="M14" s="38"/>
      <c r="N14" s="38"/>
    </row>
    <row r="15" spans="1:14" ht="16" x14ac:dyDescent="0.2">
      <c r="A15" s="325">
        <v>5</v>
      </c>
      <c r="B15" s="325"/>
      <c r="C15" s="326" t="s">
        <v>833</v>
      </c>
      <c r="D15" s="325"/>
      <c r="E15" s="325"/>
      <c r="F15" s="325"/>
      <c r="G15" s="325"/>
      <c r="H15" s="325"/>
      <c r="I15" s="325"/>
      <c r="J15" s="325"/>
      <c r="K15" s="325"/>
      <c r="L15" s="325"/>
      <c r="M15" s="38"/>
      <c r="N15" s="38"/>
    </row>
    <row r="16" spans="1:14" ht="16" x14ac:dyDescent="0.2">
      <c r="A16" s="154">
        <v>5.0999999999999996</v>
      </c>
      <c r="B16" s="327" t="s">
        <v>846</v>
      </c>
      <c r="C16" s="327" t="s">
        <v>848</v>
      </c>
      <c r="D16" s="331">
        <v>2</v>
      </c>
      <c r="E16" s="327">
        <v>2</v>
      </c>
      <c r="F16" s="328"/>
      <c r="G16" s="328"/>
      <c r="H16" s="328" t="s">
        <v>867</v>
      </c>
      <c r="I16" s="330"/>
      <c r="J16" s="330"/>
      <c r="K16" s="154">
        <f t="shared" si="1"/>
        <v>4</v>
      </c>
      <c r="L16" s="154">
        <f t="shared" si="0"/>
        <v>0</v>
      </c>
      <c r="M16" s="38"/>
      <c r="N16" s="38"/>
    </row>
    <row r="17" spans="1:14" s="213" customFormat="1" ht="16" x14ac:dyDescent="0.2">
      <c r="A17" s="154">
        <v>5.2</v>
      </c>
      <c r="B17" s="327" t="s">
        <v>849</v>
      </c>
      <c r="C17" s="327" t="s">
        <v>850</v>
      </c>
      <c r="D17" s="331">
        <v>2</v>
      </c>
      <c r="E17" s="327">
        <v>1</v>
      </c>
      <c r="F17" s="328"/>
      <c r="G17" s="328"/>
      <c r="H17" s="328" t="s">
        <v>866</v>
      </c>
      <c r="I17" s="330"/>
      <c r="J17" s="330"/>
      <c r="K17" s="154">
        <f t="shared" si="1"/>
        <v>2</v>
      </c>
      <c r="L17" s="154">
        <f t="shared" si="0"/>
        <v>0</v>
      </c>
      <c r="M17" s="38"/>
      <c r="N17" s="38"/>
    </row>
    <row r="18" spans="1:14" ht="16" x14ac:dyDescent="0.2">
      <c r="A18" s="325">
        <v>6</v>
      </c>
      <c r="B18" s="325"/>
      <c r="C18" s="326" t="s">
        <v>837</v>
      </c>
      <c r="D18" s="325"/>
      <c r="E18" s="325"/>
      <c r="F18" s="325"/>
      <c r="G18" s="325"/>
      <c r="H18" s="325"/>
      <c r="I18" s="325"/>
      <c r="J18" s="325"/>
      <c r="K18" s="325"/>
      <c r="L18" s="325"/>
      <c r="M18" s="38"/>
      <c r="N18" s="38"/>
    </row>
    <row r="19" spans="1:14" ht="16" x14ac:dyDescent="0.2">
      <c r="A19" s="154">
        <v>6.1</v>
      </c>
      <c r="B19" s="327" t="s">
        <v>844</v>
      </c>
      <c r="C19" s="327" t="s">
        <v>845</v>
      </c>
      <c r="D19" s="327">
        <v>3</v>
      </c>
      <c r="E19" s="327">
        <v>2</v>
      </c>
      <c r="F19" s="328"/>
      <c r="G19" s="328"/>
      <c r="H19" s="328" t="s">
        <v>868</v>
      </c>
      <c r="I19" s="330"/>
      <c r="J19" s="330"/>
      <c r="K19" s="154">
        <f t="shared" si="1"/>
        <v>6</v>
      </c>
      <c r="L19" s="154">
        <f t="shared" si="0"/>
        <v>0</v>
      </c>
      <c r="M19" s="38"/>
      <c r="N19" s="38"/>
    </row>
    <row r="20" spans="1:14" ht="16" x14ac:dyDescent="0.2">
      <c r="A20" s="325">
        <v>7</v>
      </c>
      <c r="B20" s="325"/>
      <c r="C20" s="326" t="s">
        <v>841</v>
      </c>
      <c r="D20" s="325"/>
      <c r="E20" s="325"/>
      <c r="F20" s="325"/>
      <c r="G20" s="325"/>
      <c r="H20" s="325"/>
      <c r="I20" s="325"/>
      <c r="J20" s="325"/>
      <c r="K20" s="325"/>
      <c r="L20" s="325"/>
      <c r="M20" s="38"/>
      <c r="N20" s="38"/>
    </row>
    <row r="21" spans="1:14" ht="16" x14ac:dyDescent="0.2">
      <c r="A21" s="154">
        <v>7.1</v>
      </c>
      <c r="B21" s="327" t="s">
        <v>851</v>
      </c>
      <c r="C21" s="327" t="s">
        <v>855</v>
      </c>
      <c r="D21" s="327">
        <v>4</v>
      </c>
      <c r="E21" s="327">
        <v>1</v>
      </c>
      <c r="F21" s="328"/>
      <c r="G21" s="328"/>
      <c r="H21" s="328" t="s">
        <v>869</v>
      </c>
      <c r="I21" s="330"/>
      <c r="J21" s="330"/>
      <c r="K21" s="154">
        <f t="shared" si="1"/>
        <v>4</v>
      </c>
      <c r="L21" s="154">
        <f t="shared" si="0"/>
        <v>0</v>
      </c>
      <c r="M21" s="38"/>
      <c r="N21" s="38"/>
    </row>
    <row r="22" spans="1:14" ht="16" x14ac:dyDescent="0.2">
      <c r="A22" s="154">
        <v>7.2</v>
      </c>
      <c r="B22" s="327"/>
      <c r="C22" s="327"/>
      <c r="D22" s="327"/>
      <c r="E22" s="327"/>
      <c r="F22" s="328"/>
      <c r="G22" s="328"/>
      <c r="H22" s="328"/>
      <c r="I22" s="330"/>
      <c r="J22" s="330"/>
      <c r="K22" s="154">
        <f t="shared" si="1"/>
        <v>0</v>
      </c>
      <c r="L22" s="154">
        <f t="shared" si="0"/>
        <v>0</v>
      </c>
      <c r="M22" s="38"/>
      <c r="N22" s="38"/>
    </row>
    <row r="23" spans="1:14" x14ac:dyDescent="0.15">
      <c r="B23" s="38"/>
      <c r="C23" s="38"/>
      <c r="D23" s="38"/>
      <c r="E23" s="38"/>
      <c r="F23" s="38"/>
      <c r="G23" s="38"/>
      <c r="H23" s="38"/>
      <c r="I23" s="38"/>
      <c r="J23" s="38"/>
      <c r="K23" s="38"/>
      <c r="L23" s="38"/>
      <c r="M23" s="38"/>
      <c r="N23" s="38"/>
    </row>
    <row r="24" spans="1:14" x14ac:dyDescent="0.15">
      <c r="B24" s="38"/>
      <c r="C24" s="38"/>
      <c r="D24" s="38"/>
      <c r="E24" s="38"/>
      <c r="F24" s="38"/>
      <c r="G24" s="38"/>
      <c r="H24" s="38"/>
      <c r="I24" s="38"/>
      <c r="J24" s="38"/>
      <c r="K24" s="38"/>
      <c r="L24" s="38"/>
      <c r="M24" s="38"/>
      <c r="N24" s="38"/>
    </row>
    <row r="25" spans="1:14" ht="16" x14ac:dyDescent="0.2">
      <c r="A25" s="154"/>
      <c r="B25" s="324"/>
      <c r="C25" s="435" t="s">
        <v>818</v>
      </c>
      <c r="D25" s="435"/>
      <c r="E25" s="435"/>
      <c r="F25" s="432" t="s">
        <v>819</v>
      </c>
      <c r="G25" s="432"/>
      <c r="H25" s="432"/>
      <c r="I25" s="38"/>
      <c r="J25" s="38"/>
      <c r="K25" s="38"/>
      <c r="L25" s="38"/>
      <c r="M25" s="38"/>
      <c r="N25" s="38"/>
    </row>
    <row r="26" spans="1:14" ht="16" x14ac:dyDescent="0.2">
      <c r="A26" s="154" t="s">
        <v>871</v>
      </c>
      <c r="B26" s="187" t="s">
        <v>872</v>
      </c>
      <c r="C26" s="187" t="s">
        <v>873</v>
      </c>
      <c r="D26" s="187" t="s">
        <v>825</v>
      </c>
      <c r="E26" s="187" t="s">
        <v>826</v>
      </c>
      <c r="F26" s="187" t="s">
        <v>827</v>
      </c>
      <c r="G26" s="187" t="s">
        <v>828</v>
      </c>
      <c r="H26" s="187" t="s">
        <v>835</v>
      </c>
      <c r="I26" s="38"/>
      <c r="J26" s="38"/>
      <c r="K26" s="38"/>
      <c r="L26" s="38"/>
      <c r="M26" s="38"/>
      <c r="N26" s="38"/>
    </row>
    <row r="27" spans="1:14" ht="16" x14ac:dyDescent="0.2">
      <c r="A27" s="325">
        <v>1</v>
      </c>
      <c r="B27" s="325"/>
      <c r="C27" s="326" t="s">
        <v>840</v>
      </c>
      <c r="D27" s="326"/>
      <c r="E27" s="325"/>
      <c r="F27" s="325"/>
      <c r="G27" s="325"/>
      <c r="H27" s="325"/>
      <c r="I27" s="38"/>
      <c r="J27" s="38"/>
      <c r="K27" s="38"/>
      <c r="L27" s="38"/>
      <c r="M27" s="38"/>
      <c r="N27" s="38"/>
    </row>
    <row r="28" spans="1:14" ht="16" x14ac:dyDescent="0.2">
      <c r="A28" s="154">
        <v>1.1000000000000001</v>
      </c>
      <c r="B28" s="327"/>
      <c r="C28" s="327"/>
      <c r="D28" s="327"/>
      <c r="E28" s="327"/>
      <c r="F28" s="328"/>
      <c r="G28" s="328"/>
      <c r="H28" s="329"/>
      <c r="I28" s="38"/>
      <c r="J28" s="38"/>
      <c r="K28" s="38"/>
      <c r="L28" s="38"/>
      <c r="M28" s="38"/>
      <c r="N28" s="38"/>
    </row>
    <row r="29" spans="1:14" ht="16" x14ac:dyDescent="0.2">
      <c r="A29" s="154">
        <v>1.2</v>
      </c>
      <c r="B29" s="327"/>
      <c r="C29" s="327"/>
      <c r="D29" s="327"/>
      <c r="E29" s="327"/>
      <c r="F29" s="328"/>
      <c r="G29" s="328"/>
      <c r="H29" s="328"/>
      <c r="I29" s="38"/>
      <c r="J29" s="38"/>
      <c r="K29" s="38"/>
      <c r="L29" s="38"/>
      <c r="M29" s="38"/>
      <c r="N29" s="38"/>
    </row>
    <row r="30" spans="1:14" ht="16" x14ac:dyDescent="0.2">
      <c r="A30" s="325">
        <v>2</v>
      </c>
      <c r="B30" s="325"/>
      <c r="C30" s="326" t="s">
        <v>842</v>
      </c>
      <c r="D30" s="325"/>
      <c r="E30" s="325"/>
      <c r="F30" s="325"/>
      <c r="G30" s="325"/>
      <c r="H30" s="325"/>
      <c r="I30" s="38"/>
      <c r="J30" s="38"/>
      <c r="K30" s="38"/>
      <c r="L30" s="38"/>
      <c r="M30" s="38"/>
      <c r="N30" s="38"/>
    </row>
    <row r="31" spans="1:14" ht="16" x14ac:dyDescent="0.2">
      <c r="A31" s="154">
        <v>2.1</v>
      </c>
      <c r="B31" s="327"/>
      <c r="C31" s="327"/>
      <c r="D31" s="327"/>
      <c r="E31" s="327"/>
      <c r="F31" s="328"/>
      <c r="G31" s="328"/>
      <c r="H31" s="328"/>
      <c r="I31" s="38"/>
      <c r="J31" s="38"/>
      <c r="K31" s="38"/>
      <c r="L31" s="38"/>
      <c r="M31" s="38"/>
      <c r="N31" s="38"/>
    </row>
    <row r="32" spans="1:14" ht="16" x14ac:dyDescent="0.2">
      <c r="A32" s="154">
        <v>2.2000000000000002</v>
      </c>
      <c r="B32" s="327"/>
      <c r="C32" s="327"/>
      <c r="D32" s="327"/>
      <c r="E32" s="327"/>
      <c r="F32" s="328"/>
      <c r="G32" s="328"/>
      <c r="H32" s="328"/>
      <c r="I32" s="38"/>
      <c r="J32" s="38"/>
      <c r="K32" s="38"/>
      <c r="L32" s="38"/>
      <c r="M32" s="38"/>
      <c r="N32" s="38"/>
    </row>
    <row r="33" spans="1:14" ht="16" x14ac:dyDescent="0.2">
      <c r="A33" s="154">
        <v>2.2999999999999998</v>
      </c>
      <c r="B33" s="327"/>
      <c r="C33" s="327"/>
      <c r="D33" s="327"/>
      <c r="E33" s="327"/>
      <c r="F33" s="328"/>
      <c r="G33" s="328"/>
      <c r="H33" s="328"/>
      <c r="I33" s="38"/>
      <c r="J33" s="38"/>
      <c r="K33" s="38"/>
      <c r="L33" s="38"/>
      <c r="M33" s="38"/>
      <c r="N33" s="38"/>
    </row>
    <row r="34" spans="1:14" ht="16" x14ac:dyDescent="0.2">
      <c r="A34" s="325">
        <v>3</v>
      </c>
      <c r="B34" s="325"/>
      <c r="C34" s="326" t="s">
        <v>839</v>
      </c>
      <c r="D34" s="325"/>
      <c r="E34" s="325"/>
      <c r="F34" s="325"/>
      <c r="G34" s="325"/>
      <c r="H34" s="325"/>
      <c r="I34" s="38"/>
      <c r="J34" s="38"/>
      <c r="K34" s="38"/>
      <c r="L34" s="323"/>
      <c r="M34" s="38"/>
      <c r="N34" s="38"/>
    </row>
    <row r="35" spans="1:14" ht="16" x14ac:dyDescent="0.2">
      <c r="A35" s="154">
        <v>3.1</v>
      </c>
      <c r="B35" s="327"/>
      <c r="C35" s="327"/>
      <c r="D35" s="327"/>
      <c r="E35" s="327"/>
      <c r="F35" s="328"/>
      <c r="G35" s="328"/>
      <c r="H35" s="328"/>
      <c r="I35" s="38"/>
      <c r="J35" s="38"/>
      <c r="K35" s="38"/>
      <c r="L35" s="38"/>
      <c r="M35" s="38"/>
      <c r="N35" s="38"/>
    </row>
    <row r="36" spans="1:14" ht="16" x14ac:dyDescent="0.2">
      <c r="A36" s="154">
        <v>3.2</v>
      </c>
      <c r="B36" s="327"/>
      <c r="C36" s="327"/>
      <c r="D36" s="327"/>
      <c r="E36" s="327"/>
      <c r="F36" s="328"/>
      <c r="G36" s="328"/>
      <c r="H36" s="328"/>
      <c r="I36" s="38"/>
      <c r="J36" s="38"/>
      <c r="K36" s="38"/>
      <c r="L36" s="38"/>
      <c r="M36" s="38"/>
      <c r="N36" s="38"/>
    </row>
    <row r="37" spans="1:14" ht="16" x14ac:dyDescent="0.2">
      <c r="A37" s="325">
        <v>4</v>
      </c>
      <c r="B37" s="325"/>
      <c r="C37" s="326" t="s">
        <v>838</v>
      </c>
      <c r="D37" s="325"/>
      <c r="E37" s="325"/>
      <c r="F37" s="325"/>
      <c r="G37" s="325"/>
      <c r="H37" s="325"/>
      <c r="I37" s="38"/>
      <c r="J37" s="38"/>
      <c r="K37" s="38"/>
      <c r="L37" s="38"/>
      <c r="M37" s="38"/>
      <c r="N37" s="38"/>
    </row>
    <row r="38" spans="1:14" ht="16" x14ac:dyDescent="0.2">
      <c r="A38" s="154">
        <v>4.0999999999999996</v>
      </c>
      <c r="B38" s="327"/>
      <c r="C38" s="327"/>
      <c r="D38" s="327"/>
      <c r="E38" s="327"/>
      <c r="F38" s="328"/>
      <c r="G38" s="328"/>
      <c r="H38" s="328"/>
      <c r="I38" s="38"/>
      <c r="J38" s="38"/>
      <c r="K38" s="38"/>
      <c r="L38" s="38"/>
      <c r="M38" s="38"/>
      <c r="N38" s="38"/>
    </row>
    <row r="39" spans="1:14" ht="16" x14ac:dyDescent="0.2">
      <c r="A39" s="325">
        <v>5</v>
      </c>
      <c r="B39" s="325"/>
      <c r="C39" s="326" t="s">
        <v>833</v>
      </c>
      <c r="D39" s="325"/>
      <c r="E39" s="325"/>
      <c r="F39" s="325"/>
      <c r="G39" s="325"/>
      <c r="H39" s="325"/>
      <c r="I39" s="38"/>
      <c r="J39" s="38"/>
      <c r="K39" s="38"/>
      <c r="L39" s="38"/>
      <c r="M39" s="38"/>
      <c r="N39" s="38"/>
    </row>
    <row r="40" spans="1:14" ht="16" x14ac:dyDescent="0.2">
      <c r="A40" s="154">
        <v>5.0999999999999996</v>
      </c>
      <c r="B40" s="327" t="s">
        <v>874</v>
      </c>
      <c r="C40" s="327"/>
      <c r="D40" s="331"/>
      <c r="E40" s="327"/>
      <c r="F40" s="328"/>
      <c r="G40" s="328"/>
      <c r="H40" s="328"/>
      <c r="I40" s="38"/>
      <c r="J40" s="38"/>
      <c r="K40" s="38"/>
      <c r="L40" s="38"/>
      <c r="M40" s="38"/>
      <c r="N40" s="38"/>
    </row>
    <row r="41" spans="1:14" ht="16" x14ac:dyDescent="0.2">
      <c r="A41" s="154">
        <v>5.2</v>
      </c>
      <c r="B41" s="327"/>
      <c r="C41" s="327"/>
      <c r="D41" s="331"/>
      <c r="E41" s="327"/>
      <c r="F41" s="328"/>
      <c r="G41" s="328"/>
      <c r="H41" s="328"/>
      <c r="I41" s="38"/>
      <c r="J41" s="38"/>
      <c r="K41" s="38"/>
      <c r="L41" s="38"/>
      <c r="M41" s="38"/>
      <c r="N41" s="38"/>
    </row>
    <row r="42" spans="1:14" ht="16" x14ac:dyDescent="0.2">
      <c r="A42" s="325">
        <v>6</v>
      </c>
      <c r="B42" s="325"/>
      <c r="C42" s="326" t="s">
        <v>837</v>
      </c>
      <c r="D42" s="325"/>
      <c r="E42" s="325"/>
      <c r="F42" s="325"/>
      <c r="G42" s="325"/>
      <c r="H42" s="325"/>
      <c r="I42" s="38"/>
      <c r="J42" s="38"/>
      <c r="K42" s="38"/>
      <c r="L42" s="38"/>
      <c r="M42" s="38"/>
      <c r="N42" s="38"/>
    </row>
    <row r="43" spans="1:14" ht="16" x14ac:dyDescent="0.2">
      <c r="A43" s="154">
        <v>6.1</v>
      </c>
      <c r="B43" s="327" t="s">
        <v>876</v>
      </c>
      <c r="C43" s="327" t="s">
        <v>877</v>
      </c>
      <c r="D43" s="327"/>
      <c r="E43" s="327"/>
      <c r="F43" s="328"/>
      <c r="G43" s="328"/>
      <c r="H43" s="328"/>
      <c r="I43" s="38"/>
      <c r="J43" s="38"/>
      <c r="K43" s="38"/>
      <c r="L43" s="38"/>
      <c r="M43" s="38"/>
      <c r="N43" s="38"/>
    </row>
    <row r="44" spans="1:14" ht="16" x14ac:dyDescent="0.2">
      <c r="A44" s="325">
        <v>7</v>
      </c>
      <c r="B44" s="325"/>
      <c r="C44" s="326" t="s">
        <v>875</v>
      </c>
      <c r="D44" s="325"/>
      <c r="E44" s="325"/>
      <c r="F44" s="325"/>
      <c r="G44" s="325"/>
      <c r="H44" s="325"/>
      <c r="I44" s="38"/>
      <c r="J44" s="38"/>
      <c r="K44" s="38"/>
      <c r="L44" s="38"/>
      <c r="M44" s="38"/>
      <c r="N44" s="38"/>
    </row>
    <row r="45" spans="1:14" ht="16" x14ac:dyDescent="0.2">
      <c r="A45" s="154">
        <v>7.1</v>
      </c>
      <c r="B45" s="327"/>
      <c r="C45" s="327"/>
      <c r="D45" s="327"/>
      <c r="E45" s="327"/>
      <c r="F45" s="328"/>
      <c r="G45" s="328"/>
      <c r="H45" s="328"/>
      <c r="I45" s="38"/>
      <c r="J45" s="38"/>
      <c r="K45" s="38"/>
      <c r="L45" s="38"/>
      <c r="M45" s="38"/>
      <c r="N45" s="38"/>
    </row>
    <row r="46" spans="1:14" ht="16" x14ac:dyDescent="0.2">
      <c r="A46" s="154">
        <v>7.2</v>
      </c>
      <c r="B46" s="327"/>
      <c r="C46" s="327"/>
      <c r="D46" s="327"/>
      <c r="E46" s="327"/>
      <c r="F46" s="328"/>
      <c r="G46" s="328"/>
      <c r="H46" s="328"/>
      <c r="I46" s="38"/>
      <c r="J46" s="38"/>
      <c r="K46" s="38"/>
      <c r="L46" s="38"/>
      <c r="M46" s="38"/>
      <c r="N46" s="38"/>
    </row>
    <row r="47" spans="1:14" x14ac:dyDescent="0.15">
      <c r="A47" s="213"/>
      <c r="B47" s="38"/>
      <c r="C47" s="38"/>
      <c r="D47" s="38"/>
      <c r="E47" s="38"/>
      <c r="F47" s="38"/>
      <c r="G47" s="38"/>
      <c r="H47" s="38"/>
      <c r="I47" s="38"/>
      <c r="J47" s="38"/>
      <c r="K47" s="38"/>
      <c r="L47" s="38"/>
      <c r="M47" s="38"/>
      <c r="N47" s="38"/>
    </row>
    <row r="48" spans="1:14" x14ac:dyDescent="0.15">
      <c r="A48" s="38"/>
      <c r="B48" s="38"/>
      <c r="C48" s="38"/>
      <c r="D48" s="38"/>
      <c r="E48" s="38"/>
      <c r="F48" s="38"/>
      <c r="G48" s="38"/>
      <c r="H48" s="38"/>
      <c r="I48" s="38"/>
      <c r="J48" s="38"/>
      <c r="K48" s="38"/>
      <c r="L48" s="38"/>
      <c r="M48" s="38"/>
      <c r="N48" s="38"/>
    </row>
    <row r="49" spans="1:14" x14ac:dyDescent="0.15">
      <c r="A49" s="38"/>
      <c r="B49" s="38"/>
      <c r="C49" s="38"/>
      <c r="D49" s="38"/>
      <c r="E49" s="38"/>
      <c r="F49" s="38"/>
      <c r="G49" s="38"/>
      <c r="H49" s="38"/>
      <c r="I49" s="38"/>
      <c r="J49" s="38"/>
      <c r="K49" s="38"/>
      <c r="L49" s="38"/>
      <c r="M49" s="38"/>
      <c r="N49" s="38"/>
    </row>
    <row r="50" spans="1:14" x14ac:dyDescent="0.15">
      <c r="A50" s="38"/>
      <c r="B50" s="38"/>
      <c r="C50" s="38"/>
      <c r="D50" s="38"/>
      <c r="E50" s="38"/>
      <c r="F50" s="38"/>
      <c r="G50" s="38"/>
      <c r="H50" s="38"/>
      <c r="I50" s="38"/>
      <c r="J50" s="38"/>
      <c r="K50" s="38"/>
      <c r="L50" s="38"/>
      <c r="M50" s="38"/>
      <c r="N50" s="38"/>
    </row>
    <row r="51" spans="1:14" x14ac:dyDescent="0.15">
      <c r="A51" s="38"/>
      <c r="B51" s="38"/>
      <c r="C51" s="38"/>
      <c r="D51" s="44"/>
      <c r="E51" s="38"/>
      <c r="F51" s="38"/>
      <c r="G51" s="38"/>
      <c r="H51" s="38"/>
      <c r="I51" s="38"/>
      <c r="J51" s="38"/>
      <c r="K51" s="38"/>
      <c r="L51" s="38"/>
      <c r="M51" s="38"/>
      <c r="N51" s="38"/>
    </row>
    <row r="52" spans="1:14" x14ac:dyDescent="0.15">
      <c r="A52" s="38"/>
      <c r="B52" s="38"/>
      <c r="C52" s="38"/>
      <c r="D52" s="38"/>
      <c r="E52" s="38"/>
      <c r="F52" s="38"/>
      <c r="G52" s="38"/>
      <c r="H52" s="38"/>
      <c r="I52" s="38"/>
      <c r="J52" s="38"/>
      <c r="K52" s="38"/>
      <c r="L52" s="38"/>
      <c r="M52" s="38"/>
      <c r="N52" s="38"/>
    </row>
    <row r="53" spans="1:14" x14ac:dyDescent="0.15">
      <c r="A53" s="38"/>
      <c r="B53" s="38"/>
      <c r="C53" s="38"/>
      <c r="D53" s="38"/>
      <c r="E53" s="38"/>
      <c r="F53" s="38"/>
      <c r="G53" s="38"/>
      <c r="H53" s="38"/>
      <c r="I53" s="38"/>
      <c r="J53" s="38"/>
      <c r="K53" s="38"/>
      <c r="L53" s="38"/>
      <c r="M53" s="38"/>
      <c r="N53" s="38"/>
    </row>
    <row r="54" spans="1:14" x14ac:dyDescent="0.15">
      <c r="A54" s="38"/>
      <c r="B54" s="38"/>
      <c r="C54" s="38"/>
      <c r="D54" s="38"/>
      <c r="E54" s="38"/>
      <c r="F54" s="38"/>
      <c r="G54" s="38"/>
      <c r="H54" s="38"/>
      <c r="I54" s="38"/>
      <c r="J54" s="38"/>
      <c r="K54" s="38"/>
      <c r="L54" s="38"/>
      <c r="M54" s="38"/>
      <c r="N54" s="38"/>
    </row>
    <row r="55" spans="1:14" x14ac:dyDescent="0.15">
      <c r="A55" s="38"/>
      <c r="B55" s="38"/>
      <c r="C55" s="38"/>
      <c r="D55" s="38"/>
      <c r="E55" s="38"/>
      <c r="F55" s="38"/>
      <c r="G55" s="38"/>
      <c r="H55" s="38"/>
      <c r="I55" s="38"/>
      <c r="J55" s="38"/>
      <c r="K55" s="38"/>
      <c r="L55" s="38"/>
      <c r="M55" s="38"/>
      <c r="N55" s="38"/>
    </row>
    <row r="56" spans="1:14" x14ac:dyDescent="0.15">
      <c r="A56" s="38"/>
      <c r="B56" s="38"/>
      <c r="C56" s="38"/>
      <c r="D56" s="38"/>
      <c r="E56" s="38"/>
      <c r="F56" s="38"/>
      <c r="G56" s="38"/>
      <c r="H56" s="38"/>
      <c r="I56" s="38"/>
      <c r="J56" s="38"/>
      <c r="K56" s="38"/>
      <c r="L56" s="38"/>
      <c r="M56" s="38"/>
      <c r="N56" s="38"/>
    </row>
    <row r="57" spans="1:14" x14ac:dyDescent="0.15">
      <c r="A57" s="38"/>
      <c r="B57" s="38"/>
      <c r="C57" s="38"/>
      <c r="D57" s="38"/>
      <c r="E57" s="38"/>
      <c r="F57" s="38"/>
      <c r="G57" s="38"/>
      <c r="H57" s="38"/>
      <c r="I57" s="38"/>
      <c r="J57" s="38"/>
      <c r="K57" s="38"/>
      <c r="L57" s="38"/>
      <c r="M57" s="38"/>
      <c r="N57" s="38"/>
    </row>
    <row r="58" spans="1:14" x14ac:dyDescent="0.15">
      <c r="A58" s="38"/>
      <c r="B58" s="38"/>
      <c r="C58" s="38"/>
      <c r="D58" s="38"/>
      <c r="E58" s="38"/>
      <c r="F58" s="38"/>
      <c r="G58" s="38"/>
      <c r="H58" s="38"/>
      <c r="I58" s="38"/>
      <c r="J58" s="38"/>
      <c r="K58" s="38"/>
      <c r="L58" s="38"/>
      <c r="M58" s="38"/>
      <c r="N58" s="38"/>
    </row>
    <row r="59" spans="1:14" x14ac:dyDescent="0.15">
      <c r="A59" s="38"/>
      <c r="B59" s="38"/>
      <c r="C59" s="38"/>
      <c r="D59" s="38"/>
      <c r="E59" s="38"/>
      <c r="F59" s="38"/>
      <c r="G59" s="38"/>
      <c r="H59" s="38"/>
      <c r="I59" s="38"/>
      <c r="J59" s="38"/>
      <c r="K59" s="38"/>
      <c r="L59" s="38"/>
      <c r="M59" s="38"/>
      <c r="N59" s="38"/>
    </row>
    <row r="60" spans="1:14" x14ac:dyDescent="0.15">
      <c r="A60" s="38"/>
      <c r="B60" s="38"/>
      <c r="C60" s="38"/>
      <c r="D60" s="38"/>
      <c r="E60" s="38"/>
      <c r="F60" s="38"/>
      <c r="G60" s="38"/>
      <c r="H60" s="38"/>
      <c r="I60" s="38"/>
      <c r="J60" s="38"/>
      <c r="K60" s="38"/>
      <c r="L60" s="38"/>
      <c r="M60" s="38"/>
      <c r="N60" s="38"/>
    </row>
    <row r="61" spans="1:14" x14ac:dyDescent="0.15">
      <c r="A61" s="38"/>
      <c r="B61" s="38"/>
      <c r="C61" s="38"/>
      <c r="D61" s="38"/>
      <c r="E61" s="38"/>
      <c r="F61" s="38"/>
      <c r="G61" s="38"/>
      <c r="H61" s="38"/>
      <c r="I61" s="38"/>
      <c r="J61" s="38"/>
      <c r="K61" s="38"/>
      <c r="L61" s="38"/>
      <c r="M61" s="38"/>
      <c r="N61" s="38"/>
    </row>
    <row r="62" spans="1:14" x14ac:dyDescent="0.15">
      <c r="A62" s="38"/>
      <c r="B62" s="38"/>
      <c r="C62" s="38"/>
      <c r="D62" s="38"/>
      <c r="E62" s="38"/>
      <c r="F62" s="38"/>
      <c r="G62" s="38"/>
      <c r="H62" s="38"/>
      <c r="I62" s="38"/>
      <c r="J62" s="38"/>
      <c r="K62" s="38"/>
      <c r="L62" s="38"/>
      <c r="M62" s="38"/>
      <c r="N62" s="38"/>
    </row>
    <row r="63" spans="1:14" x14ac:dyDescent="0.15">
      <c r="A63" s="38"/>
      <c r="B63" s="38"/>
      <c r="C63" s="38"/>
      <c r="D63" s="38"/>
      <c r="E63" s="38"/>
      <c r="F63" s="38"/>
      <c r="G63" s="38"/>
      <c r="H63" s="38"/>
      <c r="I63" s="38"/>
      <c r="J63" s="38"/>
      <c r="K63" s="38"/>
      <c r="L63" s="38"/>
      <c r="M63" s="38"/>
      <c r="N63" s="38"/>
    </row>
    <row r="64" spans="1:14" x14ac:dyDescent="0.15">
      <c r="A64" s="38"/>
      <c r="B64" s="38"/>
      <c r="C64" s="38"/>
      <c r="D64" s="38"/>
      <c r="E64" s="38"/>
      <c r="F64" s="38"/>
      <c r="G64" s="38"/>
      <c r="H64" s="38"/>
      <c r="I64" s="38"/>
      <c r="J64" s="38"/>
      <c r="K64" s="38"/>
      <c r="L64" s="38"/>
      <c r="M64" s="38"/>
      <c r="N64" s="38"/>
    </row>
    <row r="65" spans="1:14" x14ac:dyDescent="0.15">
      <c r="A65" s="38"/>
      <c r="B65" s="38"/>
      <c r="C65" s="38"/>
      <c r="D65" s="38"/>
      <c r="E65" s="38"/>
      <c r="F65" s="38"/>
      <c r="G65" s="38"/>
      <c r="H65" s="38"/>
      <c r="I65" s="38"/>
      <c r="J65" s="38"/>
      <c r="K65" s="38"/>
      <c r="L65" s="38"/>
      <c r="M65" s="38"/>
      <c r="N65" s="38"/>
    </row>
    <row r="66" spans="1:14" x14ac:dyDescent="0.15">
      <c r="A66" s="38"/>
      <c r="B66" s="38"/>
      <c r="C66" s="38"/>
      <c r="D66" s="38"/>
      <c r="E66" s="38"/>
      <c r="F66" s="38"/>
      <c r="G66" s="38"/>
      <c r="H66" s="38"/>
      <c r="I66" s="38"/>
      <c r="J66" s="38"/>
      <c r="K66" s="38"/>
      <c r="L66" s="38"/>
      <c r="M66" s="38"/>
      <c r="N66" s="38"/>
    </row>
    <row r="67" spans="1:14" x14ac:dyDescent="0.15">
      <c r="A67" s="38"/>
      <c r="B67" s="38"/>
      <c r="C67" s="38"/>
      <c r="D67" s="38"/>
      <c r="E67" s="38"/>
      <c r="F67" s="38"/>
      <c r="G67" s="38"/>
      <c r="H67" s="38"/>
      <c r="I67" s="38"/>
      <c r="J67" s="38"/>
      <c r="K67" s="38"/>
      <c r="L67" s="38"/>
      <c r="M67" s="38"/>
      <c r="N67" s="38"/>
    </row>
    <row r="68" spans="1:14" x14ac:dyDescent="0.15">
      <c r="A68" s="38"/>
      <c r="B68" s="38"/>
      <c r="C68" s="38"/>
      <c r="D68" s="38"/>
      <c r="E68" s="38"/>
      <c r="F68" s="38"/>
      <c r="G68" s="38"/>
      <c r="H68" s="38"/>
      <c r="I68" s="38"/>
      <c r="J68" s="38"/>
      <c r="K68" s="38"/>
      <c r="L68" s="38"/>
      <c r="M68" s="38"/>
      <c r="N68" s="38"/>
    </row>
    <row r="69" spans="1:14" x14ac:dyDescent="0.15">
      <c r="A69" s="38"/>
      <c r="B69" s="38"/>
      <c r="C69" s="38"/>
      <c r="D69" s="38"/>
      <c r="E69" s="38"/>
      <c r="F69" s="38"/>
      <c r="G69" s="38"/>
      <c r="H69" s="38"/>
      <c r="I69" s="38"/>
      <c r="J69" s="38"/>
      <c r="K69" s="38"/>
      <c r="L69" s="38"/>
      <c r="M69" s="38"/>
      <c r="N69" s="38"/>
    </row>
    <row r="70" spans="1:14" x14ac:dyDescent="0.15">
      <c r="A70" s="38"/>
      <c r="B70" s="38"/>
      <c r="C70" s="38"/>
      <c r="D70" s="38"/>
      <c r="E70" s="38"/>
      <c r="F70" s="38"/>
      <c r="G70" s="38"/>
      <c r="H70" s="38"/>
      <c r="I70" s="38"/>
      <c r="J70" s="38"/>
      <c r="K70" s="38"/>
      <c r="L70" s="38"/>
      <c r="M70" s="38"/>
      <c r="N70" s="38"/>
    </row>
    <row r="71" spans="1:14" x14ac:dyDescent="0.15">
      <c r="A71" s="38"/>
      <c r="B71" s="38"/>
      <c r="C71" s="38"/>
      <c r="D71" s="38"/>
      <c r="E71" s="38"/>
      <c r="F71" s="38"/>
      <c r="G71" s="38"/>
      <c r="H71" s="38"/>
      <c r="I71" s="38"/>
      <c r="J71" s="38"/>
      <c r="K71" s="38"/>
      <c r="L71" s="38"/>
      <c r="M71" s="38"/>
      <c r="N71" s="38"/>
    </row>
    <row r="72" spans="1:14" x14ac:dyDescent="0.15">
      <c r="A72" s="38"/>
      <c r="B72" s="38"/>
      <c r="C72" s="38"/>
      <c r="D72" s="38"/>
      <c r="E72" s="38"/>
      <c r="F72" s="38"/>
      <c r="G72" s="38"/>
      <c r="H72" s="38"/>
      <c r="I72" s="38"/>
      <c r="J72" s="38"/>
      <c r="K72" s="38"/>
      <c r="L72" s="38"/>
      <c r="M72" s="38"/>
      <c r="N72" s="38"/>
    </row>
    <row r="73" spans="1:14" x14ac:dyDescent="0.15">
      <c r="A73" s="38"/>
      <c r="B73" s="38"/>
      <c r="C73" s="38"/>
      <c r="D73" s="38"/>
      <c r="E73" s="38"/>
      <c r="F73" s="38"/>
      <c r="G73" s="38"/>
      <c r="H73" s="38"/>
      <c r="I73" s="38"/>
      <c r="J73" s="38"/>
      <c r="K73" s="38"/>
      <c r="L73" s="38"/>
      <c r="M73" s="38"/>
      <c r="N73" s="38"/>
    </row>
    <row r="74" spans="1:14" x14ac:dyDescent="0.15">
      <c r="A74" s="38"/>
      <c r="B74" s="38"/>
      <c r="C74" s="38"/>
      <c r="D74" s="38"/>
      <c r="E74" s="38"/>
      <c r="F74" s="38"/>
      <c r="G74" s="38"/>
      <c r="H74" s="38"/>
      <c r="I74" s="38"/>
      <c r="J74" s="38"/>
      <c r="K74" s="38"/>
      <c r="L74" s="38"/>
      <c r="M74" s="38"/>
      <c r="N74" s="38"/>
    </row>
    <row r="75" spans="1:14" x14ac:dyDescent="0.15">
      <c r="A75" s="38"/>
      <c r="B75" s="38"/>
      <c r="C75" s="38"/>
      <c r="D75" s="38"/>
      <c r="E75" s="38"/>
      <c r="F75" s="38"/>
      <c r="G75" s="38"/>
      <c r="H75" s="38"/>
      <c r="I75" s="38"/>
      <c r="J75" s="38"/>
      <c r="K75" s="38"/>
      <c r="L75" s="38"/>
      <c r="M75" s="38"/>
      <c r="N75" s="38"/>
    </row>
    <row r="76" spans="1:14" x14ac:dyDescent="0.15">
      <c r="A76" s="38"/>
      <c r="B76" s="38"/>
      <c r="C76" s="38"/>
      <c r="D76" s="38"/>
      <c r="E76" s="38"/>
      <c r="F76" s="38"/>
      <c r="G76" s="38"/>
      <c r="H76" s="38"/>
      <c r="I76" s="38"/>
      <c r="J76" s="38"/>
      <c r="K76" s="38"/>
      <c r="L76" s="38"/>
      <c r="M76" s="38"/>
      <c r="N76" s="38"/>
    </row>
    <row r="77" spans="1:14" x14ac:dyDescent="0.15">
      <c r="A77" s="38"/>
      <c r="B77" s="38"/>
      <c r="C77" s="38"/>
      <c r="D77" s="38"/>
      <c r="E77" s="38"/>
      <c r="F77" s="38"/>
      <c r="G77" s="38"/>
      <c r="H77" s="38"/>
      <c r="I77" s="38"/>
      <c r="J77" s="38"/>
      <c r="K77" s="38"/>
      <c r="L77" s="38"/>
      <c r="M77" s="38"/>
      <c r="N77" s="38"/>
    </row>
    <row r="78" spans="1:14" x14ac:dyDescent="0.15">
      <c r="A78" s="38"/>
      <c r="B78" s="38"/>
      <c r="C78" s="38"/>
      <c r="D78" s="38"/>
      <c r="E78" s="38"/>
      <c r="F78" s="38"/>
      <c r="G78" s="38"/>
      <c r="H78" s="38"/>
      <c r="I78" s="38"/>
      <c r="J78" s="38"/>
      <c r="K78" s="38"/>
      <c r="L78" s="38"/>
      <c r="M78" s="38"/>
      <c r="N78" s="38"/>
    </row>
    <row r="79" spans="1:14" x14ac:dyDescent="0.15">
      <c r="A79" s="38"/>
      <c r="B79" s="38"/>
      <c r="C79" s="38"/>
      <c r="D79" s="38"/>
      <c r="E79" s="38"/>
      <c r="F79" s="38"/>
      <c r="G79" s="38"/>
      <c r="H79" s="38"/>
      <c r="I79" s="38"/>
      <c r="J79" s="38"/>
      <c r="K79" s="38"/>
      <c r="L79" s="38"/>
      <c r="M79" s="38"/>
      <c r="N79" s="38"/>
    </row>
    <row r="80" spans="1:14" x14ac:dyDescent="0.15">
      <c r="A80" s="38"/>
      <c r="B80" s="38"/>
      <c r="C80" s="38"/>
      <c r="D80" s="38"/>
      <c r="E80" s="38"/>
      <c r="F80" s="38"/>
      <c r="G80" s="38"/>
      <c r="H80" s="38"/>
      <c r="I80" s="38"/>
      <c r="J80" s="38"/>
      <c r="K80" s="38"/>
      <c r="L80" s="38"/>
      <c r="M80" s="38"/>
      <c r="N80" s="38"/>
    </row>
    <row r="81" spans="1:14" x14ac:dyDescent="0.15">
      <c r="A81" s="38"/>
      <c r="B81" s="38"/>
      <c r="C81" s="38"/>
      <c r="D81" s="38"/>
      <c r="E81" s="38"/>
      <c r="F81" s="38"/>
      <c r="G81" s="38"/>
      <c r="H81" s="38"/>
      <c r="I81" s="38"/>
      <c r="J81" s="38"/>
      <c r="K81" s="38"/>
      <c r="L81" s="38"/>
      <c r="M81" s="38"/>
      <c r="N81" s="38"/>
    </row>
    <row r="82" spans="1:14" x14ac:dyDescent="0.15">
      <c r="A82" s="38"/>
      <c r="B82" s="38"/>
      <c r="C82" s="38"/>
      <c r="D82" s="44"/>
      <c r="E82" s="38"/>
      <c r="F82" s="38"/>
      <c r="G82" s="38"/>
      <c r="H82" s="38"/>
      <c r="I82" s="38"/>
      <c r="J82" s="38"/>
      <c r="K82" s="38"/>
      <c r="L82" s="38"/>
      <c r="M82" s="38"/>
      <c r="N82" s="38"/>
    </row>
    <row r="83" spans="1:14" x14ac:dyDescent="0.15">
      <c r="A83" s="38"/>
      <c r="B83" s="38"/>
      <c r="C83" s="38"/>
      <c r="D83" s="44"/>
      <c r="E83" s="38"/>
      <c r="F83" s="38"/>
      <c r="G83" s="38"/>
      <c r="H83" s="38"/>
      <c r="I83" s="38"/>
      <c r="J83" s="38"/>
      <c r="K83" s="38"/>
      <c r="L83" s="38"/>
      <c r="M83" s="38"/>
      <c r="N83" s="38"/>
    </row>
    <row r="84" spans="1:14" x14ac:dyDescent="0.15">
      <c r="A84" s="38"/>
      <c r="B84" s="38"/>
      <c r="C84" s="38"/>
      <c r="D84" s="38"/>
      <c r="E84" s="38"/>
      <c r="F84" s="38"/>
      <c r="G84" s="38"/>
      <c r="H84" s="38"/>
      <c r="I84" s="38"/>
      <c r="J84" s="38"/>
      <c r="K84" s="38"/>
      <c r="L84" s="38"/>
      <c r="M84" s="38"/>
      <c r="N84" s="38"/>
    </row>
    <row r="85" spans="1:14" x14ac:dyDescent="0.15">
      <c r="A85" s="38"/>
      <c r="B85" s="38"/>
      <c r="C85" s="38"/>
      <c r="D85" s="38"/>
      <c r="E85" s="38"/>
      <c r="F85" s="38"/>
      <c r="G85" s="38"/>
      <c r="H85" s="38"/>
      <c r="I85" s="38"/>
      <c r="J85" s="38"/>
      <c r="K85" s="38"/>
      <c r="L85" s="38"/>
      <c r="M85" s="38"/>
      <c r="N85" s="38"/>
    </row>
    <row r="86" spans="1:14" x14ac:dyDescent="0.15">
      <c r="A86" s="38"/>
      <c r="B86" s="38"/>
      <c r="C86" s="38"/>
      <c r="D86" s="38"/>
      <c r="E86" s="38"/>
      <c r="F86" s="38"/>
      <c r="G86" s="38"/>
      <c r="H86" s="38"/>
      <c r="I86" s="38"/>
      <c r="J86" s="38"/>
      <c r="K86" s="38"/>
      <c r="L86" s="38"/>
      <c r="M86" s="38"/>
      <c r="N86" s="38"/>
    </row>
    <row r="87" spans="1:14" x14ac:dyDescent="0.15">
      <c r="A87" s="38"/>
      <c r="B87" s="38"/>
      <c r="C87" s="38"/>
      <c r="D87" s="44"/>
      <c r="E87" s="38"/>
      <c r="F87" s="38"/>
      <c r="G87" s="38"/>
      <c r="H87" s="38"/>
      <c r="I87" s="38"/>
      <c r="J87" s="38"/>
      <c r="K87" s="38"/>
      <c r="L87" s="38"/>
      <c r="M87" s="38"/>
      <c r="N87" s="38"/>
    </row>
  </sheetData>
  <mergeCells count="6">
    <mergeCell ref="F1:H1"/>
    <mergeCell ref="I1:J1"/>
    <mergeCell ref="K1:L1"/>
    <mergeCell ref="C1:E1"/>
    <mergeCell ref="C25:E25"/>
    <mergeCell ref="F25:H25"/>
  </mergeCells>
  <conditionalFormatting sqref="K4:L22">
    <cfRule type="cellIs" dxfId="3" priority="1" operator="between">
      <formula>1</formula>
      <formula>3</formula>
    </cfRule>
    <cfRule type="cellIs" dxfId="2" priority="2" operator="between">
      <formula>4</formula>
      <formula>6</formula>
    </cfRule>
    <cfRule type="cellIs" dxfId="1" priority="3" operator="between">
      <formula>8</formula>
      <formula>14</formula>
    </cfRule>
    <cfRule type="cellIs" dxfId="0" priority="4" operator="greaterThanOrEqual">
      <formula>15</formula>
    </cfRule>
  </conditionalFormatting>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F62F1-4745-4048-9BB3-A51A95143108}">
  <dimension ref="A1:AI73"/>
  <sheetViews>
    <sheetView topLeftCell="A46" workbookViewId="0">
      <selection activeCell="F66" sqref="F66"/>
    </sheetView>
  </sheetViews>
  <sheetFormatPr baseColWidth="10" defaultRowHeight="16" x14ac:dyDescent="0.2"/>
  <cols>
    <col min="1" max="1" width="30.1640625" style="30" bestFit="1" customWidth="1"/>
    <col min="2" max="2" width="22.33203125" style="30" bestFit="1" customWidth="1"/>
    <col min="3" max="3" width="13.1640625" style="30" customWidth="1"/>
    <col min="4" max="4" width="13.5" style="30" customWidth="1"/>
    <col min="5" max="5" width="13.1640625" style="30" customWidth="1"/>
    <col min="6" max="6" width="12.1640625" style="30" customWidth="1"/>
    <col min="7" max="16384" width="10.83203125" style="30"/>
  </cols>
  <sheetData>
    <row r="1" spans="1:32" x14ac:dyDescent="0.2">
      <c r="A1" s="30" t="s">
        <v>122</v>
      </c>
    </row>
    <row r="2" spans="1:32" x14ac:dyDescent="0.2">
      <c r="A2" s="30" t="s">
        <v>98</v>
      </c>
      <c r="C2" s="30" t="s">
        <v>115</v>
      </c>
      <c r="K2" s="30" t="s">
        <v>97</v>
      </c>
      <c r="M2" s="30" t="s">
        <v>121</v>
      </c>
      <c r="U2" s="30" t="s">
        <v>98</v>
      </c>
      <c r="W2" s="30" t="s">
        <v>108</v>
      </c>
    </row>
    <row r="3" spans="1:32" ht="51" x14ac:dyDescent="0.2">
      <c r="A3" s="34" t="s">
        <v>120</v>
      </c>
      <c r="B3" s="34" t="s">
        <v>119</v>
      </c>
      <c r="C3" s="34" t="s">
        <v>93</v>
      </c>
      <c r="D3" s="34" t="s">
        <v>92</v>
      </c>
      <c r="E3" s="34" t="s">
        <v>91</v>
      </c>
      <c r="F3" s="34" t="s">
        <v>90</v>
      </c>
      <c r="G3" s="34" t="s">
        <v>89</v>
      </c>
      <c r="H3" s="34" t="s">
        <v>88</v>
      </c>
      <c r="I3" s="34" t="s">
        <v>87</v>
      </c>
      <c r="K3" s="34" t="s">
        <v>120</v>
      </c>
      <c r="L3" s="34" t="s">
        <v>119</v>
      </c>
      <c r="M3" s="34" t="s">
        <v>93</v>
      </c>
      <c r="N3" s="34" t="s">
        <v>92</v>
      </c>
      <c r="O3" s="34" t="s">
        <v>91</v>
      </c>
      <c r="P3" s="34" t="s">
        <v>90</v>
      </c>
      <c r="Q3" s="34" t="s">
        <v>89</v>
      </c>
      <c r="R3" s="34" t="s">
        <v>88</v>
      </c>
      <c r="S3" s="34" t="s">
        <v>87</v>
      </c>
      <c r="U3" s="34" t="s">
        <v>120</v>
      </c>
      <c r="V3" s="34" t="s">
        <v>119</v>
      </c>
      <c r="W3" s="34" t="s">
        <v>93</v>
      </c>
      <c r="X3" s="34" t="s">
        <v>92</v>
      </c>
      <c r="Y3" s="34" t="s">
        <v>91</v>
      </c>
      <c r="Z3" s="34" t="s">
        <v>90</v>
      </c>
      <c r="AA3" s="34" t="s">
        <v>89</v>
      </c>
      <c r="AB3" s="34" t="s">
        <v>88</v>
      </c>
      <c r="AC3" s="34" t="s">
        <v>87</v>
      </c>
    </row>
    <row r="4" spans="1:32" x14ac:dyDescent="0.2">
      <c r="A4" s="30">
        <v>1</v>
      </c>
      <c r="B4" s="30">
        <v>1000</v>
      </c>
      <c r="E4" s="30">
        <f>C4+D4</f>
        <v>0</v>
      </c>
      <c r="F4" s="30">
        <f>C4/B4</f>
        <v>0</v>
      </c>
      <c r="G4" s="30">
        <f>D4/B4</f>
        <v>0</v>
      </c>
      <c r="H4" s="30">
        <f>(F4+G4)/B4</f>
        <v>0</v>
      </c>
      <c r="K4" s="30">
        <v>1</v>
      </c>
      <c r="L4" s="30">
        <v>1000</v>
      </c>
      <c r="O4" s="30">
        <f>M4+N4</f>
        <v>0</v>
      </c>
      <c r="P4" s="30">
        <f>M4/L4</f>
        <v>0</v>
      </c>
      <c r="Q4" s="30">
        <f>N4/L4</f>
        <v>0</v>
      </c>
      <c r="R4" s="30">
        <f>(P4+Q4)/L4</f>
        <v>0</v>
      </c>
      <c r="U4" s="30">
        <v>1</v>
      </c>
      <c r="V4" s="30">
        <v>1000</v>
      </c>
      <c r="Y4" s="30">
        <f>W4+X4</f>
        <v>0</v>
      </c>
      <c r="Z4" s="30">
        <f>W4/V4</f>
        <v>0</v>
      </c>
      <c r="AA4" s="30">
        <f>X4/V4</f>
        <v>0</v>
      </c>
      <c r="AB4" s="30">
        <f>(Z4+AA4)/V4</f>
        <v>0</v>
      </c>
    </row>
    <row r="5" spans="1:32" x14ac:dyDescent="0.2">
      <c r="A5" s="30">
        <v>1</v>
      </c>
      <c r="B5" s="30">
        <v>2000</v>
      </c>
      <c r="E5" s="30">
        <f>C5+D5</f>
        <v>0</v>
      </c>
      <c r="F5" s="30">
        <f>C5/B5</f>
        <v>0</v>
      </c>
      <c r="G5" s="30">
        <f>D5/B5</f>
        <v>0</v>
      </c>
      <c r="H5" s="30">
        <f>(F5+G5)/B5</f>
        <v>0</v>
      </c>
      <c r="I5" s="30">
        <f>H5-H4</f>
        <v>0</v>
      </c>
      <c r="K5" s="30">
        <v>1</v>
      </c>
      <c r="L5" s="30">
        <v>2000</v>
      </c>
      <c r="O5" s="30">
        <f>M5+N5</f>
        <v>0</v>
      </c>
      <c r="P5" s="30">
        <f>M5/L5</f>
        <v>0</v>
      </c>
      <c r="Q5" s="30">
        <f>N5/L5</f>
        <v>0</v>
      </c>
      <c r="R5" s="30">
        <f>(P5+Q5)/L5</f>
        <v>0</v>
      </c>
      <c r="S5" s="30">
        <f>R5-R4</f>
        <v>0</v>
      </c>
      <c r="U5" s="30">
        <v>1</v>
      </c>
      <c r="V5" s="30">
        <v>2000</v>
      </c>
      <c r="Y5" s="30">
        <f>W5+X5</f>
        <v>0</v>
      </c>
      <c r="Z5" s="30">
        <f>W5/V5</f>
        <v>0</v>
      </c>
      <c r="AA5" s="30">
        <f>X5/V5</f>
        <v>0</v>
      </c>
      <c r="AB5" s="30">
        <f>(Z5+AA5)/V5</f>
        <v>0</v>
      </c>
      <c r="AC5" s="30">
        <f>AB5-AB4</f>
        <v>0</v>
      </c>
    </row>
    <row r="6" spans="1:32" x14ac:dyDescent="0.2">
      <c r="A6" s="30">
        <v>1</v>
      </c>
      <c r="B6" s="30">
        <v>3000</v>
      </c>
      <c r="E6" s="30">
        <f>C6+D6</f>
        <v>0</v>
      </c>
      <c r="F6" s="30">
        <f>C6/B6</f>
        <v>0</v>
      </c>
      <c r="G6" s="30">
        <f>D6/B6</f>
        <v>0</v>
      </c>
      <c r="H6" s="30">
        <f>(F6+G6)/B6</f>
        <v>0</v>
      </c>
      <c r="K6" s="30">
        <v>1</v>
      </c>
      <c r="L6" s="30">
        <v>3000</v>
      </c>
      <c r="O6" s="30">
        <f>M6+N6</f>
        <v>0</v>
      </c>
      <c r="P6" s="30">
        <f>M6/L6</f>
        <v>0</v>
      </c>
      <c r="Q6" s="30">
        <f>N6/L6</f>
        <v>0</v>
      </c>
      <c r="R6" s="30">
        <f>(P6+Q6)/L6</f>
        <v>0</v>
      </c>
      <c r="U6" s="30">
        <v>1</v>
      </c>
      <c r="V6" s="30">
        <v>3000</v>
      </c>
      <c r="Y6" s="30">
        <f>W6+X6</f>
        <v>0</v>
      </c>
      <c r="Z6" s="30">
        <f>W6/V6</f>
        <v>0</v>
      </c>
      <c r="AA6" s="30">
        <f>X6/V6</f>
        <v>0</v>
      </c>
      <c r="AB6" s="30">
        <f>(Z6+AA6)/V6</f>
        <v>0</v>
      </c>
    </row>
    <row r="7" spans="1:32" x14ac:dyDescent="0.2">
      <c r="A7" s="30">
        <v>1</v>
      </c>
      <c r="B7" s="30">
        <v>4000</v>
      </c>
      <c r="E7" s="30">
        <f>C7+D7</f>
        <v>0</v>
      </c>
      <c r="F7" s="30">
        <f>C7/B7</f>
        <v>0</v>
      </c>
      <c r="G7" s="30">
        <f>D7/B7</f>
        <v>0</v>
      </c>
      <c r="H7" s="30">
        <f>(F7+G7)/B7</f>
        <v>0</v>
      </c>
      <c r="K7" s="30">
        <v>1</v>
      </c>
      <c r="L7" s="30">
        <v>4000</v>
      </c>
      <c r="O7" s="30">
        <f>M7+N7</f>
        <v>0</v>
      </c>
      <c r="P7" s="30">
        <f>M7/L7</f>
        <v>0</v>
      </c>
      <c r="Q7" s="30">
        <f>N7/L7</f>
        <v>0</v>
      </c>
      <c r="R7" s="30">
        <f>(P7+Q7)/L7</f>
        <v>0</v>
      </c>
      <c r="U7" s="30">
        <v>1</v>
      </c>
      <c r="V7" s="30">
        <v>4000</v>
      </c>
      <c r="Y7" s="30">
        <f>W7+X7</f>
        <v>0</v>
      </c>
      <c r="Z7" s="30">
        <f>W7/V7</f>
        <v>0</v>
      </c>
      <c r="AA7" s="30">
        <f>X7/V7</f>
        <v>0</v>
      </c>
      <c r="AB7" s="30">
        <f>(Z7+AA7)/V7</f>
        <v>0</v>
      </c>
    </row>
    <row r="10" spans="1:32" x14ac:dyDescent="0.2">
      <c r="A10" s="30" t="s">
        <v>118</v>
      </c>
    </row>
    <row r="11" spans="1:32" x14ac:dyDescent="0.2">
      <c r="A11" s="30" t="s">
        <v>98</v>
      </c>
      <c r="C11" s="30" t="s">
        <v>115</v>
      </c>
      <c r="L11" s="30" t="s">
        <v>97</v>
      </c>
      <c r="M11" s="30" t="s">
        <v>110</v>
      </c>
      <c r="W11" s="32" t="s">
        <v>109</v>
      </c>
      <c r="X11" s="30" t="s">
        <v>108</v>
      </c>
    </row>
    <row r="12" spans="1:32" ht="51" x14ac:dyDescent="0.2">
      <c r="A12" s="34" t="s">
        <v>96</v>
      </c>
      <c r="B12" s="34" t="s">
        <v>95</v>
      </c>
      <c r="C12" s="34" t="s">
        <v>117</v>
      </c>
      <c r="D12" s="34" t="s">
        <v>93</v>
      </c>
      <c r="E12" s="34" t="s">
        <v>92</v>
      </c>
      <c r="F12" s="34" t="s">
        <v>91</v>
      </c>
      <c r="G12" s="34" t="s">
        <v>90</v>
      </c>
      <c r="H12" s="34" t="s">
        <v>89</v>
      </c>
      <c r="I12" s="34" t="s">
        <v>88</v>
      </c>
      <c r="J12" s="34" t="s">
        <v>87</v>
      </c>
      <c r="L12" s="34" t="s">
        <v>96</v>
      </c>
      <c r="M12" s="34" t="s">
        <v>95</v>
      </c>
      <c r="N12" s="34" t="s">
        <v>117</v>
      </c>
      <c r="O12" s="34" t="s">
        <v>93</v>
      </c>
      <c r="P12" s="34" t="s">
        <v>92</v>
      </c>
      <c r="Q12" s="34" t="s">
        <v>91</v>
      </c>
      <c r="R12" s="34" t="s">
        <v>90</v>
      </c>
      <c r="S12" s="34" t="s">
        <v>89</v>
      </c>
      <c r="T12" s="34" t="s">
        <v>88</v>
      </c>
      <c r="U12" s="34" t="s">
        <v>87</v>
      </c>
      <c r="W12" s="34" t="s">
        <v>96</v>
      </c>
      <c r="X12" s="34" t="s">
        <v>95</v>
      </c>
      <c r="Y12" s="34" t="s">
        <v>117</v>
      </c>
      <c r="Z12" s="34" t="s">
        <v>93</v>
      </c>
      <c r="AA12" s="34" t="s">
        <v>92</v>
      </c>
      <c r="AB12" s="34" t="s">
        <v>91</v>
      </c>
      <c r="AC12" s="34" t="s">
        <v>90</v>
      </c>
      <c r="AD12" s="34" t="s">
        <v>89</v>
      </c>
      <c r="AE12" s="34" t="s">
        <v>88</v>
      </c>
      <c r="AF12" s="34" t="s">
        <v>87</v>
      </c>
    </row>
    <row r="13" spans="1:32" x14ac:dyDescent="0.2">
      <c r="A13" s="30">
        <v>0</v>
      </c>
      <c r="B13" s="30">
        <v>1</v>
      </c>
      <c r="C13" s="30">
        <v>1000</v>
      </c>
      <c r="F13" s="30">
        <f>D13+E13</f>
        <v>0</v>
      </c>
      <c r="G13" s="30">
        <f>D13/C13</f>
        <v>0</v>
      </c>
      <c r="H13" s="30">
        <f>E13/C13</f>
        <v>0</v>
      </c>
      <c r="I13" s="30">
        <f>(G13+H13)/C13</f>
        <v>0</v>
      </c>
      <c r="L13" s="30">
        <v>0</v>
      </c>
      <c r="M13" s="30">
        <v>1</v>
      </c>
      <c r="N13" s="30">
        <v>1000</v>
      </c>
      <c r="Q13" s="30">
        <f>O13+P13</f>
        <v>0</v>
      </c>
      <c r="R13" s="30">
        <f>O13/N13</f>
        <v>0</v>
      </c>
      <c r="S13" s="30">
        <f>P13/N13</f>
        <v>0</v>
      </c>
      <c r="T13" s="30">
        <f>(R13+S13)/N13</f>
        <v>0</v>
      </c>
      <c r="W13" s="30">
        <v>0</v>
      </c>
      <c r="X13" s="30">
        <v>1</v>
      </c>
      <c r="Y13" s="30">
        <v>1000</v>
      </c>
      <c r="AB13" s="30">
        <f>Z13+AA13</f>
        <v>0</v>
      </c>
      <c r="AC13" s="30">
        <f>Z13/Y13</f>
        <v>0</v>
      </c>
      <c r="AD13" s="30">
        <f>AA13/Y13</f>
        <v>0</v>
      </c>
      <c r="AE13" s="30">
        <f>(AC13+AD13)/Y13</f>
        <v>0</v>
      </c>
    </row>
    <row r="14" spans="1:32" x14ac:dyDescent="0.2">
      <c r="A14" s="30">
        <v>1</v>
      </c>
      <c r="B14" s="30">
        <v>1</v>
      </c>
      <c r="C14" s="30">
        <v>2000</v>
      </c>
      <c r="F14" s="30">
        <f>D14+E14</f>
        <v>0</v>
      </c>
      <c r="G14" s="30">
        <f>D14/C14</f>
        <v>0</v>
      </c>
      <c r="H14" s="30">
        <f>E14/C14</f>
        <v>0</v>
      </c>
      <c r="I14" s="30">
        <f>(G14+H14)/C14</f>
        <v>0</v>
      </c>
      <c r="J14" s="30">
        <f>I14-I13</f>
        <v>0</v>
      </c>
      <c r="L14" s="30">
        <v>1</v>
      </c>
      <c r="M14" s="30">
        <v>1</v>
      </c>
      <c r="N14" s="30">
        <v>2000</v>
      </c>
      <c r="Q14" s="30">
        <f>O14+P14</f>
        <v>0</v>
      </c>
      <c r="R14" s="30">
        <f>O14/N14</f>
        <v>0</v>
      </c>
      <c r="S14" s="30">
        <f>P14/N14</f>
        <v>0</v>
      </c>
      <c r="T14" s="30">
        <f>(R14+S14)/N14</f>
        <v>0</v>
      </c>
      <c r="U14" s="30">
        <f>T14-T13</f>
        <v>0</v>
      </c>
      <c r="W14" s="30">
        <v>1</v>
      </c>
      <c r="X14" s="30">
        <v>1</v>
      </c>
      <c r="Y14" s="30">
        <v>2000</v>
      </c>
      <c r="AB14" s="30">
        <f>Z14+AA14</f>
        <v>0</v>
      </c>
      <c r="AC14" s="30">
        <f>Z14/Y14</f>
        <v>0</v>
      </c>
      <c r="AD14" s="30">
        <f>AA14/Y14</f>
        <v>0</v>
      </c>
      <c r="AE14" s="30">
        <f>(AC14+AD14)/Y14</f>
        <v>0</v>
      </c>
      <c r="AF14" s="30">
        <f>AE14-AE13</f>
        <v>0</v>
      </c>
    </row>
    <row r="15" spans="1:32" x14ac:dyDescent="0.2">
      <c r="A15" s="30">
        <v>2</v>
      </c>
      <c r="B15" s="30">
        <v>1</v>
      </c>
      <c r="C15" s="30">
        <v>3000</v>
      </c>
      <c r="F15" s="30">
        <f>D15+E15</f>
        <v>0</v>
      </c>
      <c r="G15" s="30">
        <f>D15/C15</f>
        <v>0</v>
      </c>
      <c r="H15" s="30">
        <f>E15/C15</f>
        <v>0</v>
      </c>
      <c r="I15" s="30">
        <f>(G15+H15)/C15</f>
        <v>0</v>
      </c>
      <c r="L15" s="30">
        <v>2</v>
      </c>
      <c r="M15" s="30">
        <v>1</v>
      </c>
      <c r="N15" s="30">
        <v>3000</v>
      </c>
      <c r="Q15" s="30">
        <f>O15+P15</f>
        <v>0</v>
      </c>
      <c r="R15" s="30">
        <f>O15/N15</f>
        <v>0</v>
      </c>
      <c r="S15" s="30">
        <f>P15/N15</f>
        <v>0</v>
      </c>
      <c r="T15" s="30">
        <f>(R15+S15)/N15</f>
        <v>0</v>
      </c>
      <c r="W15" s="30">
        <v>2</v>
      </c>
      <c r="X15" s="30">
        <v>1</v>
      </c>
      <c r="Y15" s="30">
        <v>3000</v>
      </c>
      <c r="AB15" s="30">
        <f>Z15+AA15</f>
        <v>0</v>
      </c>
      <c r="AC15" s="30">
        <f>Z15/Y15</f>
        <v>0</v>
      </c>
      <c r="AD15" s="30">
        <f>AA15/Y15</f>
        <v>0</v>
      </c>
      <c r="AE15" s="30">
        <f>(AC15+AD15)/Y15</f>
        <v>0</v>
      </c>
    </row>
    <row r="16" spans="1:32" x14ac:dyDescent="0.2">
      <c r="A16" s="30">
        <v>3</v>
      </c>
      <c r="B16" s="30">
        <v>1</v>
      </c>
      <c r="C16" s="30">
        <v>4000</v>
      </c>
      <c r="F16" s="30">
        <f>D16+E16</f>
        <v>0</v>
      </c>
      <c r="G16" s="30">
        <f>D16/C16</f>
        <v>0</v>
      </c>
      <c r="H16" s="30">
        <f>E16/C16</f>
        <v>0</v>
      </c>
      <c r="I16" s="30">
        <f>(G16+H16)/C16</f>
        <v>0</v>
      </c>
      <c r="L16" s="30">
        <v>3</v>
      </c>
      <c r="M16" s="30">
        <v>1</v>
      </c>
      <c r="N16" s="30">
        <v>4000</v>
      </c>
      <c r="Q16" s="30">
        <f>O16+P16</f>
        <v>0</v>
      </c>
      <c r="R16" s="30">
        <f>O16/N16</f>
        <v>0</v>
      </c>
      <c r="S16" s="30">
        <f>P16/N16</f>
        <v>0</v>
      </c>
      <c r="T16" s="30">
        <f>(R16+S16)/N16</f>
        <v>0</v>
      </c>
      <c r="W16" s="30">
        <v>3</v>
      </c>
      <c r="X16" s="30">
        <v>1</v>
      </c>
      <c r="Y16" s="30">
        <v>4000</v>
      </c>
      <c r="AB16" s="30">
        <f>Z16+AA16</f>
        <v>0</v>
      </c>
      <c r="AC16" s="30">
        <f>Z16/Y16</f>
        <v>0</v>
      </c>
      <c r="AD16" s="30">
        <f>AA16/Y16</f>
        <v>0</v>
      </c>
      <c r="AE16" s="30">
        <f>(AC16+AD16)/Y16</f>
        <v>0</v>
      </c>
    </row>
    <row r="18" spans="1:32" x14ac:dyDescent="0.2">
      <c r="A18" s="30" t="s">
        <v>116</v>
      </c>
    </row>
    <row r="19" spans="1:32" x14ac:dyDescent="0.2">
      <c r="A19" s="30" t="s">
        <v>98</v>
      </c>
      <c r="C19" s="30" t="s">
        <v>115</v>
      </c>
      <c r="G19" s="436" t="s">
        <v>114</v>
      </c>
      <c r="H19" s="436"/>
      <c r="I19" s="436"/>
      <c r="J19" s="436"/>
      <c r="L19" s="30" t="s">
        <v>97</v>
      </c>
      <c r="N19" s="30" t="s">
        <v>110</v>
      </c>
      <c r="W19" s="32" t="s">
        <v>109</v>
      </c>
      <c r="X19" s="32"/>
      <c r="Y19" s="32" t="s">
        <v>108</v>
      </c>
      <c r="Z19" s="32"/>
    </row>
    <row r="20" spans="1:32" ht="51" x14ac:dyDescent="0.2">
      <c r="A20" s="34" t="s">
        <v>96</v>
      </c>
      <c r="B20" s="34" t="s">
        <v>95</v>
      </c>
      <c r="C20" s="34" t="s">
        <v>113</v>
      </c>
      <c r="D20" s="34" t="s">
        <v>93</v>
      </c>
      <c r="E20" s="34" t="s">
        <v>92</v>
      </c>
      <c r="F20" s="34" t="s">
        <v>91</v>
      </c>
      <c r="G20" s="34" t="s">
        <v>90</v>
      </c>
      <c r="H20" s="34" t="s">
        <v>89</v>
      </c>
      <c r="I20" s="34" t="s">
        <v>88</v>
      </c>
      <c r="J20" s="34" t="s">
        <v>87</v>
      </c>
      <c r="L20" s="34" t="s">
        <v>96</v>
      </c>
      <c r="M20" s="34" t="s">
        <v>95</v>
      </c>
      <c r="N20" s="34" t="s">
        <v>113</v>
      </c>
      <c r="O20" s="34" t="s">
        <v>93</v>
      </c>
      <c r="P20" s="34" t="s">
        <v>92</v>
      </c>
      <c r="Q20" s="34" t="s">
        <v>91</v>
      </c>
      <c r="R20" s="34" t="s">
        <v>90</v>
      </c>
      <c r="S20" s="34" t="s">
        <v>89</v>
      </c>
      <c r="T20" s="34" t="s">
        <v>88</v>
      </c>
      <c r="U20" s="34" t="s">
        <v>87</v>
      </c>
      <c r="W20" s="34" t="s">
        <v>96</v>
      </c>
      <c r="X20" s="34" t="s">
        <v>95</v>
      </c>
      <c r="Y20" s="34" t="s">
        <v>113</v>
      </c>
      <c r="Z20" s="34" t="s">
        <v>93</v>
      </c>
      <c r="AA20" s="34" t="s">
        <v>92</v>
      </c>
      <c r="AB20" s="34" t="s">
        <v>91</v>
      </c>
      <c r="AC20" s="34" t="s">
        <v>90</v>
      </c>
      <c r="AD20" s="34" t="s">
        <v>89</v>
      </c>
      <c r="AE20" s="34" t="s">
        <v>88</v>
      </c>
      <c r="AF20" s="34" t="s">
        <v>87</v>
      </c>
    </row>
    <row r="21" spans="1:32" x14ac:dyDescent="0.2">
      <c r="A21" s="30">
        <v>0</v>
      </c>
      <c r="B21" s="30">
        <v>1</v>
      </c>
      <c r="C21" s="30">
        <v>1</v>
      </c>
      <c r="D21" s="30">
        <v>0</v>
      </c>
      <c r="F21" s="30">
        <f>D21+E21</f>
        <v>0</v>
      </c>
      <c r="G21" s="30">
        <f>D21/C21</f>
        <v>0</v>
      </c>
      <c r="H21" s="30">
        <f>E21/C21</f>
        <v>0</v>
      </c>
      <c r="I21" s="30">
        <f>(H21+G21)/C21</f>
        <v>0</v>
      </c>
      <c r="L21" s="30">
        <v>0</v>
      </c>
      <c r="M21" s="30">
        <v>1</v>
      </c>
      <c r="N21" s="30">
        <v>1</v>
      </c>
      <c r="O21" s="30">
        <v>0</v>
      </c>
      <c r="Q21" s="30">
        <f>O21+P21</f>
        <v>0</v>
      </c>
      <c r="R21" s="30">
        <f>O21/N21</f>
        <v>0</v>
      </c>
      <c r="S21" s="30">
        <f>P21/N21</f>
        <v>0</v>
      </c>
      <c r="T21" s="30">
        <f>(S21+R21)/N21</f>
        <v>0</v>
      </c>
      <c r="W21" s="30">
        <v>0</v>
      </c>
      <c r="X21" s="30">
        <v>1</v>
      </c>
      <c r="Y21" s="30">
        <v>1</v>
      </c>
      <c r="Z21" s="30">
        <v>0</v>
      </c>
      <c r="AB21" s="30">
        <f>Z21+AA21</f>
        <v>0</v>
      </c>
      <c r="AC21" s="30">
        <f>Z21/Y21</f>
        <v>0</v>
      </c>
      <c r="AD21" s="30">
        <f>AA21/Y21</f>
        <v>0</v>
      </c>
      <c r="AE21" s="30">
        <f>(AD21+AC21)/Y21</f>
        <v>0</v>
      </c>
    </row>
    <row r="22" spans="1:32" x14ac:dyDescent="0.2">
      <c r="A22" s="30">
        <v>1</v>
      </c>
      <c r="B22" s="30">
        <v>1</v>
      </c>
      <c r="C22" s="30">
        <v>1</v>
      </c>
      <c r="D22" s="30">
        <v>0</v>
      </c>
      <c r="F22" s="30">
        <f>D22+E22</f>
        <v>0</v>
      </c>
      <c r="G22" s="30">
        <f>D22/C22</f>
        <v>0</v>
      </c>
      <c r="H22" s="30">
        <f>E22/C22</f>
        <v>0</v>
      </c>
      <c r="J22" s="30">
        <f>I22-I21</f>
        <v>0</v>
      </c>
      <c r="L22" s="30">
        <v>1</v>
      </c>
      <c r="M22" s="30">
        <v>1</v>
      </c>
      <c r="N22" s="30">
        <v>1</v>
      </c>
      <c r="O22" s="30">
        <v>0</v>
      </c>
      <c r="Q22" s="30">
        <f>O22+P22</f>
        <v>0</v>
      </c>
      <c r="R22" s="30">
        <f>O22/N22</f>
        <v>0</v>
      </c>
      <c r="S22" s="30">
        <f>P22/N22</f>
        <v>0</v>
      </c>
      <c r="U22" s="30">
        <f>T22-T21</f>
        <v>0</v>
      </c>
      <c r="W22" s="30">
        <v>1</v>
      </c>
      <c r="X22" s="30">
        <v>1</v>
      </c>
      <c r="Y22" s="30">
        <v>1</v>
      </c>
      <c r="Z22" s="30">
        <v>0</v>
      </c>
      <c r="AB22" s="30">
        <f>Z22+AA22</f>
        <v>0</v>
      </c>
      <c r="AC22" s="30">
        <f>Z22/Y22</f>
        <v>0</v>
      </c>
      <c r="AD22" s="30">
        <f>AA22/Y22</f>
        <v>0</v>
      </c>
      <c r="AF22" s="30">
        <f>AE22-AE21</f>
        <v>0</v>
      </c>
    </row>
    <row r="23" spans="1:32" x14ac:dyDescent="0.2">
      <c r="A23" s="30">
        <v>2</v>
      </c>
      <c r="B23" s="30">
        <v>1</v>
      </c>
      <c r="C23" s="30">
        <v>1</v>
      </c>
      <c r="D23" s="30">
        <v>0</v>
      </c>
      <c r="F23" s="30">
        <f>D23+E23</f>
        <v>0</v>
      </c>
      <c r="G23" s="30">
        <f>D23/C23</f>
        <v>0</v>
      </c>
      <c r="H23" s="30">
        <f>E23/C23</f>
        <v>0</v>
      </c>
      <c r="J23" s="30">
        <f>I23-I22</f>
        <v>0</v>
      </c>
      <c r="L23" s="30">
        <v>2</v>
      </c>
      <c r="M23" s="30">
        <v>1</v>
      </c>
      <c r="N23" s="30">
        <v>1</v>
      </c>
      <c r="O23" s="30">
        <v>0</v>
      </c>
      <c r="Q23" s="30">
        <f>O23+P23</f>
        <v>0</v>
      </c>
      <c r="R23" s="30">
        <f>O23/N23</f>
        <v>0</v>
      </c>
      <c r="S23" s="30">
        <f>P23/N23</f>
        <v>0</v>
      </c>
      <c r="U23" s="30">
        <f>T23-T22</f>
        <v>0</v>
      </c>
      <c r="W23" s="30">
        <v>2</v>
      </c>
      <c r="X23" s="30">
        <v>1</v>
      </c>
      <c r="Y23" s="30">
        <v>1</v>
      </c>
      <c r="Z23" s="30">
        <v>0</v>
      </c>
      <c r="AB23" s="30">
        <f>Z23+AA23</f>
        <v>0</v>
      </c>
      <c r="AC23" s="30">
        <f>Z23/Y23</f>
        <v>0</v>
      </c>
      <c r="AD23" s="30">
        <f>AA23/Y23</f>
        <v>0</v>
      </c>
      <c r="AF23" s="30">
        <f>AE23-AE22</f>
        <v>0</v>
      </c>
    </row>
    <row r="24" spans="1:32" x14ac:dyDescent="0.2">
      <c r="A24" s="30">
        <v>3</v>
      </c>
      <c r="B24" s="30">
        <v>1</v>
      </c>
      <c r="C24" s="30">
        <v>1</v>
      </c>
      <c r="D24" s="30">
        <v>0</v>
      </c>
      <c r="F24" s="30">
        <f>D24+E24</f>
        <v>0</v>
      </c>
      <c r="G24" s="30">
        <f>D24/C24</f>
        <v>0</v>
      </c>
      <c r="H24" s="30">
        <f>E24/C24</f>
        <v>0</v>
      </c>
      <c r="J24" s="30">
        <f>I24-I23</f>
        <v>0</v>
      </c>
      <c r="L24" s="30">
        <v>3</v>
      </c>
      <c r="M24" s="30">
        <v>1</v>
      </c>
      <c r="N24" s="30">
        <v>1</v>
      </c>
      <c r="O24" s="30">
        <v>0</v>
      </c>
      <c r="Q24" s="30">
        <f>O24+P24</f>
        <v>0</v>
      </c>
      <c r="R24" s="30">
        <f>O24/N24</f>
        <v>0</v>
      </c>
      <c r="S24" s="30">
        <f>P24/N24</f>
        <v>0</v>
      </c>
      <c r="U24" s="30">
        <f>T24-T23</f>
        <v>0</v>
      </c>
      <c r="W24" s="30">
        <v>3</v>
      </c>
      <c r="X24" s="30">
        <v>1</v>
      </c>
      <c r="Y24" s="30">
        <v>1</v>
      </c>
      <c r="Z24" s="30">
        <v>0</v>
      </c>
      <c r="AB24" s="30">
        <f>Z24+AA24</f>
        <v>0</v>
      </c>
      <c r="AC24" s="30">
        <f>Z24/Y24</f>
        <v>0</v>
      </c>
      <c r="AD24" s="30">
        <f>AA24/Y24</f>
        <v>0</v>
      </c>
      <c r="AF24" s="30">
        <f>AE24-AE23</f>
        <v>0</v>
      </c>
    </row>
    <row r="27" spans="1:32" x14ac:dyDescent="0.2">
      <c r="A27" s="30" t="s">
        <v>112</v>
      </c>
    </row>
    <row r="28" spans="1:32" x14ac:dyDescent="0.2">
      <c r="A28" s="32" t="s">
        <v>98</v>
      </c>
      <c r="L28" s="32" t="s">
        <v>97</v>
      </c>
      <c r="N28" s="30" t="s">
        <v>110</v>
      </c>
      <c r="W28" s="32" t="s">
        <v>109</v>
      </c>
      <c r="Y28" s="30" t="s">
        <v>108</v>
      </c>
    </row>
    <row r="29" spans="1:32" ht="51" x14ac:dyDescent="0.2">
      <c r="A29" s="34" t="s">
        <v>96</v>
      </c>
      <c r="B29" s="34" t="s">
        <v>95</v>
      </c>
      <c r="C29" s="34" t="s">
        <v>111</v>
      </c>
      <c r="D29" s="34" t="s">
        <v>93</v>
      </c>
      <c r="E29" s="34" t="s">
        <v>92</v>
      </c>
      <c r="F29" s="34" t="s">
        <v>91</v>
      </c>
      <c r="G29" s="34" t="s">
        <v>90</v>
      </c>
      <c r="H29" s="34" t="s">
        <v>89</v>
      </c>
      <c r="I29" s="34" t="s">
        <v>88</v>
      </c>
      <c r="J29" s="34" t="s">
        <v>87</v>
      </c>
      <c r="L29" s="34" t="s">
        <v>96</v>
      </c>
      <c r="M29" s="34" t="s">
        <v>95</v>
      </c>
      <c r="N29" s="34" t="s">
        <v>111</v>
      </c>
      <c r="O29" s="34" t="s">
        <v>93</v>
      </c>
      <c r="P29" s="34" t="s">
        <v>92</v>
      </c>
      <c r="Q29" s="34" t="s">
        <v>91</v>
      </c>
      <c r="R29" s="34" t="s">
        <v>90</v>
      </c>
      <c r="S29" s="34" t="s">
        <v>89</v>
      </c>
      <c r="T29" s="34" t="s">
        <v>88</v>
      </c>
      <c r="U29" s="34" t="s">
        <v>87</v>
      </c>
      <c r="W29" s="34" t="s">
        <v>96</v>
      </c>
      <c r="X29" s="34" t="s">
        <v>95</v>
      </c>
      <c r="Y29" s="34" t="s">
        <v>111</v>
      </c>
      <c r="Z29" s="34" t="s">
        <v>93</v>
      </c>
      <c r="AA29" s="34" t="s">
        <v>92</v>
      </c>
      <c r="AB29" s="34" t="s">
        <v>91</v>
      </c>
      <c r="AC29" s="34" t="s">
        <v>90</v>
      </c>
      <c r="AD29" s="34" t="s">
        <v>89</v>
      </c>
      <c r="AE29" s="34" t="s">
        <v>88</v>
      </c>
      <c r="AF29" s="34" t="s">
        <v>87</v>
      </c>
    </row>
    <row r="30" spans="1:32" x14ac:dyDescent="0.2">
      <c r="A30" s="30">
        <v>0</v>
      </c>
      <c r="B30" s="30">
        <v>1</v>
      </c>
      <c r="C30" s="30">
        <v>1</v>
      </c>
      <c r="D30" s="30">
        <v>0</v>
      </c>
      <c r="F30" s="30">
        <f>D30+E30</f>
        <v>0</v>
      </c>
      <c r="G30" s="30">
        <f>D30/C30</f>
        <v>0</v>
      </c>
      <c r="H30" s="30">
        <f>E30/C30</f>
        <v>0</v>
      </c>
      <c r="I30" s="30">
        <f>(H30+G30)/C30</f>
        <v>0</v>
      </c>
      <c r="L30" s="30">
        <v>0</v>
      </c>
      <c r="M30" s="30">
        <v>1</v>
      </c>
      <c r="N30" s="30">
        <v>1</v>
      </c>
      <c r="O30" s="30">
        <v>0</v>
      </c>
      <c r="Q30" s="30">
        <f>O30+P30</f>
        <v>0</v>
      </c>
      <c r="R30" s="30">
        <f>O30/N30</f>
        <v>0</v>
      </c>
      <c r="S30" s="30">
        <f>P30/N30</f>
        <v>0</v>
      </c>
      <c r="T30" s="30">
        <f>(S30+R30)/N30</f>
        <v>0</v>
      </c>
      <c r="W30" s="30">
        <v>0</v>
      </c>
      <c r="X30" s="30">
        <v>1</v>
      </c>
      <c r="Y30" s="30">
        <v>1</v>
      </c>
      <c r="Z30" s="30">
        <v>0</v>
      </c>
      <c r="AB30" s="30">
        <f>Z30+AA30</f>
        <v>0</v>
      </c>
      <c r="AC30" s="30">
        <f>Z30/Y30</f>
        <v>0</v>
      </c>
      <c r="AD30" s="30">
        <f>AA30/Y30</f>
        <v>0</v>
      </c>
      <c r="AE30" s="30">
        <f>(AD30+AC30)/Y30</f>
        <v>0</v>
      </c>
    </row>
    <row r="31" spans="1:32" x14ac:dyDescent="0.2">
      <c r="A31" s="30">
        <v>1</v>
      </c>
      <c r="B31" s="30">
        <v>1</v>
      </c>
      <c r="C31" s="30">
        <v>1</v>
      </c>
      <c r="D31" s="30">
        <v>0</v>
      </c>
      <c r="F31" s="30">
        <f>D31+E31</f>
        <v>0</v>
      </c>
      <c r="G31" s="30">
        <f>D31/C31</f>
        <v>0</v>
      </c>
      <c r="H31" s="30">
        <f>E31/C31</f>
        <v>0</v>
      </c>
      <c r="J31" s="30">
        <f>I31-I30</f>
        <v>0</v>
      </c>
      <c r="L31" s="30">
        <v>1</v>
      </c>
      <c r="M31" s="30">
        <v>1</v>
      </c>
      <c r="N31" s="30">
        <v>1</v>
      </c>
      <c r="O31" s="30">
        <v>0</v>
      </c>
      <c r="Q31" s="30">
        <f>O31+P31</f>
        <v>0</v>
      </c>
      <c r="R31" s="30">
        <f>O31/N31</f>
        <v>0</v>
      </c>
      <c r="S31" s="30">
        <f>P31/N31</f>
        <v>0</v>
      </c>
      <c r="U31" s="30">
        <f>T31-T30</f>
        <v>0</v>
      </c>
      <c r="W31" s="30">
        <v>1</v>
      </c>
      <c r="X31" s="30">
        <v>1</v>
      </c>
      <c r="Y31" s="30">
        <v>1</v>
      </c>
      <c r="Z31" s="30">
        <v>0</v>
      </c>
      <c r="AB31" s="30">
        <f>Z31+AA31</f>
        <v>0</v>
      </c>
      <c r="AC31" s="30">
        <f>Z31/Y31</f>
        <v>0</v>
      </c>
      <c r="AD31" s="30">
        <f>AA31/Y31</f>
        <v>0</v>
      </c>
      <c r="AF31" s="30">
        <f>AE31-AE30</f>
        <v>0</v>
      </c>
    </row>
    <row r="32" spans="1:32" x14ac:dyDescent="0.2">
      <c r="A32" s="30">
        <v>2</v>
      </c>
      <c r="B32" s="30">
        <v>1</v>
      </c>
      <c r="C32" s="30">
        <v>1</v>
      </c>
      <c r="D32" s="30">
        <v>0</v>
      </c>
      <c r="F32" s="30">
        <f>D32+E32</f>
        <v>0</v>
      </c>
      <c r="G32" s="30">
        <f>D32/C32</f>
        <v>0</v>
      </c>
      <c r="H32" s="30">
        <f>E32/C32</f>
        <v>0</v>
      </c>
      <c r="J32" s="30">
        <f>I32-I31</f>
        <v>0</v>
      </c>
      <c r="L32" s="30">
        <v>2</v>
      </c>
      <c r="M32" s="30">
        <v>1</v>
      </c>
      <c r="N32" s="30">
        <v>1</v>
      </c>
      <c r="O32" s="30">
        <v>0</v>
      </c>
      <c r="Q32" s="30">
        <f>O32+P32</f>
        <v>0</v>
      </c>
      <c r="R32" s="30">
        <f>O32/N32</f>
        <v>0</v>
      </c>
      <c r="S32" s="30">
        <f>P32/N32</f>
        <v>0</v>
      </c>
      <c r="U32" s="30">
        <f>T32-T31</f>
        <v>0</v>
      </c>
      <c r="W32" s="30">
        <v>2</v>
      </c>
      <c r="X32" s="30">
        <v>1</v>
      </c>
      <c r="Y32" s="30">
        <v>1</v>
      </c>
      <c r="Z32" s="30">
        <v>0</v>
      </c>
      <c r="AB32" s="30">
        <f>Z32+AA32</f>
        <v>0</v>
      </c>
      <c r="AC32" s="30">
        <f>Z32/Y32</f>
        <v>0</v>
      </c>
      <c r="AD32" s="30">
        <f>AA32/Y32</f>
        <v>0</v>
      </c>
      <c r="AF32" s="30">
        <f>AE32-AE31</f>
        <v>0</v>
      </c>
    </row>
    <row r="33" spans="1:35" x14ac:dyDescent="0.2">
      <c r="A33" s="30">
        <v>3</v>
      </c>
      <c r="B33" s="30">
        <v>1</v>
      </c>
      <c r="C33" s="30">
        <v>1</v>
      </c>
      <c r="D33" s="30">
        <v>0</v>
      </c>
      <c r="F33" s="30">
        <f>D33+E33</f>
        <v>0</v>
      </c>
      <c r="G33" s="30">
        <f>D33/C33</f>
        <v>0</v>
      </c>
      <c r="H33" s="30">
        <f>E33/C33</f>
        <v>0</v>
      </c>
      <c r="J33" s="30">
        <f>I33-I32</f>
        <v>0</v>
      </c>
      <c r="L33" s="30">
        <v>3</v>
      </c>
      <c r="M33" s="30">
        <v>1</v>
      </c>
      <c r="N33" s="30">
        <v>1</v>
      </c>
      <c r="O33" s="30">
        <v>0</v>
      </c>
      <c r="Q33" s="30">
        <f>O33+P33</f>
        <v>0</v>
      </c>
      <c r="R33" s="30">
        <f>O33/N33</f>
        <v>0</v>
      </c>
      <c r="S33" s="30">
        <f>P33/N33</f>
        <v>0</v>
      </c>
      <c r="U33" s="30">
        <f>T33-T32</f>
        <v>0</v>
      </c>
      <c r="W33" s="30">
        <v>3</v>
      </c>
      <c r="X33" s="30">
        <v>1</v>
      </c>
      <c r="Y33" s="30">
        <v>1</v>
      </c>
      <c r="Z33" s="30">
        <v>0</v>
      </c>
      <c r="AB33" s="30">
        <f>Z33+AA33</f>
        <v>0</v>
      </c>
      <c r="AC33" s="30">
        <f>Z33/Y33</f>
        <v>0</v>
      </c>
      <c r="AD33" s="30">
        <f>AA33/Y33</f>
        <v>0</v>
      </c>
      <c r="AF33" s="30">
        <f>AE33-AE32</f>
        <v>0</v>
      </c>
    </row>
    <row r="35" spans="1:35" x14ac:dyDescent="0.2">
      <c r="A35" s="32" t="s">
        <v>47</v>
      </c>
    </row>
    <row r="36" spans="1:35" x14ac:dyDescent="0.2">
      <c r="A36" s="30" t="s">
        <v>98</v>
      </c>
      <c r="L36" s="32" t="s">
        <v>97</v>
      </c>
      <c r="N36" s="30" t="s">
        <v>110</v>
      </c>
      <c r="W36" s="32" t="s">
        <v>109</v>
      </c>
      <c r="Y36" s="30" t="s">
        <v>108</v>
      </c>
    </row>
    <row r="37" spans="1:35" ht="51" x14ac:dyDescent="0.2">
      <c r="A37" s="33" t="s">
        <v>96</v>
      </c>
      <c r="B37" s="33" t="s">
        <v>95</v>
      </c>
      <c r="C37" s="33" t="s">
        <v>107</v>
      </c>
      <c r="D37" s="33" t="s">
        <v>93</v>
      </c>
      <c r="E37" s="33" t="s">
        <v>92</v>
      </c>
      <c r="F37" s="33" t="s">
        <v>91</v>
      </c>
      <c r="G37" s="33" t="s">
        <v>90</v>
      </c>
      <c r="H37" s="33" t="s">
        <v>89</v>
      </c>
      <c r="I37" s="33" t="s">
        <v>88</v>
      </c>
      <c r="J37" s="33" t="s">
        <v>87</v>
      </c>
      <c r="L37" s="33" t="s">
        <v>96</v>
      </c>
      <c r="M37" s="33" t="s">
        <v>95</v>
      </c>
      <c r="N37" s="33" t="s">
        <v>107</v>
      </c>
      <c r="O37" s="33" t="s">
        <v>93</v>
      </c>
      <c r="P37" s="33" t="s">
        <v>92</v>
      </c>
      <c r="Q37" s="33" t="s">
        <v>91</v>
      </c>
      <c r="R37" s="33" t="s">
        <v>90</v>
      </c>
      <c r="S37" s="33" t="s">
        <v>89</v>
      </c>
      <c r="T37" s="33" t="s">
        <v>88</v>
      </c>
      <c r="U37" s="33" t="s">
        <v>87</v>
      </c>
      <c r="W37" s="33" t="s">
        <v>96</v>
      </c>
      <c r="X37" s="33" t="s">
        <v>95</v>
      </c>
      <c r="Y37" s="33" t="s">
        <v>107</v>
      </c>
      <c r="Z37" s="33" t="s">
        <v>93</v>
      </c>
      <c r="AA37" s="33" t="s">
        <v>92</v>
      </c>
      <c r="AB37" s="33" t="s">
        <v>91</v>
      </c>
      <c r="AC37" s="33" t="s">
        <v>90</v>
      </c>
      <c r="AD37" s="33" t="s">
        <v>89</v>
      </c>
      <c r="AE37" s="33" t="s">
        <v>88</v>
      </c>
      <c r="AF37" s="33" t="s">
        <v>87</v>
      </c>
    </row>
    <row r="38" spans="1:35" x14ac:dyDescent="0.2">
      <c r="A38" s="32">
        <v>0</v>
      </c>
      <c r="B38" s="32">
        <v>1</v>
      </c>
      <c r="C38" s="32">
        <v>1</v>
      </c>
      <c r="D38" s="32">
        <v>0</v>
      </c>
      <c r="E38" s="32"/>
      <c r="F38" s="32">
        <v>0</v>
      </c>
      <c r="G38" s="32">
        <v>0</v>
      </c>
      <c r="H38" s="32">
        <v>0</v>
      </c>
      <c r="I38" s="32">
        <v>0</v>
      </c>
      <c r="J38" s="32"/>
      <c r="L38" s="32">
        <v>0</v>
      </c>
      <c r="M38" s="32">
        <v>1</v>
      </c>
      <c r="N38" s="32">
        <v>1</v>
      </c>
      <c r="O38" s="32">
        <v>0</v>
      </c>
      <c r="P38" s="32"/>
      <c r="Q38" s="32">
        <v>0</v>
      </c>
      <c r="R38" s="32">
        <v>0</v>
      </c>
      <c r="S38" s="32">
        <v>0</v>
      </c>
      <c r="T38" s="32">
        <v>0</v>
      </c>
      <c r="U38" s="32"/>
      <c r="W38" s="32">
        <v>0</v>
      </c>
      <c r="X38" s="32">
        <v>1</v>
      </c>
      <c r="Y38" s="32">
        <v>1</v>
      </c>
      <c r="Z38" s="32">
        <v>0</v>
      </c>
      <c r="AA38" s="32"/>
      <c r="AB38" s="32">
        <v>0</v>
      </c>
      <c r="AC38" s="32">
        <v>0</v>
      </c>
      <c r="AD38" s="32">
        <v>0</v>
      </c>
      <c r="AE38" s="32">
        <v>0</v>
      </c>
      <c r="AF38" s="32"/>
    </row>
    <row r="39" spans="1:35" x14ac:dyDescent="0.2">
      <c r="A39" s="32">
        <v>1</v>
      </c>
      <c r="B39" s="32">
        <v>1</v>
      </c>
      <c r="C39" s="32">
        <v>1</v>
      </c>
      <c r="D39" s="32">
        <v>0</v>
      </c>
      <c r="E39" s="32"/>
      <c r="F39" s="32">
        <v>0</v>
      </c>
      <c r="G39" s="32">
        <v>0</v>
      </c>
      <c r="H39" s="32">
        <v>0</v>
      </c>
      <c r="I39" s="32"/>
      <c r="J39" s="32">
        <v>0</v>
      </c>
      <c r="L39" s="32">
        <v>1</v>
      </c>
      <c r="M39" s="32">
        <v>1</v>
      </c>
      <c r="N39" s="32">
        <v>1</v>
      </c>
      <c r="O39" s="32">
        <v>0</v>
      </c>
      <c r="P39" s="32"/>
      <c r="Q39" s="32">
        <v>0</v>
      </c>
      <c r="R39" s="32">
        <v>0</v>
      </c>
      <c r="S39" s="32">
        <v>0</v>
      </c>
      <c r="T39" s="32"/>
      <c r="U39" s="32">
        <v>0</v>
      </c>
      <c r="W39" s="32">
        <v>1</v>
      </c>
      <c r="X39" s="32">
        <v>1</v>
      </c>
      <c r="Y39" s="32">
        <v>1</v>
      </c>
      <c r="Z39" s="32">
        <v>0</v>
      </c>
      <c r="AA39" s="32"/>
      <c r="AB39" s="32">
        <v>0</v>
      </c>
      <c r="AC39" s="32">
        <v>0</v>
      </c>
      <c r="AD39" s="32">
        <v>0</v>
      </c>
      <c r="AE39" s="32"/>
      <c r="AF39" s="32">
        <v>0</v>
      </c>
    </row>
    <row r="40" spans="1:35" x14ac:dyDescent="0.2">
      <c r="A40" s="32">
        <v>2</v>
      </c>
      <c r="B40" s="32">
        <v>1</v>
      </c>
      <c r="C40" s="32">
        <v>1</v>
      </c>
      <c r="D40" s="32">
        <v>0</v>
      </c>
      <c r="E40" s="32"/>
      <c r="F40" s="32">
        <v>0</v>
      </c>
      <c r="G40" s="32">
        <v>0</v>
      </c>
      <c r="H40" s="32">
        <v>0</v>
      </c>
      <c r="I40" s="32"/>
      <c r="J40" s="32">
        <v>0</v>
      </c>
      <c r="L40" s="32">
        <v>2</v>
      </c>
      <c r="M40" s="32">
        <v>1</v>
      </c>
      <c r="N40" s="32">
        <v>1</v>
      </c>
      <c r="O40" s="32">
        <v>0</v>
      </c>
      <c r="P40" s="32"/>
      <c r="Q40" s="32">
        <v>0</v>
      </c>
      <c r="R40" s="32">
        <v>0</v>
      </c>
      <c r="S40" s="32">
        <v>0</v>
      </c>
      <c r="T40" s="32"/>
      <c r="U40" s="32">
        <v>0</v>
      </c>
      <c r="W40" s="32">
        <v>2</v>
      </c>
      <c r="X40" s="32">
        <v>1</v>
      </c>
      <c r="Y40" s="32">
        <v>1</v>
      </c>
      <c r="Z40" s="32">
        <v>0</v>
      </c>
      <c r="AA40" s="32"/>
      <c r="AB40" s="32">
        <v>0</v>
      </c>
      <c r="AC40" s="32">
        <v>0</v>
      </c>
      <c r="AD40" s="32">
        <v>0</v>
      </c>
      <c r="AE40" s="32"/>
      <c r="AF40" s="32">
        <v>0</v>
      </c>
    </row>
    <row r="41" spans="1:35" x14ac:dyDescent="0.2">
      <c r="A41" s="32">
        <v>3</v>
      </c>
      <c r="B41" s="32">
        <v>1</v>
      </c>
      <c r="C41" s="32">
        <v>1</v>
      </c>
      <c r="D41" s="32">
        <v>0</v>
      </c>
      <c r="E41" s="32"/>
      <c r="F41" s="32">
        <v>0</v>
      </c>
      <c r="G41" s="32">
        <v>0</v>
      </c>
      <c r="H41" s="32">
        <v>0</v>
      </c>
      <c r="I41" s="32"/>
      <c r="J41" s="32">
        <v>0</v>
      </c>
      <c r="L41" s="32">
        <v>3</v>
      </c>
      <c r="M41" s="32">
        <v>1</v>
      </c>
      <c r="N41" s="32">
        <v>1</v>
      </c>
      <c r="O41" s="32">
        <v>0</v>
      </c>
      <c r="P41" s="32"/>
      <c r="Q41" s="32">
        <v>0</v>
      </c>
      <c r="R41" s="32">
        <v>0</v>
      </c>
      <c r="S41" s="32">
        <v>0</v>
      </c>
      <c r="T41" s="32"/>
      <c r="U41" s="32">
        <v>0</v>
      </c>
      <c r="W41" s="32">
        <v>3</v>
      </c>
      <c r="X41" s="32">
        <v>1</v>
      </c>
      <c r="Y41" s="32">
        <v>1</v>
      </c>
      <c r="Z41" s="32">
        <v>0</v>
      </c>
      <c r="AA41" s="32"/>
      <c r="AB41" s="32">
        <v>0</v>
      </c>
      <c r="AC41" s="32">
        <v>0</v>
      </c>
      <c r="AD41" s="32">
        <v>0</v>
      </c>
      <c r="AE41" s="32"/>
      <c r="AF41" s="32">
        <v>0</v>
      </c>
    </row>
    <row r="43" spans="1:35" x14ac:dyDescent="0.2">
      <c r="A43" s="30" t="s">
        <v>61</v>
      </c>
    </row>
    <row r="44" spans="1:35" x14ac:dyDescent="0.2">
      <c r="A44" s="30" t="s">
        <v>98</v>
      </c>
      <c r="C44" s="30" t="s">
        <v>106</v>
      </c>
      <c r="M44" s="30" t="s">
        <v>97</v>
      </c>
      <c r="O44" s="30" t="s">
        <v>105</v>
      </c>
      <c r="Y44" s="30" t="s">
        <v>104</v>
      </c>
      <c r="AA44" s="30" t="s">
        <v>103</v>
      </c>
    </row>
    <row r="45" spans="1:35" ht="51" x14ac:dyDescent="0.2">
      <c r="A45" s="33" t="s">
        <v>96</v>
      </c>
      <c r="B45" s="33" t="s">
        <v>95</v>
      </c>
      <c r="C45" s="33" t="s">
        <v>102</v>
      </c>
      <c r="D45" s="33" t="s">
        <v>93</v>
      </c>
      <c r="E45" s="33" t="s">
        <v>92</v>
      </c>
      <c r="F45" s="33" t="s">
        <v>101</v>
      </c>
      <c r="G45" s="33" t="s">
        <v>91</v>
      </c>
      <c r="H45" s="33" t="s">
        <v>90</v>
      </c>
      <c r="I45" s="33" t="s">
        <v>89</v>
      </c>
      <c r="J45" s="33" t="s">
        <v>88</v>
      </c>
      <c r="K45" s="33" t="s">
        <v>87</v>
      </c>
      <c r="M45" s="33" t="s">
        <v>96</v>
      </c>
      <c r="N45" s="33" t="s">
        <v>95</v>
      </c>
      <c r="O45" s="33" t="s">
        <v>102</v>
      </c>
      <c r="P45" s="33" t="s">
        <v>93</v>
      </c>
      <c r="Q45" s="33" t="s">
        <v>92</v>
      </c>
      <c r="R45" s="33" t="s">
        <v>101</v>
      </c>
      <c r="S45" s="33" t="s">
        <v>91</v>
      </c>
      <c r="T45" s="33" t="s">
        <v>90</v>
      </c>
      <c r="U45" s="33" t="s">
        <v>89</v>
      </c>
      <c r="V45" s="33" t="s">
        <v>88</v>
      </c>
      <c r="W45" s="33" t="s">
        <v>87</v>
      </c>
      <c r="Y45" s="33" t="s">
        <v>96</v>
      </c>
      <c r="Z45" s="33" t="s">
        <v>95</v>
      </c>
      <c r="AA45" s="33" t="s">
        <v>102</v>
      </c>
      <c r="AB45" s="33" t="s">
        <v>93</v>
      </c>
      <c r="AC45" s="33" t="s">
        <v>92</v>
      </c>
      <c r="AD45" s="33" t="s">
        <v>101</v>
      </c>
      <c r="AE45" s="33" t="s">
        <v>91</v>
      </c>
      <c r="AF45" s="33" t="s">
        <v>90</v>
      </c>
      <c r="AG45" s="33" t="s">
        <v>89</v>
      </c>
      <c r="AH45" s="33" t="s">
        <v>88</v>
      </c>
      <c r="AI45" s="33" t="s">
        <v>87</v>
      </c>
    </row>
    <row r="46" spans="1:35" x14ac:dyDescent="0.2">
      <c r="A46" s="32">
        <v>0</v>
      </c>
      <c r="B46" s="32">
        <v>1</v>
      </c>
      <c r="C46" s="32">
        <v>1</v>
      </c>
      <c r="D46" s="32">
        <v>0</v>
      </c>
      <c r="E46" s="32"/>
      <c r="F46" s="32" t="s">
        <v>100</v>
      </c>
      <c r="G46" s="32">
        <v>0</v>
      </c>
      <c r="H46" s="32">
        <v>0</v>
      </c>
      <c r="I46" s="32">
        <v>0</v>
      </c>
      <c r="J46" s="32">
        <v>0</v>
      </c>
      <c r="K46" s="32"/>
      <c r="M46" s="32">
        <v>0</v>
      </c>
      <c r="N46" s="32">
        <v>1</v>
      </c>
      <c r="O46" s="32">
        <v>1</v>
      </c>
      <c r="P46" s="32">
        <v>0</v>
      </c>
      <c r="Q46" s="32"/>
      <c r="R46" s="32" t="s">
        <v>100</v>
      </c>
      <c r="S46" s="32">
        <v>0</v>
      </c>
      <c r="T46" s="32">
        <v>0</v>
      </c>
      <c r="U46" s="32">
        <v>0</v>
      </c>
      <c r="V46" s="32">
        <v>0</v>
      </c>
      <c r="W46" s="32"/>
      <c r="Y46" s="32">
        <v>0</v>
      </c>
      <c r="Z46" s="32">
        <v>1</v>
      </c>
      <c r="AA46" s="32">
        <v>1</v>
      </c>
      <c r="AB46" s="32">
        <v>0</v>
      </c>
      <c r="AC46" s="32"/>
      <c r="AD46" s="32" t="s">
        <v>100</v>
      </c>
      <c r="AE46" s="32">
        <v>0</v>
      </c>
      <c r="AF46" s="32">
        <v>0</v>
      </c>
      <c r="AG46" s="32">
        <v>0</v>
      </c>
      <c r="AH46" s="32">
        <v>0</v>
      </c>
      <c r="AI46" s="32"/>
    </row>
    <row r="47" spans="1:35" x14ac:dyDescent="0.2">
      <c r="A47" s="32">
        <v>1</v>
      </c>
      <c r="B47" s="32">
        <v>1</v>
      </c>
      <c r="C47" s="32">
        <v>1</v>
      </c>
      <c r="D47" s="32">
        <v>0</v>
      </c>
      <c r="E47" s="32"/>
      <c r="F47" s="32">
        <v>0</v>
      </c>
      <c r="G47" s="32">
        <v>0</v>
      </c>
      <c r="H47" s="32">
        <v>0</v>
      </c>
      <c r="I47" s="32">
        <v>0</v>
      </c>
      <c r="J47" s="32"/>
      <c r="K47" s="32">
        <v>0</v>
      </c>
      <c r="M47" s="32">
        <v>1</v>
      </c>
      <c r="N47" s="32">
        <v>1</v>
      </c>
      <c r="O47" s="32">
        <v>1</v>
      </c>
      <c r="P47" s="32">
        <v>0</v>
      </c>
      <c r="Q47" s="32"/>
      <c r="R47" s="32">
        <v>0</v>
      </c>
      <c r="S47" s="32">
        <v>0</v>
      </c>
      <c r="T47" s="32">
        <v>0</v>
      </c>
      <c r="U47" s="32">
        <v>0</v>
      </c>
      <c r="V47" s="32"/>
      <c r="W47" s="32">
        <v>0</v>
      </c>
      <c r="Y47" s="32">
        <v>1</v>
      </c>
      <c r="Z47" s="32">
        <v>1</v>
      </c>
      <c r="AA47" s="32">
        <v>1</v>
      </c>
      <c r="AB47" s="32">
        <v>0</v>
      </c>
      <c r="AC47" s="32"/>
      <c r="AD47" s="32">
        <v>0</v>
      </c>
      <c r="AE47" s="32">
        <v>0</v>
      </c>
      <c r="AF47" s="32">
        <v>0</v>
      </c>
      <c r="AG47" s="32">
        <v>0</v>
      </c>
      <c r="AH47" s="32"/>
      <c r="AI47" s="32">
        <v>0</v>
      </c>
    </row>
    <row r="48" spans="1:35" x14ac:dyDescent="0.2">
      <c r="A48" s="32">
        <v>2</v>
      </c>
      <c r="B48" s="32">
        <v>1</v>
      </c>
      <c r="C48" s="32">
        <v>1</v>
      </c>
      <c r="D48" s="32">
        <v>0</v>
      </c>
      <c r="E48" s="32"/>
      <c r="F48" s="32">
        <v>0</v>
      </c>
      <c r="G48" s="32">
        <v>0</v>
      </c>
      <c r="H48" s="32">
        <v>0</v>
      </c>
      <c r="I48" s="32">
        <v>0</v>
      </c>
      <c r="J48" s="32"/>
      <c r="K48" s="32">
        <v>0</v>
      </c>
      <c r="M48" s="32">
        <v>2</v>
      </c>
      <c r="N48" s="32">
        <v>1</v>
      </c>
      <c r="O48" s="32">
        <v>1</v>
      </c>
      <c r="P48" s="32">
        <v>0</v>
      </c>
      <c r="Q48" s="32"/>
      <c r="R48" s="32">
        <v>0</v>
      </c>
      <c r="S48" s="32">
        <v>0</v>
      </c>
      <c r="T48" s="32">
        <v>0</v>
      </c>
      <c r="U48" s="32">
        <v>0</v>
      </c>
      <c r="V48" s="32"/>
      <c r="W48" s="32">
        <v>0</v>
      </c>
      <c r="Y48" s="32">
        <v>2</v>
      </c>
      <c r="Z48" s="32">
        <v>1</v>
      </c>
      <c r="AA48" s="32">
        <v>1</v>
      </c>
      <c r="AB48" s="32">
        <v>0</v>
      </c>
      <c r="AC48" s="32"/>
      <c r="AD48" s="32">
        <v>0</v>
      </c>
      <c r="AE48" s="32">
        <v>0</v>
      </c>
      <c r="AF48" s="32">
        <v>0</v>
      </c>
      <c r="AG48" s="32">
        <v>0</v>
      </c>
      <c r="AH48" s="32"/>
      <c r="AI48" s="32">
        <v>0</v>
      </c>
    </row>
    <row r="49" spans="1:35" x14ac:dyDescent="0.2">
      <c r="A49" s="32">
        <v>3</v>
      </c>
      <c r="B49" s="32">
        <v>1</v>
      </c>
      <c r="C49" s="32">
        <v>1</v>
      </c>
      <c r="D49" s="32">
        <v>0</v>
      </c>
      <c r="E49" s="32"/>
      <c r="F49" s="32">
        <v>0</v>
      </c>
      <c r="G49" s="32">
        <v>0</v>
      </c>
      <c r="H49" s="32">
        <v>0</v>
      </c>
      <c r="I49" s="32">
        <v>0</v>
      </c>
      <c r="J49" s="32"/>
      <c r="K49" s="32">
        <v>0</v>
      </c>
      <c r="M49" s="32">
        <v>3</v>
      </c>
      <c r="N49" s="32">
        <v>1</v>
      </c>
      <c r="O49" s="32">
        <v>1</v>
      </c>
      <c r="P49" s="32">
        <v>0</v>
      </c>
      <c r="Q49" s="32"/>
      <c r="R49" s="32">
        <v>0</v>
      </c>
      <c r="S49" s="32">
        <v>0</v>
      </c>
      <c r="T49" s="32">
        <v>0</v>
      </c>
      <c r="U49" s="32">
        <v>0</v>
      </c>
      <c r="V49" s="32"/>
      <c r="W49" s="32">
        <v>0</v>
      </c>
      <c r="Y49" s="32">
        <v>3</v>
      </c>
      <c r="Z49" s="32">
        <v>1</v>
      </c>
      <c r="AA49" s="32">
        <v>1</v>
      </c>
      <c r="AB49" s="32">
        <v>0</v>
      </c>
      <c r="AC49" s="32"/>
      <c r="AD49" s="32">
        <v>0</v>
      </c>
      <c r="AE49" s="32">
        <v>0</v>
      </c>
      <c r="AF49" s="32">
        <v>0</v>
      </c>
      <c r="AG49" s="32">
        <v>0</v>
      </c>
      <c r="AH49" s="32"/>
      <c r="AI49" s="32">
        <v>0</v>
      </c>
    </row>
    <row r="51" spans="1:35" x14ac:dyDescent="0.2">
      <c r="A51" s="30" t="s">
        <v>99</v>
      </c>
    </row>
    <row r="52" spans="1:35" x14ac:dyDescent="0.2">
      <c r="A52" s="30" t="s">
        <v>98</v>
      </c>
      <c r="L52" s="30" t="s">
        <v>97</v>
      </c>
      <c r="W52" s="30" t="s">
        <v>97</v>
      </c>
    </row>
    <row r="53" spans="1:35" ht="51" x14ac:dyDescent="0.2">
      <c r="A53" s="33" t="s">
        <v>96</v>
      </c>
      <c r="B53" s="33" t="s">
        <v>95</v>
      </c>
      <c r="C53" s="33" t="s">
        <v>94</v>
      </c>
      <c r="D53" s="33" t="s">
        <v>93</v>
      </c>
      <c r="E53" s="33" t="s">
        <v>92</v>
      </c>
      <c r="F53" s="33" t="s">
        <v>91</v>
      </c>
      <c r="G53" s="33" t="s">
        <v>90</v>
      </c>
      <c r="H53" s="33" t="s">
        <v>89</v>
      </c>
      <c r="I53" s="33" t="s">
        <v>88</v>
      </c>
      <c r="J53" s="33" t="s">
        <v>87</v>
      </c>
      <c r="L53" s="33" t="s">
        <v>96</v>
      </c>
      <c r="M53" s="33" t="s">
        <v>95</v>
      </c>
      <c r="N53" s="33" t="s">
        <v>94</v>
      </c>
      <c r="O53" s="33" t="s">
        <v>93</v>
      </c>
      <c r="P53" s="33" t="s">
        <v>92</v>
      </c>
      <c r="Q53" s="33" t="s">
        <v>91</v>
      </c>
      <c r="R53" s="33" t="s">
        <v>90</v>
      </c>
      <c r="S53" s="33" t="s">
        <v>89</v>
      </c>
      <c r="T53" s="33" t="s">
        <v>88</v>
      </c>
      <c r="U53" s="33" t="s">
        <v>87</v>
      </c>
      <c r="W53" s="33" t="s">
        <v>96</v>
      </c>
      <c r="X53" s="33" t="s">
        <v>95</v>
      </c>
      <c r="Y53" s="33" t="s">
        <v>94</v>
      </c>
      <c r="Z53" s="33" t="s">
        <v>93</v>
      </c>
      <c r="AA53" s="33" t="s">
        <v>92</v>
      </c>
      <c r="AB53" s="33" t="s">
        <v>91</v>
      </c>
      <c r="AC53" s="33" t="s">
        <v>90</v>
      </c>
      <c r="AD53" s="33" t="s">
        <v>89</v>
      </c>
      <c r="AE53" s="33" t="s">
        <v>88</v>
      </c>
      <c r="AF53" s="33" t="s">
        <v>87</v>
      </c>
    </row>
    <row r="54" spans="1:35" x14ac:dyDescent="0.2">
      <c r="A54" s="32">
        <v>0</v>
      </c>
      <c r="B54" s="32">
        <v>1</v>
      </c>
      <c r="C54" s="32">
        <v>1</v>
      </c>
      <c r="D54" s="32">
        <v>0</v>
      </c>
      <c r="E54" s="32"/>
      <c r="F54" s="32">
        <v>0</v>
      </c>
      <c r="G54" s="32">
        <v>0</v>
      </c>
      <c r="H54" s="32">
        <v>0</v>
      </c>
      <c r="I54" s="32">
        <v>0</v>
      </c>
      <c r="J54" s="32"/>
      <c r="L54" s="32">
        <v>0</v>
      </c>
      <c r="M54" s="32">
        <v>1</v>
      </c>
      <c r="N54" s="32">
        <v>1</v>
      </c>
      <c r="O54" s="32">
        <v>0</v>
      </c>
      <c r="P54" s="32"/>
      <c r="Q54" s="32">
        <v>0</v>
      </c>
      <c r="R54" s="32">
        <v>0</v>
      </c>
      <c r="S54" s="32">
        <v>0</v>
      </c>
      <c r="T54" s="32">
        <v>0</v>
      </c>
      <c r="U54" s="32"/>
      <c r="W54" s="32">
        <v>0</v>
      </c>
      <c r="X54" s="32">
        <v>1</v>
      </c>
      <c r="Y54" s="32">
        <v>1</v>
      </c>
      <c r="Z54" s="32">
        <v>0</v>
      </c>
      <c r="AA54" s="32"/>
      <c r="AB54" s="32">
        <v>0</v>
      </c>
      <c r="AC54" s="32">
        <v>0</v>
      </c>
      <c r="AD54" s="32">
        <v>0</v>
      </c>
      <c r="AE54" s="32">
        <v>0</v>
      </c>
      <c r="AF54" s="32"/>
    </row>
    <row r="55" spans="1:35" x14ac:dyDescent="0.2">
      <c r="A55" s="32">
        <v>1</v>
      </c>
      <c r="B55" s="32">
        <v>1</v>
      </c>
      <c r="C55" s="32">
        <v>1</v>
      </c>
      <c r="D55" s="32">
        <v>0</v>
      </c>
      <c r="E55" s="32"/>
      <c r="F55" s="32">
        <v>0</v>
      </c>
      <c r="G55" s="32">
        <v>0</v>
      </c>
      <c r="H55" s="32">
        <v>0</v>
      </c>
      <c r="I55" s="32"/>
      <c r="J55" s="32">
        <v>0</v>
      </c>
      <c r="L55" s="32">
        <v>1</v>
      </c>
      <c r="M55" s="32">
        <v>1</v>
      </c>
      <c r="N55" s="32">
        <v>1</v>
      </c>
      <c r="O55" s="32">
        <v>0</v>
      </c>
      <c r="P55" s="32"/>
      <c r="Q55" s="32">
        <v>0</v>
      </c>
      <c r="R55" s="32">
        <v>0</v>
      </c>
      <c r="S55" s="32">
        <v>0</v>
      </c>
      <c r="T55" s="32"/>
      <c r="U55" s="32">
        <v>0</v>
      </c>
      <c r="W55" s="32">
        <v>1</v>
      </c>
      <c r="X55" s="32">
        <v>1</v>
      </c>
      <c r="Y55" s="32">
        <v>1</v>
      </c>
      <c r="Z55" s="32">
        <v>0</v>
      </c>
      <c r="AA55" s="32"/>
      <c r="AB55" s="32">
        <v>0</v>
      </c>
      <c r="AC55" s="32">
        <v>0</v>
      </c>
      <c r="AD55" s="32">
        <v>0</v>
      </c>
      <c r="AE55" s="32"/>
      <c r="AF55" s="32">
        <v>0</v>
      </c>
    </row>
    <row r="56" spans="1:35" x14ac:dyDescent="0.2">
      <c r="A56" s="32">
        <v>2</v>
      </c>
      <c r="B56" s="32">
        <v>1</v>
      </c>
      <c r="C56" s="32">
        <v>1</v>
      </c>
      <c r="D56" s="32">
        <v>0</v>
      </c>
      <c r="E56" s="32"/>
      <c r="F56" s="32">
        <v>0</v>
      </c>
      <c r="G56" s="32">
        <v>0</v>
      </c>
      <c r="H56" s="32">
        <v>0</v>
      </c>
      <c r="I56" s="32"/>
      <c r="J56" s="32">
        <v>0</v>
      </c>
      <c r="L56" s="32">
        <v>2</v>
      </c>
      <c r="M56" s="32">
        <v>1</v>
      </c>
      <c r="N56" s="32">
        <v>1</v>
      </c>
      <c r="O56" s="32">
        <v>0</v>
      </c>
      <c r="P56" s="32"/>
      <c r="Q56" s="32">
        <v>0</v>
      </c>
      <c r="R56" s="32">
        <v>0</v>
      </c>
      <c r="S56" s="32">
        <v>0</v>
      </c>
      <c r="T56" s="32"/>
      <c r="U56" s="32">
        <v>0</v>
      </c>
      <c r="W56" s="32">
        <v>2</v>
      </c>
      <c r="X56" s="32">
        <v>1</v>
      </c>
      <c r="Y56" s="32">
        <v>1</v>
      </c>
      <c r="Z56" s="32">
        <v>0</v>
      </c>
      <c r="AA56" s="32"/>
      <c r="AB56" s="32">
        <v>0</v>
      </c>
      <c r="AC56" s="32">
        <v>0</v>
      </c>
      <c r="AD56" s="32">
        <v>0</v>
      </c>
      <c r="AE56" s="32"/>
      <c r="AF56" s="32">
        <v>0</v>
      </c>
    </row>
    <row r="57" spans="1:35" x14ac:dyDescent="0.2">
      <c r="A57" s="32">
        <v>3</v>
      </c>
      <c r="B57" s="32">
        <v>1</v>
      </c>
      <c r="C57" s="32">
        <v>1</v>
      </c>
      <c r="D57" s="32">
        <v>0</v>
      </c>
      <c r="E57" s="32"/>
      <c r="F57" s="32">
        <v>0</v>
      </c>
      <c r="G57" s="32">
        <v>0</v>
      </c>
      <c r="H57" s="32">
        <v>0</v>
      </c>
      <c r="I57" s="32"/>
      <c r="J57" s="32">
        <v>0</v>
      </c>
      <c r="L57" s="32">
        <v>3</v>
      </c>
      <c r="M57" s="32">
        <v>1</v>
      </c>
      <c r="N57" s="32">
        <v>1</v>
      </c>
      <c r="O57" s="32">
        <v>0</v>
      </c>
      <c r="P57" s="32"/>
      <c r="Q57" s="32">
        <v>0</v>
      </c>
      <c r="R57" s="32">
        <v>0</v>
      </c>
      <c r="S57" s="32">
        <v>0</v>
      </c>
      <c r="T57" s="32"/>
      <c r="U57" s="32">
        <v>0</v>
      </c>
      <c r="W57" s="32">
        <v>3</v>
      </c>
      <c r="X57" s="32">
        <v>1</v>
      </c>
      <c r="Y57" s="32">
        <v>1</v>
      </c>
      <c r="Z57" s="32">
        <v>0</v>
      </c>
      <c r="AA57" s="32"/>
      <c r="AB57" s="32">
        <v>0</v>
      </c>
      <c r="AC57" s="32">
        <v>0</v>
      </c>
      <c r="AD57" s="32">
        <v>0</v>
      </c>
      <c r="AE57" s="32"/>
      <c r="AF57" s="32">
        <v>0</v>
      </c>
    </row>
    <row r="59" spans="1:35" x14ac:dyDescent="0.2">
      <c r="A59" s="165"/>
      <c r="B59" s="416" t="s">
        <v>580</v>
      </c>
      <c r="C59" s="437"/>
      <c r="D59" s="437"/>
      <c r="E59"/>
      <c r="F59" s="165"/>
      <c r="G59" s="416" t="s">
        <v>581</v>
      </c>
      <c r="H59" s="437"/>
      <c r="I59" s="437"/>
    </row>
    <row r="60" spans="1:35" x14ac:dyDescent="0.2">
      <c r="A60" s="168" t="s">
        <v>576</v>
      </c>
      <c r="B60" s="120">
        <v>1</v>
      </c>
      <c r="C60" s="120">
        <v>2</v>
      </c>
      <c r="D60" s="120">
        <v>3</v>
      </c>
      <c r="E60"/>
      <c r="F60" s="168" t="s">
        <v>576</v>
      </c>
      <c r="G60" s="120">
        <v>1</v>
      </c>
      <c r="H60" s="120">
        <v>2</v>
      </c>
      <c r="I60" s="120">
        <v>3</v>
      </c>
    </row>
    <row r="61" spans="1:35" x14ac:dyDescent="0.2">
      <c r="A61" s="120" t="s">
        <v>569</v>
      </c>
      <c r="B61" s="165">
        <v>6</v>
      </c>
      <c r="C61" s="165">
        <v>4.5</v>
      </c>
      <c r="D61" s="165">
        <v>3.5</v>
      </c>
      <c r="E61"/>
      <c r="F61" s="120" t="s">
        <v>569</v>
      </c>
      <c r="G61" s="165">
        <v>6</v>
      </c>
      <c r="H61" s="165">
        <v>4.5</v>
      </c>
      <c r="I61" s="165">
        <v>3.5</v>
      </c>
    </row>
    <row r="62" spans="1:35" x14ac:dyDescent="0.2">
      <c r="A62" s="120" t="s">
        <v>570</v>
      </c>
      <c r="B62" s="165">
        <v>6</v>
      </c>
      <c r="C62" s="165">
        <v>4</v>
      </c>
      <c r="D62" s="165">
        <v>3</v>
      </c>
      <c r="E62"/>
      <c r="F62" s="120" t="s">
        <v>570</v>
      </c>
      <c r="G62" s="165">
        <v>6</v>
      </c>
      <c r="H62" s="165">
        <v>4</v>
      </c>
      <c r="I62" s="165">
        <v>3</v>
      </c>
    </row>
    <row r="63" spans="1:35" x14ac:dyDescent="0.2">
      <c r="A63" s="120" t="s">
        <v>571</v>
      </c>
      <c r="B63" s="165">
        <v>6</v>
      </c>
      <c r="C63" s="165">
        <v>4</v>
      </c>
      <c r="D63" s="165">
        <v>3</v>
      </c>
      <c r="E63"/>
      <c r="F63" s="120" t="s">
        <v>571</v>
      </c>
      <c r="G63" s="165">
        <v>6</v>
      </c>
      <c r="H63" s="165">
        <v>4</v>
      </c>
      <c r="I63" s="165">
        <v>3</v>
      </c>
    </row>
    <row r="64" spans="1:35" x14ac:dyDescent="0.2">
      <c r="A64" s="120" t="s">
        <v>572</v>
      </c>
      <c r="B64" s="165">
        <v>6</v>
      </c>
      <c r="C64" s="165">
        <v>4</v>
      </c>
      <c r="D64" s="165">
        <v>3.5</v>
      </c>
      <c r="E64"/>
      <c r="F64" s="120" t="s">
        <v>572</v>
      </c>
      <c r="G64" s="165">
        <v>6</v>
      </c>
      <c r="H64" s="165">
        <v>4</v>
      </c>
      <c r="I64" s="165">
        <v>3.5</v>
      </c>
    </row>
    <row r="65" spans="1:9" x14ac:dyDescent="0.2">
      <c r="A65" s="120" t="s">
        <v>573</v>
      </c>
      <c r="B65" s="165">
        <v>6</v>
      </c>
      <c r="C65" s="165">
        <v>4</v>
      </c>
      <c r="D65" s="165">
        <v>4</v>
      </c>
      <c r="E65"/>
      <c r="F65" s="120" t="s">
        <v>573</v>
      </c>
      <c r="G65" s="165">
        <v>6</v>
      </c>
      <c r="H65" s="165">
        <v>4</v>
      </c>
      <c r="I65" s="165">
        <v>4</v>
      </c>
    </row>
    <row r="66" spans="1:9" x14ac:dyDescent="0.2">
      <c r="A66" s="120" t="s">
        <v>574</v>
      </c>
      <c r="B66" s="165">
        <v>0</v>
      </c>
      <c r="C66" s="165">
        <v>0</v>
      </c>
      <c r="D66" s="165">
        <v>0</v>
      </c>
      <c r="E66"/>
      <c r="F66" s="120" t="s">
        <v>574</v>
      </c>
      <c r="G66" s="165">
        <v>0</v>
      </c>
      <c r="H66" s="165">
        <v>0</v>
      </c>
      <c r="I66" s="165">
        <v>0</v>
      </c>
    </row>
    <row r="67" spans="1:9" x14ac:dyDescent="0.2">
      <c r="A67" s="120" t="s">
        <v>577</v>
      </c>
      <c r="B67" s="165">
        <f>SUM(B61:B66)</f>
        <v>30</v>
      </c>
      <c r="C67" s="165">
        <f>SUM(C61:C66)</f>
        <v>20.5</v>
      </c>
      <c r="D67" s="165">
        <f>SUM(D61:D66)</f>
        <v>17</v>
      </c>
      <c r="E67"/>
      <c r="F67" s="120" t="s">
        <v>577</v>
      </c>
      <c r="G67" s="165">
        <f>SUM(G61:G66)</f>
        <v>30</v>
      </c>
      <c r="H67" s="165">
        <f>SUM(H61:H66)</f>
        <v>20.5</v>
      </c>
      <c r="I67" s="165">
        <f>SUM(I61:I66)</f>
        <v>17</v>
      </c>
    </row>
    <row r="68" spans="1:9" x14ac:dyDescent="0.2">
      <c r="A68" s="120" t="s">
        <v>575</v>
      </c>
      <c r="B68" s="165">
        <f>B67*B60</f>
        <v>30</v>
      </c>
      <c r="C68" s="165">
        <f>C67*C60</f>
        <v>41</v>
      </c>
      <c r="D68" s="165">
        <f>D67*D60</f>
        <v>51</v>
      </c>
      <c r="E68"/>
      <c r="F68" s="120" t="s">
        <v>575</v>
      </c>
      <c r="G68" s="165">
        <f>G67*G60</f>
        <v>30</v>
      </c>
      <c r="H68" s="165">
        <f>H67*H60</f>
        <v>41</v>
      </c>
      <c r="I68" s="165">
        <f>I67*I60</f>
        <v>51</v>
      </c>
    </row>
    <row r="69" spans="1:9" x14ac:dyDescent="0.2">
      <c r="A69" s="120" t="s">
        <v>578</v>
      </c>
      <c r="B69" s="166">
        <f>Overview!$B$119*B68</f>
        <v>285</v>
      </c>
      <c r="C69" s="166">
        <f>Overview!$B$119*C68</f>
        <v>389.5</v>
      </c>
      <c r="D69" s="166">
        <f>Overview!$B$119*D68</f>
        <v>484.5</v>
      </c>
      <c r="E69"/>
      <c r="F69" s="120" t="s">
        <v>578</v>
      </c>
      <c r="G69" s="166">
        <f>Overview!$B$119*G68</f>
        <v>285</v>
      </c>
      <c r="H69" s="166">
        <f>Overview!$B$119*H68</f>
        <v>389.5</v>
      </c>
      <c r="I69" s="166">
        <f>Overview!$B$119*I68</f>
        <v>484.5</v>
      </c>
    </row>
    <row r="70" spans="1:9" x14ac:dyDescent="0.2">
      <c r="A70" s="165"/>
      <c r="B70" s="416" t="s">
        <v>579</v>
      </c>
      <c r="C70" s="416"/>
      <c r="D70" s="416"/>
      <c r="E70"/>
      <c r="F70" s="165"/>
      <c r="G70" s="416" t="s">
        <v>579</v>
      </c>
      <c r="H70" s="416"/>
      <c r="I70" s="416"/>
    </row>
    <row r="71" spans="1:9" x14ac:dyDescent="0.2">
      <c r="A71" s="120" t="s">
        <v>577</v>
      </c>
      <c r="B71" s="165">
        <f>B67*52/12</f>
        <v>130</v>
      </c>
      <c r="C71" s="165">
        <f>C67*52/12</f>
        <v>88.833333333333329</v>
      </c>
      <c r="D71" s="165">
        <f>D67*52/12</f>
        <v>73.666666666666671</v>
      </c>
      <c r="E71"/>
      <c r="F71" s="120" t="s">
        <v>577</v>
      </c>
      <c r="G71" s="165">
        <f>G67*52/12</f>
        <v>130</v>
      </c>
      <c r="H71" s="165">
        <f>H67*52/12</f>
        <v>88.833333333333329</v>
      </c>
      <c r="I71" s="165">
        <f>I67*52/12</f>
        <v>73.666666666666671</v>
      </c>
    </row>
    <row r="72" spans="1:9" x14ac:dyDescent="0.2">
      <c r="A72" s="120" t="s">
        <v>575</v>
      </c>
      <c r="B72" s="165">
        <f>B71*B60</f>
        <v>130</v>
      </c>
      <c r="C72" s="165">
        <f>C71*C60</f>
        <v>177.66666666666666</v>
      </c>
      <c r="D72" s="165">
        <f>D71*D60</f>
        <v>221</v>
      </c>
      <c r="E72"/>
      <c r="F72" s="120" t="s">
        <v>575</v>
      </c>
      <c r="G72" s="165">
        <f>G71*G60</f>
        <v>130</v>
      </c>
      <c r="H72" s="165">
        <f>H71*H60</f>
        <v>177.66666666666666</v>
      </c>
      <c r="I72" s="165">
        <f>I71*I60</f>
        <v>221</v>
      </c>
    </row>
    <row r="73" spans="1:9" x14ac:dyDescent="0.2">
      <c r="A73" s="120" t="s">
        <v>578</v>
      </c>
      <c r="B73" s="166">
        <f>B72*Overview!$B$119</f>
        <v>1235</v>
      </c>
      <c r="C73" s="166">
        <f>C72*Overview!$B$119</f>
        <v>1687.8333333333333</v>
      </c>
      <c r="D73" s="166">
        <f>D72*Overview!$B$119</f>
        <v>2099.5</v>
      </c>
      <c r="E73"/>
      <c r="F73" s="120" t="s">
        <v>578</v>
      </c>
      <c r="G73" s="166">
        <f>G72*Overview!$B$119</f>
        <v>1235</v>
      </c>
      <c r="H73" s="166">
        <f>H72*Overview!$B$119</f>
        <v>1687.8333333333333</v>
      </c>
      <c r="I73" s="166">
        <f>I72*Overview!$B$119</f>
        <v>2099.5</v>
      </c>
    </row>
  </sheetData>
  <sheetProtection algorithmName="SHA-512" hashValue="TT7a0TiFsC3UgD0F5EbxgfWA10cjfmS1iYb6NfuCf4qBkkNhXZ9OeAiHcHfmdunIW6pLkJCSVOZzhSJpc+Xhsg==" saltValue="vOTJIah3yZcGz85eDocOsg==" spinCount="100000" sheet="1" objects="1" scenarios="1"/>
  <mergeCells count="5">
    <mergeCell ref="G19:J19"/>
    <mergeCell ref="B59:D59"/>
    <mergeCell ref="B70:D70"/>
    <mergeCell ref="G59:I59"/>
    <mergeCell ref="G70:I7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8</vt:i4>
      </vt:variant>
      <vt:variant>
        <vt:lpstr>Named Ranges</vt:lpstr>
      </vt:variant>
      <vt:variant>
        <vt:i4>316</vt:i4>
      </vt:variant>
    </vt:vector>
  </HeadingPairs>
  <TitlesOfParts>
    <vt:vector size="324" baseType="lpstr">
      <vt:lpstr>Inputs</vt:lpstr>
      <vt:lpstr>Summary</vt:lpstr>
      <vt:lpstr>Overview</vt:lpstr>
      <vt:lpstr>CapEx Breakdown</vt:lpstr>
      <vt:lpstr>Consumables</vt:lpstr>
      <vt:lpstr>Database</vt:lpstr>
      <vt:lpstr>Risks</vt:lpstr>
      <vt:lpstr>Production Technologies</vt:lpstr>
      <vt:lpstr>admin_count_y1</vt:lpstr>
      <vt:lpstr>admin_count_y2</vt:lpstr>
      <vt:lpstr>admin_msalary</vt:lpstr>
      <vt:lpstr>automation_level</vt:lpstr>
      <vt:lpstr>avg_revenue_full</vt:lpstr>
      <vt:lpstr>avg_revenue_pilot</vt:lpstr>
      <vt:lpstr>avg_yield_full</vt:lpstr>
      <vt:lpstr>avg_yield_pilot</vt:lpstr>
      <vt:lpstr>biosecurity_level</vt:lpstr>
      <vt:lpstr>business_model</vt:lpstr>
      <vt:lpstr>ceiling_height</vt:lpstr>
      <vt:lpstr>ceo_count_y1</vt:lpstr>
      <vt:lpstr>ceo_count_y2</vt:lpstr>
      <vt:lpstr>ceo_msalary</vt:lpstr>
      <vt:lpstr>climate_control</vt:lpstr>
      <vt:lpstr>co2_enrichment</vt:lpstr>
      <vt:lpstr>construction_cost</vt:lpstr>
      <vt:lpstr>crop_total_percent</vt:lpstr>
      <vt:lpstr>crop_typ1</vt:lpstr>
      <vt:lpstr>crop_typ2</vt:lpstr>
      <vt:lpstr>crop_typ3</vt:lpstr>
      <vt:lpstr>crop_typ4</vt:lpstr>
      <vt:lpstr>crop1_ayield_full</vt:lpstr>
      <vt:lpstr>crop1_ayield_pilot</vt:lpstr>
      <vt:lpstr>crop1_brevenue_full</vt:lpstr>
      <vt:lpstr>crop1_brevenue_pilot</vt:lpstr>
      <vt:lpstr>crop1_byield_full</vt:lpstr>
      <vt:lpstr>crop1_byield_pilot</vt:lpstr>
      <vt:lpstr>crop1_co2f</vt:lpstr>
      <vt:lpstr>crop1_cost</vt:lpstr>
      <vt:lpstr>crop1_customer_percent</vt:lpstr>
      <vt:lpstr>crop1_harvest_cycle</vt:lpstr>
      <vt:lpstr>crop1_harvest_weight</vt:lpstr>
      <vt:lpstr>crop1_lightf</vt:lpstr>
      <vt:lpstr>crop1_nutrientf</vt:lpstr>
      <vt:lpstr>crop1_percent</vt:lpstr>
      <vt:lpstr>crop1_photoperiod</vt:lpstr>
      <vt:lpstr>crop1_plants_full</vt:lpstr>
      <vt:lpstr>crop1_plants_pilot</vt:lpstr>
      <vt:lpstr>crop1_pq</vt:lpstr>
      <vt:lpstr>crop1_price1</vt:lpstr>
      <vt:lpstr>crop1_price2</vt:lpstr>
      <vt:lpstr>crop1_product_weight</vt:lpstr>
      <vt:lpstr>crop1_racks_full</vt:lpstr>
      <vt:lpstr>crop1_racks_pilot</vt:lpstr>
      <vt:lpstr>crop1_seeds_cost_full</vt:lpstr>
      <vt:lpstr>crop1_seeds_cost_pilot</vt:lpstr>
      <vt:lpstr>crop1_system</vt:lpstr>
      <vt:lpstr>crop1_tempf</vt:lpstr>
      <vt:lpstr>crop2_ayield_full</vt:lpstr>
      <vt:lpstr>crop2_ayield_pilot</vt:lpstr>
      <vt:lpstr>crop2_brevenue_full</vt:lpstr>
      <vt:lpstr>crop2_brevenue_pilot</vt:lpstr>
      <vt:lpstr>crop2_byield_full</vt:lpstr>
      <vt:lpstr>crop2_byield_pilot</vt:lpstr>
      <vt:lpstr>crop2_co2f</vt:lpstr>
      <vt:lpstr>crop2_cost</vt:lpstr>
      <vt:lpstr>crop2_customer_percent</vt:lpstr>
      <vt:lpstr>crop2_harvest_cycle</vt:lpstr>
      <vt:lpstr>crop2_harvest_weight</vt:lpstr>
      <vt:lpstr>crop2_lightf</vt:lpstr>
      <vt:lpstr>crop2_nutrientf</vt:lpstr>
      <vt:lpstr>crop2_percent</vt:lpstr>
      <vt:lpstr>crop2_photoperiod</vt:lpstr>
      <vt:lpstr>crop2_plants_full</vt:lpstr>
      <vt:lpstr>crop2_plants_pilot</vt:lpstr>
      <vt:lpstr>crop2_pq</vt:lpstr>
      <vt:lpstr>crop2_price1</vt:lpstr>
      <vt:lpstr>crop2_price2</vt:lpstr>
      <vt:lpstr>crop2_product_weight</vt:lpstr>
      <vt:lpstr>crop2_racks_full</vt:lpstr>
      <vt:lpstr>crop2_racks_pilot</vt:lpstr>
      <vt:lpstr>crop2_seeds_cost_full</vt:lpstr>
      <vt:lpstr>crop2_seeds_cost_pilot</vt:lpstr>
      <vt:lpstr>crop2_system</vt:lpstr>
      <vt:lpstr>crop2_tempf</vt:lpstr>
      <vt:lpstr>crop3_ayield_full</vt:lpstr>
      <vt:lpstr>crop3_ayield_pilot</vt:lpstr>
      <vt:lpstr>crop3_brevenue_full</vt:lpstr>
      <vt:lpstr>crop3_brevenue_pilot</vt:lpstr>
      <vt:lpstr>crop3_byield_full</vt:lpstr>
      <vt:lpstr>crop3_byield_pilot</vt:lpstr>
      <vt:lpstr>crop3_co2f</vt:lpstr>
      <vt:lpstr>crop3_cost</vt:lpstr>
      <vt:lpstr>crop3_customer_percent</vt:lpstr>
      <vt:lpstr>crop3_harvest_cycle</vt:lpstr>
      <vt:lpstr>crop3_harvest_weight</vt:lpstr>
      <vt:lpstr>crop3_lightf</vt:lpstr>
      <vt:lpstr>crop3_nutrientf</vt:lpstr>
      <vt:lpstr>crop3_percent</vt:lpstr>
      <vt:lpstr>crop3_photoperiod</vt:lpstr>
      <vt:lpstr>crop3_plants_full</vt:lpstr>
      <vt:lpstr>crop3_plants_pilot</vt:lpstr>
      <vt:lpstr>crop3_pq</vt:lpstr>
      <vt:lpstr>crop3_price1</vt:lpstr>
      <vt:lpstr>crop3_price2</vt:lpstr>
      <vt:lpstr>crop3_product_weight</vt:lpstr>
      <vt:lpstr>crop3_racks_full</vt:lpstr>
      <vt:lpstr>crop3_racks_pilot</vt:lpstr>
      <vt:lpstr>crop3_seeds_cost_full</vt:lpstr>
      <vt:lpstr>crop3_seeds_cost_pilot</vt:lpstr>
      <vt:lpstr>crop3_system</vt:lpstr>
      <vt:lpstr>crop3_tempf</vt:lpstr>
      <vt:lpstr>crop4_ayield_full</vt:lpstr>
      <vt:lpstr>crop4_ayield_pilot</vt:lpstr>
      <vt:lpstr>crop4_brevenue_full</vt:lpstr>
      <vt:lpstr>crop4_brevenue_pilot</vt:lpstr>
      <vt:lpstr>crop4_byield_full</vt:lpstr>
      <vt:lpstr>crop4_byield_pilot</vt:lpstr>
      <vt:lpstr>crop4_co2f</vt:lpstr>
      <vt:lpstr>crop4_cost</vt:lpstr>
      <vt:lpstr>crop4_customer_percent</vt:lpstr>
      <vt:lpstr>crop4_harvest_cycle</vt:lpstr>
      <vt:lpstr>crop4_harvest_weight</vt:lpstr>
      <vt:lpstr>crop4_lightf</vt:lpstr>
      <vt:lpstr>crop4_nutrientf</vt:lpstr>
      <vt:lpstr>crop4_percent</vt:lpstr>
      <vt:lpstr>crop4_photoperiod</vt:lpstr>
      <vt:lpstr>crop4_plants_full</vt:lpstr>
      <vt:lpstr>crop4_plants_pilot</vt:lpstr>
      <vt:lpstr>crop4_pq</vt:lpstr>
      <vt:lpstr>crop4_price1</vt:lpstr>
      <vt:lpstr>crop4_price2</vt:lpstr>
      <vt:lpstr>crop4_product_weight</vt:lpstr>
      <vt:lpstr>crop4_racks_full</vt:lpstr>
      <vt:lpstr>crop4_racks_pilot</vt:lpstr>
      <vt:lpstr>crop4_seeds_cost_full</vt:lpstr>
      <vt:lpstr>crop4_seeds_cost_pilot</vt:lpstr>
      <vt:lpstr>crop4_system</vt:lpstr>
      <vt:lpstr>crop4_tempf</vt:lpstr>
      <vt:lpstr>currency</vt:lpstr>
      <vt:lpstr>daily_energy_consumption</vt:lpstr>
      <vt:lpstr>delivery_count_y1</vt:lpstr>
      <vt:lpstr>delivery_count_y2</vt:lpstr>
      <vt:lpstr>delivery_full</vt:lpstr>
      <vt:lpstr>delivery_msalary</vt:lpstr>
      <vt:lpstr>delivery_pilot</vt:lpstr>
      <vt:lpstr>education_avg_revenue_y1</vt:lpstr>
      <vt:lpstr>education_avg_revenue_y2</vt:lpstr>
      <vt:lpstr>education_multiplier</vt:lpstr>
      <vt:lpstr>electricity_price</vt:lpstr>
      <vt:lpstr>energy_type</vt:lpstr>
      <vt:lpstr>equipment_cost</vt:lpstr>
      <vt:lpstr>facility_size_full</vt:lpstr>
      <vt:lpstr>facility_size_pilot</vt:lpstr>
      <vt:lpstr>farm_type</vt:lpstr>
      <vt:lpstr>farmhand_count_y1</vt:lpstr>
      <vt:lpstr>farmhand_count_y2</vt:lpstr>
      <vt:lpstr>farmhand_msalary</vt:lpstr>
      <vt:lpstr>grant_revenue_y1</vt:lpstr>
      <vt:lpstr>grant_revenue_y10</vt:lpstr>
      <vt:lpstr>grant_revenue_y11</vt:lpstr>
      <vt:lpstr>grant_revenue_y12</vt:lpstr>
      <vt:lpstr>grant_revenue_y13</vt:lpstr>
      <vt:lpstr>grant_revenue_y14</vt:lpstr>
      <vt:lpstr>grant_revenue_y15</vt:lpstr>
      <vt:lpstr>grant_revenue_y2</vt:lpstr>
      <vt:lpstr>grant_revenue_y3</vt:lpstr>
      <vt:lpstr>grant_revenue_y4</vt:lpstr>
      <vt:lpstr>grant_revenue_y5</vt:lpstr>
      <vt:lpstr>grant_revenue_y6</vt:lpstr>
      <vt:lpstr>grant_revenue_y7</vt:lpstr>
      <vt:lpstr>grant_revenue_y8</vt:lpstr>
      <vt:lpstr>grant_revenue_y9</vt:lpstr>
      <vt:lpstr>grower_exp</vt:lpstr>
      <vt:lpstr>growing_area_full</vt:lpstr>
      <vt:lpstr>growing_area_mulitplier</vt:lpstr>
      <vt:lpstr>growing_area_pilot</vt:lpstr>
      <vt:lpstr>growing_levels_full</vt:lpstr>
      <vt:lpstr>growing_levels_pilot</vt:lpstr>
      <vt:lpstr>growing_media</vt:lpstr>
      <vt:lpstr>hgrower_count_y1</vt:lpstr>
      <vt:lpstr>hgrower_count_y2</vt:lpstr>
      <vt:lpstr>hgrower_msalary</vt:lpstr>
      <vt:lpstr>hospitality_avg_revenue_y1</vt:lpstr>
      <vt:lpstr>hospitality_avg_revenue_y2</vt:lpstr>
      <vt:lpstr>hospitality_multiplier</vt:lpstr>
      <vt:lpstr>insulation_level</vt:lpstr>
      <vt:lpstr>insultation_level</vt:lpstr>
      <vt:lpstr>insurance_full</vt:lpstr>
      <vt:lpstr>insurance_pilot</vt:lpstr>
      <vt:lpstr>ipm</vt:lpstr>
      <vt:lpstr>labour_improvement</vt:lpstr>
      <vt:lpstr>light_qty</vt:lpstr>
      <vt:lpstr>light_system</vt:lpstr>
      <vt:lpstr>lighting_control</vt:lpstr>
      <vt:lpstr>loan_amount</vt:lpstr>
      <vt:lpstr>loan_interest</vt:lpstr>
      <vt:lpstr>loan_tenure</vt:lpstr>
      <vt:lpstr>loan_type</vt:lpstr>
      <vt:lpstr>m1_wa_sales</vt:lpstr>
      <vt:lpstr>m1_wa_yield_crop1</vt:lpstr>
      <vt:lpstr>m1_wa_yield_crop2</vt:lpstr>
      <vt:lpstr>m1_wa_yield_crop3</vt:lpstr>
      <vt:lpstr>m1_wa_yield_crop4</vt:lpstr>
      <vt:lpstr>m2_wa_sales</vt:lpstr>
      <vt:lpstr>m2_wa_yield_crop1</vt:lpstr>
      <vt:lpstr>m2_wa_yield_crop2</vt:lpstr>
      <vt:lpstr>m2_wa_yield_crop3</vt:lpstr>
      <vt:lpstr>m2_wa_yield_crop4</vt:lpstr>
      <vt:lpstr>manager_count_y1</vt:lpstr>
      <vt:lpstr>manager_count_y2</vt:lpstr>
      <vt:lpstr>manager_msalary</vt:lpstr>
      <vt:lpstr>marketer_count_y1</vt:lpstr>
      <vt:lpstr>marketer_count_y2</vt:lpstr>
      <vt:lpstr>marketer_msalary</vt:lpstr>
      <vt:lpstr>metric_CO2_emitted</vt:lpstr>
      <vt:lpstr>metric_CO2_mitigated</vt:lpstr>
      <vt:lpstr>metric_CO2_net</vt:lpstr>
      <vt:lpstr>metric_energy</vt:lpstr>
      <vt:lpstr>metric_labour</vt:lpstr>
      <vt:lpstr>metric_nutrients</vt:lpstr>
      <vt:lpstr>metric_plants</vt:lpstr>
      <vt:lpstr>metric_space</vt:lpstr>
      <vt:lpstr>metric_volume</vt:lpstr>
      <vt:lpstr>metric_water</vt:lpstr>
      <vt:lpstr>metric_yield</vt:lpstr>
      <vt:lpstr>monthly_distribution_y1</vt:lpstr>
      <vt:lpstr>monthly_distribution_y2</vt:lpstr>
      <vt:lpstr>monthly_rent_y1</vt:lpstr>
      <vt:lpstr>monthly_rent_y2</vt:lpstr>
      <vt:lpstr>no_lights_full</vt:lpstr>
      <vt:lpstr>no_lights_pilot</vt:lpstr>
      <vt:lpstr>normal</vt:lpstr>
      <vt:lpstr>normal_CO2</vt:lpstr>
      <vt:lpstr>normal_CO2_emit</vt:lpstr>
      <vt:lpstr>normal_CO2_net</vt:lpstr>
      <vt:lpstr>normal_energy</vt:lpstr>
      <vt:lpstr>normal_labour</vt:lpstr>
      <vt:lpstr>normal_nutrient</vt:lpstr>
      <vt:lpstr>normal_space</vt:lpstr>
      <vt:lpstr>normal_volume</vt:lpstr>
      <vt:lpstr>normal_water</vt:lpstr>
      <vt:lpstr>nutrient_control</vt:lpstr>
      <vt:lpstr>other_costs_full</vt:lpstr>
      <vt:lpstr>other_costs_pilot</vt:lpstr>
      <vt:lpstr>packaging_cost_full</vt:lpstr>
      <vt:lpstr>packaging_cost_pilot</vt:lpstr>
      <vt:lpstr>part</vt:lpstr>
      <vt:lpstr>parttime_count_y1</vt:lpstr>
      <vt:lpstr>parttime_count_y2</vt:lpstr>
      <vt:lpstr>parttime_wage</vt:lpstr>
      <vt:lpstr>parttime_wages</vt:lpstr>
      <vt:lpstr>percent_production_area_full</vt:lpstr>
      <vt:lpstr>percent_production_area_pilot</vt:lpstr>
      <vt:lpstr>percentage_renewable_energy</vt:lpstr>
      <vt:lpstr>pest_detection</vt:lpstr>
      <vt:lpstr>plant_sites</vt:lpstr>
      <vt:lpstr>production_area_full</vt:lpstr>
      <vt:lpstr>production_area_pilot</vt:lpstr>
      <vt:lpstr>productivity_CO2</vt:lpstr>
      <vt:lpstr>productivity_CO2_omit</vt:lpstr>
      <vt:lpstr>productivity_energy</vt:lpstr>
      <vt:lpstr>productivity_labour</vt:lpstr>
      <vt:lpstr>productivity_nutrient</vt:lpstr>
      <vt:lpstr>productivity_plants</vt:lpstr>
      <vt:lpstr>productivity_volume</vt:lpstr>
      <vt:lpstr>productivity_water</vt:lpstr>
      <vt:lpstr>produticity_net_CO2</vt:lpstr>
      <vt:lpstr>reserve_fund</vt:lpstr>
      <vt:lpstr>roof_type</vt:lpstr>
      <vt:lpstr>salesperson_count_y1</vt:lpstr>
      <vt:lpstr>salesperson_count_y2</vt:lpstr>
      <vt:lpstr>salesperson_msalary</vt:lpstr>
      <vt:lpstr>scientist_count_y1</vt:lpstr>
      <vt:lpstr>scientist_count_y2</vt:lpstr>
      <vt:lpstr>scientist_msalary</vt:lpstr>
      <vt:lpstr>stacked_growing_area_full</vt:lpstr>
      <vt:lpstr>stacked_growing_area_pilot</vt:lpstr>
      <vt:lpstr>start_date</vt:lpstr>
      <vt:lpstr>structure_type</vt:lpstr>
      <vt:lpstr>system_quantity</vt:lpstr>
      <vt:lpstr>system_type</vt:lpstr>
      <vt:lpstr>target_productivity_CO2</vt:lpstr>
      <vt:lpstr>target_productivity_CO2_net</vt:lpstr>
      <vt:lpstr>target_productivity_CO2_omitted</vt:lpstr>
      <vt:lpstr>target_productivity_energy</vt:lpstr>
      <vt:lpstr>target_productivity_labour</vt:lpstr>
      <vt:lpstr>target_productivity_nutrients</vt:lpstr>
      <vt:lpstr>target_productivity_plants</vt:lpstr>
      <vt:lpstr>target_productivity_space</vt:lpstr>
      <vt:lpstr>target_productivity_volume</vt:lpstr>
      <vt:lpstr>target_productivity_water</vt:lpstr>
      <vt:lpstr>tax_rate</vt:lpstr>
      <vt:lpstr>total_brevenue_full</vt:lpstr>
      <vt:lpstr>total_brevenue_pilot</vt:lpstr>
      <vt:lpstr>total_byield_full</vt:lpstr>
      <vt:lpstr>total_byield_pilot</vt:lpstr>
      <vt:lpstr>total_capex</vt:lpstr>
      <vt:lpstr>total_headcount_y1</vt:lpstr>
      <vt:lpstr>total_headcount_y2</vt:lpstr>
      <vt:lpstr>total_plants_full</vt:lpstr>
      <vt:lpstr>total_plants_pilot</vt:lpstr>
      <vt:lpstr>tourism_avg_revenue_y1</vt:lpstr>
      <vt:lpstr>tourism_avg_revenue_y2</vt:lpstr>
      <vt:lpstr>tourism_multiplier</vt:lpstr>
      <vt:lpstr>vadded_avg_revenue_y1</vt:lpstr>
      <vt:lpstr>vadded_avg_revenue_y2</vt:lpstr>
      <vt:lpstr>vadded_products_multiplier</vt:lpstr>
      <vt:lpstr>water_price</vt:lpstr>
      <vt:lpstr>weight_unit</vt:lpstr>
      <vt:lpstr>y1_wa_sales</vt:lpstr>
      <vt:lpstr>y1_wa_yield_crop1</vt:lpstr>
      <vt:lpstr>y1_wa_yield_crop2</vt:lpstr>
      <vt:lpstr>y1_wa_yield_crop3</vt:lpstr>
      <vt:lpstr>y1_wa_yield_crop4</vt:lpstr>
      <vt:lpstr>y2_wa_sales</vt:lpstr>
      <vt:lpstr>y2_wa_yield_crop1</vt:lpstr>
      <vt:lpstr>y2_wa_yield_crop2</vt:lpstr>
      <vt:lpstr>y2_wa_yield_crop3</vt:lpstr>
      <vt:lpstr>y2_wa_yield_crop4</vt:lpstr>
      <vt:lpstr>y3_wa_sales</vt:lpstr>
      <vt:lpstr>y3_wa_yield_crop1</vt:lpstr>
      <vt:lpstr>y3_wa_yield_crop2</vt:lpstr>
      <vt:lpstr>y3_wa_yield_crop3</vt:lpstr>
      <vt:lpstr>y3_wa_yield_crop4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Francis Baumont De Oliveira</cp:lastModifiedBy>
  <dcterms:created xsi:type="dcterms:W3CDTF">2020-04-08T02:51:17Z</dcterms:created>
  <dcterms:modified xsi:type="dcterms:W3CDTF">2022-05-05T19:50:27Z</dcterms:modified>
</cp:coreProperties>
</file>