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"/>
    <numFmt numFmtId="166" formatCode="m"/>
    <numFmt numFmtId="167" formatCode="d"/>
  </numFmts>
  <fonts count="3">
    <font>
      <sz val="10.0"/>
      <color rgb="FF000000"/>
      <name val="Arial"/>
    </font>
    <font>
      <sz val="11.0"/>
      <color rgb="FF3C4043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6F4EA"/>
        <bgColor rgb="FFE6F4E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IFERROR(__xludf.DUMMYFUNCTION("GOOGLEFINANCE(""INDEXNSE:NIFTY_50"", ""all"", DATE(2000,1,1),TODAY(), ""DAILY"")"),"Date")</f>
        <v>Date</v>
      </c>
      <c r="B1" s="2" t="str">
        <f>IFERROR(__xludf.DUMMYFUNCTION("""COMPUTED_VALUE"""),"Open")</f>
        <v>Open</v>
      </c>
      <c r="C1" s="3" t="str">
        <f>IFERROR(__xludf.DUMMYFUNCTION("""COMPUTED_VALUE"""),"High")</f>
        <v>High</v>
      </c>
      <c r="D1" s="3" t="str">
        <f>IFERROR(__xludf.DUMMYFUNCTION("""COMPUTED_VALUE"""),"Low")</f>
        <v>Low</v>
      </c>
      <c r="E1" s="3" t="str">
        <f>IFERROR(__xludf.DUMMYFUNCTION("""COMPUTED_VALUE"""),"Close")</f>
        <v>Close</v>
      </c>
      <c r="F1" s="3" t="str">
        <f>IFERROR(__xludf.DUMMYFUNCTION("""COMPUTED_VALUE"""),"Volume")</f>
        <v>Volume</v>
      </c>
      <c r="L1" s="4"/>
      <c r="M1" s="5"/>
      <c r="N1" s="6"/>
    </row>
    <row r="2">
      <c r="A2" s="7">
        <f>IFERROR(__xludf.DUMMYFUNCTION("""COMPUTED_VALUE"""),36528.645833333336)</f>
        <v>36528.64583</v>
      </c>
      <c r="B2" s="3">
        <f>IFERROR(__xludf.DUMMYFUNCTION("""COMPUTED_VALUE"""),1482.15)</f>
        <v>1482.15</v>
      </c>
      <c r="C2" s="3">
        <f>IFERROR(__xludf.DUMMYFUNCTION("""COMPUTED_VALUE"""),1592.9)</f>
        <v>1592.9</v>
      </c>
      <c r="D2" s="3">
        <f>IFERROR(__xludf.DUMMYFUNCTION("""COMPUTED_VALUE"""),1482.15)</f>
        <v>1482.15</v>
      </c>
      <c r="E2" s="3">
        <f>IFERROR(__xludf.DUMMYFUNCTION("""COMPUTED_VALUE"""),1592.2)</f>
        <v>1592.2</v>
      </c>
      <c r="F2" s="3">
        <f>IFERROR(__xludf.DUMMYFUNCTION("""COMPUTED_VALUE"""),0.0)</f>
        <v>0</v>
      </c>
    </row>
    <row r="3">
      <c r="A3" s="7">
        <f>IFERROR(__xludf.DUMMYFUNCTION("""COMPUTED_VALUE"""),36529.645833333336)</f>
        <v>36529.64583</v>
      </c>
      <c r="B3" s="3">
        <f>IFERROR(__xludf.DUMMYFUNCTION("""COMPUTED_VALUE"""),1594.4)</f>
        <v>1594.4</v>
      </c>
      <c r="C3" s="3">
        <f>IFERROR(__xludf.DUMMYFUNCTION("""COMPUTED_VALUE"""),1641.95)</f>
        <v>1641.95</v>
      </c>
      <c r="D3" s="3">
        <f>IFERROR(__xludf.DUMMYFUNCTION("""COMPUTED_VALUE"""),1594.4)</f>
        <v>1594.4</v>
      </c>
      <c r="E3" s="3">
        <f>IFERROR(__xludf.DUMMYFUNCTION("""COMPUTED_VALUE"""),1638.7)</f>
        <v>1638.7</v>
      </c>
      <c r="F3" s="3">
        <f>IFERROR(__xludf.DUMMYFUNCTION("""COMPUTED_VALUE"""),0.0)</f>
        <v>0</v>
      </c>
    </row>
    <row r="4">
      <c r="A4" s="7">
        <f>IFERROR(__xludf.DUMMYFUNCTION("""COMPUTED_VALUE"""),36530.645833333336)</f>
        <v>36530.64583</v>
      </c>
      <c r="B4" s="3">
        <f>IFERROR(__xludf.DUMMYFUNCTION("""COMPUTED_VALUE"""),1634.55)</f>
        <v>1634.55</v>
      </c>
      <c r="C4" s="3">
        <f>IFERROR(__xludf.DUMMYFUNCTION("""COMPUTED_VALUE"""),1635.5)</f>
        <v>1635.5</v>
      </c>
      <c r="D4" s="3">
        <f>IFERROR(__xludf.DUMMYFUNCTION("""COMPUTED_VALUE"""),1555.05)</f>
        <v>1555.05</v>
      </c>
      <c r="E4" s="3">
        <f>IFERROR(__xludf.DUMMYFUNCTION("""COMPUTED_VALUE"""),1595.8)</f>
        <v>1595.8</v>
      </c>
      <c r="F4" s="3">
        <f>IFERROR(__xludf.DUMMYFUNCTION("""COMPUTED_VALUE"""),0.0)</f>
        <v>0</v>
      </c>
    </row>
    <row r="5">
      <c r="A5" s="7">
        <f>IFERROR(__xludf.DUMMYFUNCTION("""COMPUTED_VALUE"""),36531.645833333336)</f>
        <v>36531.64583</v>
      </c>
      <c r="B5" s="3">
        <f>IFERROR(__xludf.DUMMYFUNCTION("""COMPUTED_VALUE"""),1595.8)</f>
        <v>1595.8</v>
      </c>
      <c r="C5" s="3">
        <f>IFERROR(__xludf.DUMMYFUNCTION("""COMPUTED_VALUE"""),1639.0)</f>
        <v>1639</v>
      </c>
      <c r="D5" s="3">
        <f>IFERROR(__xludf.DUMMYFUNCTION("""COMPUTED_VALUE"""),1595.8)</f>
        <v>1595.8</v>
      </c>
      <c r="E5" s="3">
        <f>IFERROR(__xludf.DUMMYFUNCTION("""COMPUTED_VALUE"""),1617.6)</f>
        <v>1617.6</v>
      </c>
      <c r="F5" s="3">
        <f>IFERROR(__xludf.DUMMYFUNCTION("""COMPUTED_VALUE"""),0.0)</f>
        <v>0</v>
      </c>
    </row>
    <row r="6">
      <c r="A6" s="7">
        <f>IFERROR(__xludf.DUMMYFUNCTION("""COMPUTED_VALUE"""),36532.645833333336)</f>
        <v>36532.64583</v>
      </c>
      <c r="B6" s="3">
        <f>IFERROR(__xludf.DUMMYFUNCTION("""COMPUTED_VALUE"""),1616.6)</f>
        <v>1616.6</v>
      </c>
      <c r="C6" s="3">
        <f>IFERROR(__xludf.DUMMYFUNCTION("""COMPUTED_VALUE"""),1628.25)</f>
        <v>1628.25</v>
      </c>
      <c r="D6" s="3">
        <f>IFERROR(__xludf.DUMMYFUNCTION("""COMPUTED_VALUE"""),1597.2)</f>
        <v>1597.2</v>
      </c>
      <c r="E6" s="3">
        <f>IFERROR(__xludf.DUMMYFUNCTION("""COMPUTED_VALUE"""),1613.3)</f>
        <v>1613.3</v>
      </c>
      <c r="F6" s="3">
        <f>IFERROR(__xludf.DUMMYFUNCTION("""COMPUTED_VALUE"""),0.0)</f>
        <v>0</v>
      </c>
    </row>
    <row r="7">
      <c r="A7" s="7">
        <f>IFERROR(__xludf.DUMMYFUNCTION("""COMPUTED_VALUE"""),36535.645833333336)</f>
        <v>36535.64583</v>
      </c>
      <c r="B7" s="3">
        <f>IFERROR(__xludf.DUMMYFUNCTION("""COMPUTED_VALUE"""),1615.65)</f>
        <v>1615.65</v>
      </c>
      <c r="C7" s="3">
        <f>IFERROR(__xludf.DUMMYFUNCTION("""COMPUTED_VALUE"""),1662.1)</f>
        <v>1662.1</v>
      </c>
      <c r="D7" s="3">
        <f>IFERROR(__xludf.DUMMYFUNCTION("""COMPUTED_VALUE"""),1614.95)</f>
        <v>1614.95</v>
      </c>
      <c r="E7" s="3">
        <f>IFERROR(__xludf.DUMMYFUNCTION("""COMPUTED_VALUE"""),1632.95)</f>
        <v>1632.95</v>
      </c>
      <c r="F7" s="3">
        <f>IFERROR(__xludf.DUMMYFUNCTION("""COMPUTED_VALUE"""),0.0)</f>
        <v>0</v>
      </c>
    </row>
    <row r="8">
      <c r="A8" s="7">
        <f>IFERROR(__xludf.DUMMYFUNCTION("""COMPUTED_VALUE"""),36536.645833333336)</f>
        <v>36536.64583</v>
      </c>
      <c r="B8" s="3">
        <f>IFERROR(__xludf.DUMMYFUNCTION("""COMPUTED_VALUE"""),1633.25)</f>
        <v>1633.25</v>
      </c>
      <c r="C8" s="3">
        <f>IFERROR(__xludf.DUMMYFUNCTION("""COMPUTED_VALUE"""),1639.9)</f>
        <v>1639.9</v>
      </c>
      <c r="D8" s="3">
        <f>IFERROR(__xludf.DUMMYFUNCTION("""COMPUTED_VALUE"""),1548.25)</f>
        <v>1548.25</v>
      </c>
      <c r="E8" s="3">
        <f>IFERROR(__xludf.DUMMYFUNCTION("""COMPUTED_VALUE"""),1572.5)</f>
        <v>1572.5</v>
      </c>
      <c r="F8" s="3">
        <f>IFERROR(__xludf.DUMMYFUNCTION("""COMPUTED_VALUE"""),0.0)</f>
        <v>0</v>
      </c>
    </row>
    <row r="9">
      <c r="A9" s="7">
        <f>IFERROR(__xludf.DUMMYFUNCTION("""COMPUTED_VALUE"""),36537.645833333336)</f>
        <v>36537.64583</v>
      </c>
      <c r="B9" s="3">
        <f>IFERROR(__xludf.DUMMYFUNCTION("""COMPUTED_VALUE"""),1572.3)</f>
        <v>1572.3</v>
      </c>
      <c r="C9" s="3">
        <f>IFERROR(__xludf.DUMMYFUNCTION("""COMPUTED_VALUE"""),1631.55)</f>
        <v>1631.55</v>
      </c>
      <c r="D9" s="3">
        <f>IFERROR(__xludf.DUMMYFUNCTION("""COMPUTED_VALUE"""),1571.7)</f>
        <v>1571.7</v>
      </c>
      <c r="E9" s="3">
        <f>IFERROR(__xludf.DUMMYFUNCTION("""COMPUTED_VALUE"""),1624.8)</f>
        <v>1624.8</v>
      </c>
      <c r="F9" s="3">
        <f>IFERROR(__xludf.DUMMYFUNCTION("""COMPUTED_VALUE"""),0.0)</f>
        <v>0</v>
      </c>
    </row>
    <row r="10">
      <c r="A10" s="7">
        <f>IFERROR(__xludf.DUMMYFUNCTION("""COMPUTED_VALUE"""),36538.645833333336)</f>
        <v>36538.64583</v>
      </c>
      <c r="B10" s="3">
        <f>IFERROR(__xludf.DUMMYFUNCTION("""COMPUTED_VALUE"""),1627.85)</f>
        <v>1627.85</v>
      </c>
      <c r="C10" s="3">
        <f>IFERROR(__xludf.DUMMYFUNCTION("""COMPUTED_VALUE"""),1671.15)</f>
        <v>1671.15</v>
      </c>
      <c r="D10" s="3">
        <f>IFERROR(__xludf.DUMMYFUNCTION("""COMPUTED_VALUE"""),1613.65)</f>
        <v>1613.65</v>
      </c>
      <c r="E10" s="3">
        <f>IFERROR(__xludf.DUMMYFUNCTION("""COMPUTED_VALUE"""),1621.4)</f>
        <v>1621.4</v>
      </c>
      <c r="F10" s="3">
        <f>IFERROR(__xludf.DUMMYFUNCTION("""COMPUTED_VALUE"""),0.0)</f>
        <v>0</v>
      </c>
    </row>
    <row r="11">
      <c r="A11" s="7">
        <f>IFERROR(__xludf.DUMMYFUNCTION("""COMPUTED_VALUE"""),36539.645833333336)</f>
        <v>36539.64583</v>
      </c>
      <c r="B11" s="3">
        <f>IFERROR(__xludf.DUMMYFUNCTION("""COMPUTED_VALUE"""),1622.15)</f>
        <v>1622.15</v>
      </c>
      <c r="C11" s="3">
        <f>IFERROR(__xludf.DUMMYFUNCTION("""COMPUTED_VALUE"""),1627.4)</f>
        <v>1627.4</v>
      </c>
      <c r="D11" s="3">
        <f>IFERROR(__xludf.DUMMYFUNCTION("""COMPUTED_VALUE"""),1591.4)</f>
        <v>1591.4</v>
      </c>
      <c r="E11" s="3">
        <f>IFERROR(__xludf.DUMMYFUNCTION("""COMPUTED_VALUE"""),1622.75)</f>
        <v>1622.75</v>
      </c>
      <c r="F11" s="3">
        <f>IFERROR(__xludf.DUMMYFUNCTION("""COMPUTED_VALUE"""),0.0)</f>
        <v>0</v>
      </c>
    </row>
    <row r="12">
      <c r="A12" s="7">
        <f>IFERROR(__xludf.DUMMYFUNCTION("""COMPUTED_VALUE"""),36542.645833333336)</f>
        <v>36542.64583</v>
      </c>
      <c r="B12" s="3">
        <f>IFERROR(__xludf.DUMMYFUNCTION("""COMPUTED_VALUE"""),1623.5)</f>
        <v>1623.5</v>
      </c>
      <c r="C12" s="3">
        <f>IFERROR(__xludf.DUMMYFUNCTION("""COMPUTED_VALUE"""),1668.45)</f>
        <v>1668.45</v>
      </c>
      <c r="D12" s="3">
        <f>IFERROR(__xludf.DUMMYFUNCTION("""COMPUTED_VALUE"""),1604.65)</f>
        <v>1604.65</v>
      </c>
      <c r="E12" s="3">
        <f>IFERROR(__xludf.DUMMYFUNCTION("""COMPUTED_VALUE"""),1611.6)</f>
        <v>1611.6</v>
      </c>
      <c r="F12" s="3">
        <f>IFERROR(__xludf.DUMMYFUNCTION("""COMPUTED_VALUE"""),0.0)</f>
        <v>0</v>
      </c>
    </row>
    <row r="13">
      <c r="A13" s="7">
        <f>IFERROR(__xludf.DUMMYFUNCTION("""COMPUTED_VALUE"""),36543.645833333336)</f>
        <v>36543.64583</v>
      </c>
      <c r="B13" s="3">
        <f>IFERROR(__xludf.DUMMYFUNCTION("""COMPUTED_VALUE"""),1611.65)</f>
        <v>1611.65</v>
      </c>
      <c r="C13" s="3">
        <f>IFERROR(__xludf.DUMMYFUNCTION("""COMPUTED_VALUE"""),1615.15)</f>
        <v>1615.15</v>
      </c>
      <c r="D13" s="3">
        <f>IFERROR(__xludf.DUMMYFUNCTION("""COMPUTED_VALUE"""),1587.85)</f>
        <v>1587.85</v>
      </c>
      <c r="E13" s="3">
        <f>IFERROR(__xludf.DUMMYFUNCTION("""COMPUTED_VALUE"""),1606.7)</f>
        <v>1606.7</v>
      </c>
      <c r="F13" s="3">
        <f>IFERROR(__xludf.DUMMYFUNCTION("""COMPUTED_VALUE"""),0.0)</f>
        <v>0</v>
      </c>
    </row>
    <row r="14">
      <c r="A14" s="7">
        <f>IFERROR(__xludf.DUMMYFUNCTION("""COMPUTED_VALUE"""),36544.645833333336)</f>
        <v>36544.64583</v>
      </c>
      <c r="B14" s="3">
        <f>IFERROR(__xludf.DUMMYFUNCTION("""COMPUTED_VALUE"""),1610.05)</f>
        <v>1610.05</v>
      </c>
      <c r="C14" s="3">
        <f>IFERROR(__xludf.DUMMYFUNCTION("""COMPUTED_VALUE"""),1644.45)</f>
        <v>1644.45</v>
      </c>
      <c r="D14" s="3">
        <f>IFERROR(__xludf.DUMMYFUNCTION("""COMPUTED_VALUE"""),1608.85)</f>
        <v>1608.85</v>
      </c>
      <c r="E14" s="3">
        <f>IFERROR(__xludf.DUMMYFUNCTION("""COMPUTED_VALUE"""),1634.85)</f>
        <v>1634.85</v>
      </c>
      <c r="F14" s="3">
        <f>IFERROR(__xludf.DUMMYFUNCTION("""COMPUTED_VALUE"""),0.0)</f>
        <v>0</v>
      </c>
    </row>
    <row r="15">
      <c r="A15" s="7">
        <f>IFERROR(__xludf.DUMMYFUNCTION("""COMPUTED_VALUE"""),36545.645833333336)</f>
        <v>36545.64583</v>
      </c>
      <c r="B15" s="3">
        <f>IFERROR(__xludf.DUMMYFUNCTION("""COMPUTED_VALUE"""),1634.65)</f>
        <v>1634.65</v>
      </c>
      <c r="C15" s="3">
        <f>IFERROR(__xludf.DUMMYFUNCTION("""COMPUTED_VALUE"""),1644.4)</f>
        <v>1644.4</v>
      </c>
      <c r="D15" s="3">
        <f>IFERROR(__xludf.DUMMYFUNCTION("""COMPUTED_VALUE"""),1596.65)</f>
        <v>1596.65</v>
      </c>
      <c r="E15" s="3">
        <f>IFERROR(__xludf.DUMMYFUNCTION("""COMPUTED_VALUE"""),1601.1)</f>
        <v>1601.1</v>
      </c>
      <c r="F15" s="3">
        <f>IFERROR(__xludf.DUMMYFUNCTION("""COMPUTED_VALUE"""),0.0)</f>
        <v>0</v>
      </c>
    </row>
    <row r="16">
      <c r="A16" s="7">
        <f>IFERROR(__xludf.DUMMYFUNCTION("""COMPUTED_VALUE"""),36546.645833333336)</f>
        <v>36546.64583</v>
      </c>
      <c r="B16" s="3">
        <f>IFERROR(__xludf.DUMMYFUNCTION("""COMPUTED_VALUE"""),1601.25)</f>
        <v>1601.25</v>
      </c>
      <c r="C16" s="3">
        <f>IFERROR(__xludf.DUMMYFUNCTION("""COMPUTED_VALUE"""),1626.5)</f>
        <v>1626.5</v>
      </c>
      <c r="D16" s="3">
        <f>IFERROR(__xludf.DUMMYFUNCTION("""COMPUTED_VALUE"""),1593.2)</f>
        <v>1593.2</v>
      </c>
      <c r="E16" s="3">
        <f>IFERROR(__xludf.DUMMYFUNCTION("""COMPUTED_VALUE"""),1620.6)</f>
        <v>1620.6</v>
      </c>
      <c r="F16" s="3">
        <f>IFERROR(__xludf.DUMMYFUNCTION("""COMPUTED_VALUE"""),0.0)</f>
        <v>0</v>
      </c>
    </row>
    <row r="17">
      <c r="A17" s="7">
        <f>IFERROR(__xludf.DUMMYFUNCTION("""COMPUTED_VALUE"""),36549.645833333336)</f>
        <v>36549.64583</v>
      </c>
      <c r="B17" s="3">
        <f>IFERROR(__xludf.DUMMYFUNCTION("""COMPUTED_VALUE"""),1623.05)</f>
        <v>1623.05</v>
      </c>
      <c r="C17" s="3">
        <f>IFERROR(__xludf.DUMMYFUNCTION("""COMPUTED_VALUE"""),1645.0)</f>
        <v>1645</v>
      </c>
      <c r="D17" s="3">
        <f>IFERROR(__xludf.DUMMYFUNCTION("""COMPUTED_VALUE"""),1608.3)</f>
        <v>1608.3</v>
      </c>
      <c r="E17" s="3">
        <f>IFERROR(__xludf.DUMMYFUNCTION("""COMPUTED_VALUE"""),1613.6)</f>
        <v>1613.6</v>
      </c>
      <c r="F17" s="3">
        <f>IFERROR(__xludf.DUMMYFUNCTION("""COMPUTED_VALUE"""),0.0)</f>
        <v>0</v>
      </c>
    </row>
    <row r="18">
      <c r="A18" s="7">
        <f>IFERROR(__xludf.DUMMYFUNCTION("""COMPUTED_VALUE"""),36550.645833333336)</f>
        <v>36550.64583</v>
      </c>
      <c r="B18" s="3">
        <f>IFERROR(__xludf.DUMMYFUNCTION("""COMPUTED_VALUE"""),1612.95)</f>
        <v>1612.95</v>
      </c>
      <c r="C18" s="3">
        <f>IFERROR(__xludf.DUMMYFUNCTION("""COMPUTED_VALUE"""),1613.65)</f>
        <v>1613.65</v>
      </c>
      <c r="D18" s="3">
        <f>IFERROR(__xludf.DUMMYFUNCTION("""COMPUTED_VALUE"""),1579.55)</f>
        <v>1579.55</v>
      </c>
      <c r="E18" s="3">
        <f>IFERROR(__xludf.DUMMYFUNCTION("""COMPUTED_VALUE"""),1586.4)</f>
        <v>1586.4</v>
      </c>
      <c r="F18" s="3">
        <f>IFERROR(__xludf.DUMMYFUNCTION("""COMPUTED_VALUE"""),0.0)</f>
        <v>0</v>
      </c>
    </row>
    <row r="19">
      <c r="A19" s="7">
        <f>IFERROR(__xludf.DUMMYFUNCTION("""COMPUTED_VALUE"""),36552.645833333336)</f>
        <v>36552.64583</v>
      </c>
      <c r="B19" s="3">
        <f>IFERROR(__xludf.DUMMYFUNCTION("""COMPUTED_VALUE"""),1600.5)</f>
        <v>1600.5</v>
      </c>
      <c r="C19" s="3">
        <f>IFERROR(__xludf.DUMMYFUNCTION("""COMPUTED_VALUE"""),1633.55)</f>
        <v>1633.55</v>
      </c>
      <c r="D19" s="3">
        <f>IFERROR(__xludf.DUMMYFUNCTION("""COMPUTED_VALUE"""),1600.05)</f>
        <v>1600.05</v>
      </c>
      <c r="E19" s="3">
        <f>IFERROR(__xludf.DUMMYFUNCTION("""COMPUTED_VALUE"""),1603.9)</f>
        <v>1603.9</v>
      </c>
      <c r="F19" s="3">
        <f>IFERROR(__xludf.DUMMYFUNCTION("""COMPUTED_VALUE"""),0.0)</f>
        <v>0</v>
      </c>
    </row>
    <row r="20">
      <c r="A20" s="7">
        <f>IFERROR(__xludf.DUMMYFUNCTION("""COMPUTED_VALUE"""),36553.645833333336)</f>
        <v>36553.64583</v>
      </c>
      <c r="B20" s="3">
        <f>IFERROR(__xludf.DUMMYFUNCTION("""COMPUTED_VALUE"""),1603.65)</f>
        <v>1603.65</v>
      </c>
      <c r="C20" s="3">
        <f>IFERROR(__xludf.DUMMYFUNCTION("""COMPUTED_VALUE"""),1610.9)</f>
        <v>1610.9</v>
      </c>
      <c r="D20" s="3">
        <f>IFERROR(__xludf.DUMMYFUNCTION("""COMPUTED_VALUE"""),1592.7)</f>
        <v>1592.7</v>
      </c>
      <c r="E20" s="3">
        <f>IFERROR(__xludf.DUMMYFUNCTION("""COMPUTED_VALUE"""),1599.1)</f>
        <v>1599.1</v>
      </c>
      <c r="F20" s="3">
        <f>IFERROR(__xludf.DUMMYFUNCTION("""COMPUTED_VALUE"""),0.0)</f>
        <v>0</v>
      </c>
    </row>
    <row r="21">
      <c r="A21" s="7">
        <f>IFERROR(__xludf.DUMMYFUNCTION("""COMPUTED_VALUE"""),36556.645833333336)</f>
        <v>36556.64583</v>
      </c>
      <c r="B21" s="3">
        <f>IFERROR(__xludf.DUMMYFUNCTION("""COMPUTED_VALUE"""),1598.35)</f>
        <v>1598.35</v>
      </c>
      <c r="C21" s="3">
        <f>IFERROR(__xludf.DUMMYFUNCTION("""COMPUTED_VALUE"""),1598.35)</f>
        <v>1598.35</v>
      </c>
      <c r="D21" s="3">
        <f>IFERROR(__xludf.DUMMYFUNCTION("""COMPUTED_VALUE"""),1538.7)</f>
        <v>1538.7</v>
      </c>
      <c r="E21" s="3">
        <f>IFERROR(__xludf.DUMMYFUNCTION("""COMPUTED_VALUE"""),1546.2)</f>
        <v>1546.2</v>
      </c>
      <c r="F21" s="3">
        <f>IFERROR(__xludf.DUMMYFUNCTION("""COMPUTED_VALUE"""),0.0)</f>
        <v>0</v>
      </c>
    </row>
    <row r="22">
      <c r="A22" s="7">
        <f>IFERROR(__xludf.DUMMYFUNCTION("""COMPUTED_VALUE"""),36557.645833333336)</f>
        <v>36557.64583</v>
      </c>
      <c r="B22" s="3">
        <f>IFERROR(__xludf.DUMMYFUNCTION("""COMPUTED_VALUE"""),1546.2)</f>
        <v>1546.2</v>
      </c>
      <c r="C22" s="3">
        <f>IFERROR(__xludf.DUMMYFUNCTION("""COMPUTED_VALUE"""),1554.15)</f>
        <v>1554.15</v>
      </c>
      <c r="D22" s="3">
        <f>IFERROR(__xludf.DUMMYFUNCTION("""COMPUTED_VALUE"""),1521.4)</f>
        <v>1521.4</v>
      </c>
      <c r="E22" s="3">
        <f>IFERROR(__xludf.DUMMYFUNCTION("""COMPUTED_VALUE"""),1549.5)</f>
        <v>1549.5</v>
      </c>
      <c r="F22" s="3">
        <f>IFERROR(__xludf.DUMMYFUNCTION("""COMPUTED_VALUE"""),0.0)</f>
        <v>0</v>
      </c>
    </row>
    <row r="23">
      <c r="A23" s="7">
        <f>IFERROR(__xludf.DUMMYFUNCTION("""COMPUTED_VALUE"""),36558.645833333336)</f>
        <v>36558.64583</v>
      </c>
      <c r="B23" s="3">
        <f>IFERROR(__xludf.DUMMYFUNCTION("""COMPUTED_VALUE"""),1554.2)</f>
        <v>1554.2</v>
      </c>
      <c r="C23" s="3">
        <f>IFERROR(__xludf.DUMMYFUNCTION("""COMPUTED_VALUE"""),1605.9)</f>
        <v>1605.9</v>
      </c>
      <c r="D23" s="3">
        <f>IFERROR(__xludf.DUMMYFUNCTION("""COMPUTED_VALUE"""),1554.2)</f>
        <v>1554.2</v>
      </c>
      <c r="E23" s="3">
        <f>IFERROR(__xludf.DUMMYFUNCTION("""COMPUTED_VALUE"""),1588.0)</f>
        <v>1588</v>
      </c>
      <c r="F23" s="3">
        <f>IFERROR(__xludf.DUMMYFUNCTION("""COMPUTED_VALUE"""),0.0)</f>
        <v>0</v>
      </c>
    </row>
    <row r="24">
      <c r="A24" s="7">
        <f>IFERROR(__xludf.DUMMYFUNCTION("""COMPUTED_VALUE"""),36559.645833333336)</f>
        <v>36559.64583</v>
      </c>
      <c r="B24" s="3">
        <f>IFERROR(__xludf.DUMMYFUNCTION("""COMPUTED_VALUE"""),1591.25)</f>
        <v>1591.25</v>
      </c>
      <c r="C24" s="3">
        <f>IFERROR(__xludf.DUMMYFUNCTION("""COMPUTED_VALUE"""),1616.7)</f>
        <v>1616.7</v>
      </c>
      <c r="D24" s="3">
        <f>IFERROR(__xludf.DUMMYFUNCTION("""COMPUTED_VALUE"""),1591.25)</f>
        <v>1591.25</v>
      </c>
      <c r="E24" s="3">
        <f>IFERROR(__xludf.DUMMYFUNCTION("""COMPUTED_VALUE"""),1597.9)</f>
        <v>1597.9</v>
      </c>
      <c r="F24" s="3">
        <f>IFERROR(__xludf.DUMMYFUNCTION("""COMPUTED_VALUE"""),0.0)</f>
        <v>0</v>
      </c>
    </row>
    <row r="25">
      <c r="A25" s="7">
        <f>IFERROR(__xludf.DUMMYFUNCTION("""COMPUTED_VALUE"""),36560.645833333336)</f>
        <v>36560.64583</v>
      </c>
      <c r="B25" s="3">
        <f>IFERROR(__xludf.DUMMYFUNCTION("""COMPUTED_VALUE"""),1598.5)</f>
        <v>1598.5</v>
      </c>
      <c r="C25" s="3">
        <f>IFERROR(__xludf.DUMMYFUNCTION("""COMPUTED_VALUE"""),1621.35)</f>
        <v>1621.35</v>
      </c>
      <c r="D25" s="3">
        <f>IFERROR(__xludf.DUMMYFUNCTION("""COMPUTED_VALUE"""),1596.45)</f>
        <v>1596.45</v>
      </c>
      <c r="E25" s="3">
        <f>IFERROR(__xludf.DUMMYFUNCTION("""COMPUTED_VALUE"""),1599.75)</f>
        <v>1599.75</v>
      </c>
      <c r="F25" s="3">
        <f>IFERROR(__xludf.DUMMYFUNCTION("""COMPUTED_VALUE"""),0.0)</f>
        <v>0</v>
      </c>
    </row>
    <row r="26">
      <c r="A26" s="7">
        <f>IFERROR(__xludf.DUMMYFUNCTION("""COMPUTED_VALUE"""),36563.645833333336)</f>
        <v>36563.64583</v>
      </c>
      <c r="B26" s="3">
        <f>IFERROR(__xludf.DUMMYFUNCTION("""COMPUTED_VALUE"""),1599.8)</f>
        <v>1599.8</v>
      </c>
      <c r="C26" s="3">
        <f>IFERROR(__xludf.DUMMYFUNCTION("""COMPUTED_VALUE"""),1645.9)</f>
        <v>1645.9</v>
      </c>
      <c r="D26" s="3">
        <f>IFERROR(__xludf.DUMMYFUNCTION("""COMPUTED_VALUE"""),1599.8)</f>
        <v>1599.8</v>
      </c>
      <c r="E26" s="3">
        <f>IFERROR(__xludf.DUMMYFUNCTION("""COMPUTED_VALUE"""),1636.6)</f>
        <v>1636.6</v>
      </c>
      <c r="F26" s="3">
        <f>IFERROR(__xludf.DUMMYFUNCTION("""COMPUTED_VALUE"""),0.0)</f>
        <v>0</v>
      </c>
    </row>
    <row r="27">
      <c r="A27" s="7">
        <f>IFERROR(__xludf.DUMMYFUNCTION("""COMPUTED_VALUE"""),36564.645833333336)</f>
        <v>36564.64583</v>
      </c>
      <c r="B27" s="3">
        <f>IFERROR(__xludf.DUMMYFUNCTION("""COMPUTED_VALUE"""),1636.6)</f>
        <v>1636.6</v>
      </c>
      <c r="C27" s="3">
        <f>IFERROR(__xludf.DUMMYFUNCTION("""COMPUTED_VALUE"""),1676.1)</f>
        <v>1676.1</v>
      </c>
      <c r="D27" s="3">
        <f>IFERROR(__xludf.DUMMYFUNCTION("""COMPUTED_VALUE"""),1636.6)</f>
        <v>1636.6</v>
      </c>
      <c r="E27" s="3">
        <f>IFERROR(__xludf.DUMMYFUNCTION("""COMPUTED_VALUE"""),1662.75)</f>
        <v>1662.75</v>
      </c>
      <c r="F27" s="3">
        <f>IFERROR(__xludf.DUMMYFUNCTION("""COMPUTED_VALUE"""),0.0)</f>
        <v>0</v>
      </c>
    </row>
    <row r="28">
      <c r="A28" s="7">
        <f>IFERROR(__xludf.DUMMYFUNCTION("""COMPUTED_VALUE"""),36565.645833333336)</f>
        <v>36565.64583</v>
      </c>
      <c r="B28" s="3">
        <f>IFERROR(__xludf.DUMMYFUNCTION("""COMPUTED_VALUE"""),1666.95)</f>
        <v>1666.95</v>
      </c>
      <c r="C28" s="3">
        <f>IFERROR(__xludf.DUMMYFUNCTION("""COMPUTED_VALUE"""),1731.65)</f>
        <v>1731.65</v>
      </c>
      <c r="D28" s="3">
        <f>IFERROR(__xludf.DUMMYFUNCTION("""COMPUTED_VALUE"""),1666.7)</f>
        <v>1666.7</v>
      </c>
      <c r="E28" s="3">
        <f>IFERROR(__xludf.DUMMYFUNCTION("""COMPUTED_VALUE"""),1689.65)</f>
        <v>1689.65</v>
      </c>
      <c r="F28" s="3">
        <f>IFERROR(__xludf.DUMMYFUNCTION("""COMPUTED_VALUE"""),0.0)</f>
        <v>0</v>
      </c>
    </row>
    <row r="29">
      <c r="A29" s="7">
        <f>IFERROR(__xludf.DUMMYFUNCTION("""COMPUTED_VALUE"""),36566.645833333336)</f>
        <v>36566.64583</v>
      </c>
      <c r="B29" s="3">
        <f>IFERROR(__xludf.DUMMYFUNCTION("""COMPUTED_VALUE"""),1692.1)</f>
        <v>1692.1</v>
      </c>
      <c r="C29" s="3">
        <f>IFERROR(__xludf.DUMMYFUNCTION("""COMPUTED_VALUE"""),1713.7)</f>
        <v>1713.7</v>
      </c>
      <c r="D29" s="3">
        <f>IFERROR(__xludf.DUMMYFUNCTION("""COMPUTED_VALUE"""),1692.1)</f>
        <v>1692.1</v>
      </c>
      <c r="E29" s="3">
        <f>IFERROR(__xludf.DUMMYFUNCTION("""COMPUTED_VALUE"""),1711.2)</f>
        <v>1711.2</v>
      </c>
      <c r="F29" s="3">
        <f>IFERROR(__xludf.DUMMYFUNCTION("""COMPUTED_VALUE"""),0.0)</f>
        <v>0</v>
      </c>
    </row>
    <row r="30">
      <c r="A30" s="7">
        <f>IFERROR(__xludf.DUMMYFUNCTION("""COMPUTED_VALUE"""),36567.645833333336)</f>
        <v>36567.64583</v>
      </c>
      <c r="B30" s="3">
        <f>IFERROR(__xludf.DUMMYFUNCTION("""COMPUTED_VALUE"""),1712.85)</f>
        <v>1712.85</v>
      </c>
      <c r="C30" s="3">
        <f>IFERROR(__xludf.DUMMYFUNCTION("""COMPUTED_VALUE"""),1771.65)</f>
        <v>1771.65</v>
      </c>
      <c r="D30" s="3">
        <f>IFERROR(__xludf.DUMMYFUNCTION("""COMPUTED_VALUE"""),1712.85)</f>
        <v>1712.85</v>
      </c>
      <c r="E30" s="3">
        <f>IFERROR(__xludf.DUMMYFUNCTION("""COMPUTED_VALUE"""),1756.0)</f>
        <v>1756</v>
      </c>
      <c r="F30" s="3">
        <f>IFERROR(__xludf.DUMMYFUNCTION("""COMPUTED_VALUE"""),0.0)</f>
        <v>0</v>
      </c>
    </row>
    <row r="31">
      <c r="A31" s="7">
        <f>IFERROR(__xludf.DUMMYFUNCTION("""COMPUTED_VALUE"""),36570.645833333336)</f>
        <v>36570.64583</v>
      </c>
      <c r="B31" s="3">
        <f>IFERROR(__xludf.DUMMYFUNCTION("""COMPUTED_VALUE"""),1777.75)</f>
        <v>1777.75</v>
      </c>
      <c r="C31" s="3">
        <f>IFERROR(__xludf.DUMMYFUNCTION("""COMPUTED_VALUE"""),1795.45)</f>
        <v>1795.45</v>
      </c>
      <c r="D31" s="3">
        <f>IFERROR(__xludf.DUMMYFUNCTION("""COMPUTED_VALUE"""),1738.75)</f>
        <v>1738.75</v>
      </c>
      <c r="E31" s="3">
        <f>IFERROR(__xludf.DUMMYFUNCTION("""COMPUTED_VALUE"""),1744.5)</f>
        <v>1744.5</v>
      </c>
      <c r="F31" s="3">
        <f>IFERROR(__xludf.DUMMYFUNCTION("""COMPUTED_VALUE"""),0.0)</f>
        <v>0</v>
      </c>
    </row>
    <row r="32">
      <c r="A32" s="7">
        <f>IFERROR(__xludf.DUMMYFUNCTION("""COMPUTED_VALUE"""),36571.645833333336)</f>
        <v>36571.64583</v>
      </c>
      <c r="B32" s="3">
        <f>IFERROR(__xludf.DUMMYFUNCTION("""COMPUTED_VALUE"""),1744.5)</f>
        <v>1744.5</v>
      </c>
      <c r="C32" s="3">
        <f>IFERROR(__xludf.DUMMYFUNCTION("""COMPUTED_VALUE"""),1744.5)</f>
        <v>1744.5</v>
      </c>
      <c r="D32" s="3">
        <f>IFERROR(__xludf.DUMMYFUNCTION("""COMPUTED_VALUE"""),1694.45)</f>
        <v>1694.45</v>
      </c>
      <c r="E32" s="3">
        <f>IFERROR(__xludf.DUMMYFUNCTION("""COMPUTED_VALUE"""),1702.55)</f>
        <v>1702.55</v>
      </c>
      <c r="F32" s="3">
        <f>IFERROR(__xludf.DUMMYFUNCTION("""COMPUTED_VALUE"""),0.0)</f>
        <v>0</v>
      </c>
    </row>
    <row r="33">
      <c r="A33" s="7">
        <f>IFERROR(__xludf.DUMMYFUNCTION("""COMPUTED_VALUE"""),36572.645833333336)</f>
        <v>36572.64583</v>
      </c>
      <c r="B33" s="3">
        <f>IFERROR(__xludf.DUMMYFUNCTION("""COMPUTED_VALUE"""),1704.85)</f>
        <v>1704.85</v>
      </c>
      <c r="C33" s="3">
        <f>IFERROR(__xludf.DUMMYFUNCTION("""COMPUTED_VALUE"""),1742.8)</f>
        <v>1742.8</v>
      </c>
      <c r="D33" s="3">
        <f>IFERROR(__xludf.DUMMYFUNCTION("""COMPUTED_VALUE"""),1704.15)</f>
        <v>1704.15</v>
      </c>
      <c r="E33" s="3">
        <f>IFERROR(__xludf.DUMMYFUNCTION("""COMPUTED_VALUE"""),1711.1)</f>
        <v>1711.1</v>
      </c>
      <c r="F33" s="3">
        <f>IFERROR(__xludf.DUMMYFUNCTION("""COMPUTED_VALUE"""),0.0)</f>
        <v>0</v>
      </c>
    </row>
    <row r="34">
      <c r="A34" s="7">
        <f>IFERROR(__xludf.DUMMYFUNCTION("""COMPUTED_VALUE"""),36573.645833333336)</f>
        <v>36573.64583</v>
      </c>
      <c r="B34" s="3">
        <f>IFERROR(__xludf.DUMMYFUNCTION("""COMPUTED_VALUE"""),1710.05)</f>
        <v>1710.05</v>
      </c>
      <c r="C34" s="3">
        <f>IFERROR(__xludf.DUMMYFUNCTION("""COMPUTED_VALUE"""),1753.1)</f>
        <v>1753.1</v>
      </c>
      <c r="D34" s="3">
        <f>IFERROR(__xludf.DUMMYFUNCTION("""COMPUTED_VALUE"""),1710.05)</f>
        <v>1710.05</v>
      </c>
      <c r="E34" s="3">
        <f>IFERROR(__xludf.DUMMYFUNCTION("""COMPUTED_VALUE"""),1742.1)</f>
        <v>1742.1</v>
      </c>
      <c r="F34" s="3">
        <f>IFERROR(__xludf.DUMMYFUNCTION("""COMPUTED_VALUE"""),0.0)</f>
        <v>0</v>
      </c>
    </row>
    <row r="35">
      <c r="A35" s="7">
        <f>IFERROR(__xludf.DUMMYFUNCTION("""COMPUTED_VALUE"""),36574.645833333336)</f>
        <v>36574.64583</v>
      </c>
      <c r="B35" s="3">
        <f>IFERROR(__xludf.DUMMYFUNCTION("""COMPUTED_VALUE"""),1742.3)</f>
        <v>1742.3</v>
      </c>
      <c r="C35" s="3">
        <f>IFERROR(__xludf.DUMMYFUNCTION("""COMPUTED_VALUE"""),1764.15)</f>
        <v>1764.15</v>
      </c>
      <c r="D35" s="3">
        <f>IFERROR(__xludf.DUMMYFUNCTION("""COMPUTED_VALUE"""),1713.45)</f>
        <v>1713.45</v>
      </c>
      <c r="E35" s="3">
        <f>IFERROR(__xludf.DUMMYFUNCTION("""COMPUTED_VALUE"""),1717.8)</f>
        <v>1717.8</v>
      </c>
      <c r="F35" s="3">
        <f>IFERROR(__xludf.DUMMYFUNCTION("""COMPUTED_VALUE"""),0.0)</f>
        <v>0</v>
      </c>
    </row>
    <row r="36">
      <c r="A36" s="7">
        <f>IFERROR(__xludf.DUMMYFUNCTION("""COMPUTED_VALUE"""),36577.645833333336)</f>
        <v>36577.64583</v>
      </c>
      <c r="B36" s="3">
        <f>IFERROR(__xludf.DUMMYFUNCTION("""COMPUTED_VALUE"""),1719.55)</f>
        <v>1719.55</v>
      </c>
      <c r="C36" s="3">
        <f>IFERROR(__xludf.DUMMYFUNCTION("""COMPUTED_VALUE"""),1767.8)</f>
        <v>1767.8</v>
      </c>
      <c r="D36" s="3">
        <f>IFERROR(__xludf.DUMMYFUNCTION("""COMPUTED_VALUE"""),1719.55)</f>
        <v>1719.55</v>
      </c>
      <c r="E36" s="3">
        <f>IFERROR(__xludf.DUMMYFUNCTION("""COMPUTED_VALUE"""),1753.5)</f>
        <v>1753.5</v>
      </c>
      <c r="F36" s="3">
        <f>IFERROR(__xludf.DUMMYFUNCTION("""COMPUTED_VALUE"""),0.0)</f>
        <v>0</v>
      </c>
    </row>
    <row r="37">
      <c r="A37" s="7">
        <f>IFERROR(__xludf.DUMMYFUNCTION("""COMPUTED_VALUE"""),36578.645833333336)</f>
        <v>36578.64583</v>
      </c>
      <c r="B37" s="3">
        <f>IFERROR(__xludf.DUMMYFUNCTION("""COMPUTED_VALUE"""),1754.2)</f>
        <v>1754.2</v>
      </c>
      <c r="C37" s="3">
        <f>IFERROR(__xludf.DUMMYFUNCTION("""COMPUTED_VALUE"""),1781.05)</f>
        <v>1781.05</v>
      </c>
      <c r="D37" s="3">
        <f>IFERROR(__xludf.DUMMYFUNCTION("""COMPUTED_VALUE"""),1733.55)</f>
        <v>1733.55</v>
      </c>
      <c r="E37" s="3">
        <f>IFERROR(__xludf.DUMMYFUNCTION("""COMPUTED_VALUE"""),1739.05)</f>
        <v>1739.05</v>
      </c>
      <c r="F37" s="3">
        <f>IFERROR(__xludf.DUMMYFUNCTION("""COMPUTED_VALUE"""),0.0)</f>
        <v>0</v>
      </c>
    </row>
    <row r="38">
      <c r="A38" s="7">
        <f>IFERROR(__xludf.DUMMYFUNCTION("""COMPUTED_VALUE"""),36579.645833333336)</f>
        <v>36579.64583</v>
      </c>
      <c r="B38" s="3">
        <f>IFERROR(__xludf.DUMMYFUNCTION("""COMPUTED_VALUE"""),1745.2)</f>
        <v>1745.2</v>
      </c>
      <c r="C38" s="3">
        <f>IFERROR(__xludf.DUMMYFUNCTION("""COMPUTED_VALUE"""),1818.15)</f>
        <v>1818.15</v>
      </c>
      <c r="D38" s="3">
        <f>IFERROR(__xludf.DUMMYFUNCTION("""COMPUTED_VALUE"""),1689.2)</f>
        <v>1689.2</v>
      </c>
      <c r="E38" s="3">
        <f>IFERROR(__xludf.DUMMYFUNCTION("""COMPUTED_VALUE"""),1696.4)</f>
        <v>1696.4</v>
      </c>
      <c r="F38" s="3">
        <f>IFERROR(__xludf.DUMMYFUNCTION("""COMPUTED_VALUE"""),0.0)</f>
        <v>0</v>
      </c>
    </row>
    <row r="39">
      <c r="A39" s="7">
        <f>IFERROR(__xludf.DUMMYFUNCTION("""COMPUTED_VALUE"""),36580.645833333336)</f>
        <v>36580.64583</v>
      </c>
      <c r="B39" s="3">
        <f>IFERROR(__xludf.DUMMYFUNCTION("""COMPUTED_VALUE"""),1696.4)</f>
        <v>1696.4</v>
      </c>
      <c r="C39" s="3">
        <f>IFERROR(__xludf.DUMMYFUNCTION("""COMPUTED_VALUE"""),1751.6)</f>
        <v>1751.6</v>
      </c>
      <c r="D39" s="3">
        <f>IFERROR(__xludf.DUMMYFUNCTION("""COMPUTED_VALUE"""),1693.1)</f>
        <v>1693.1</v>
      </c>
      <c r="E39" s="3">
        <f>IFERROR(__xludf.DUMMYFUNCTION("""COMPUTED_VALUE"""),1732.0)</f>
        <v>1732</v>
      </c>
      <c r="F39" s="3">
        <f>IFERROR(__xludf.DUMMYFUNCTION("""COMPUTED_VALUE"""),0.0)</f>
        <v>0</v>
      </c>
    </row>
    <row r="40">
      <c r="A40" s="7">
        <f>IFERROR(__xludf.DUMMYFUNCTION("""COMPUTED_VALUE"""),36581.645833333336)</f>
        <v>36581.64583</v>
      </c>
      <c r="B40" s="3">
        <f>IFERROR(__xludf.DUMMYFUNCTION("""COMPUTED_VALUE"""),1734.05)</f>
        <v>1734.05</v>
      </c>
      <c r="C40" s="3">
        <f>IFERROR(__xludf.DUMMYFUNCTION("""COMPUTED_VALUE"""),1757.05)</f>
        <v>1757.05</v>
      </c>
      <c r="D40" s="3">
        <f>IFERROR(__xludf.DUMMYFUNCTION("""COMPUTED_VALUE"""),1699.25)</f>
        <v>1699.25</v>
      </c>
      <c r="E40" s="3">
        <f>IFERROR(__xludf.DUMMYFUNCTION("""COMPUTED_VALUE"""),1710.45)</f>
        <v>1710.45</v>
      </c>
      <c r="F40" s="3">
        <f>IFERROR(__xludf.DUMMYFUNCTION("""COMPUTED_VALUE"""),0.0)</f>
        <v>0</v>
      </c>
    </row>
    <row r="41">
      <c r="A41" s="7">
        <f>IFERROR(__xludf.DUMMYFUNCTION("""COMPUTED_VALUE"""),36584.645833333336)</f>
        <v>36584.64583</v>
      </c>
      <c r="B41" s="3">
        <f>IFERROR(__xludf.DUMMYFUNCTION("""COMPUTED_VALUE"""),1711.15)</f>
        <v>1711.15</v>
      </c>
      <c r="C41" s="3">
        <f>IFERROR(__xludf.DUMMYFUNCTION("""COMPUTED_VALUE"""),1726.65)</f>
        <v>1726.65</v>
      </c>
      <c r="D41" s="3">
        <f>IFERROR(__xludf.DUMMYFUNCTION("""COMPUTED_VALUE"""),1670.75)</f>
        <v>1670.75</v>
      </c>
      <c r="E41" s="3">
        <f>IFERROR(__xludf.DUMMYFUNCTION("""COMPUTED_VALUE"""),1722.55)</f>
        <v>1722.55</v>
      </c>
      <c r="F41" s="3">
        <f>IFERROR(__xludf.DUMMYFUNCTION("""COMPUTED_VALUE"""),0.0)</f>
        <v>0</v>
      </c>
    </row>
    <row r="42">
      <c r="A42" s="7">
        <f>IFERROR(__xludf.DUMMYFUNCTION("""COMPUTED_VALUE"""),36585.645833333336)</f>
        <v>36585.64583</v>
      </c>
      <c r="B42" s="3">
        <f>IFERROR(__xludf.DUMMYFUNCTION("""COMPUTED_VALUE"""),1722.85)</f>
        <v>1722.85</v>
      </c>
      <c r="C42" s="3">
        <f>IFERROR(__xludf.DUMMYFUNCTION("""COMPUTED_VALUE"""),1783.3)</f>
        <v>1783.3</v>
      </c>
      <c r="D42" s="3">
        <f>IFERROR(__xludf.DUMMYFUNCTION("""COMPUTED_VALUE"""),1626.35)</f>
        <v>1626.35</v>
      </c>
      <c r="E42" s="3">
        <f>IFERROR(__xludf.DUMMYFUNCTION("""COMPUTED_VALUE"""),1654.8)</f>
        <v>1654.8</v>
      </c>
      <c r="F42" s="3">
        <f>IFERROR(__xludf.DUMMYFUNCTION("""COMPUTED_VALUE"""),0.0)</f>
        <v>0</v>
      </c>
    </row>
    <row r="43">
      <c r="A43" s="7">
        <f>IFERROR(__xludf.DUMMYFUNCTION("""COMPUTED_VALUE"""),36586.645833333336)</f>
        <v>36586.64583</v>
      </c>
      <c r="B43" s="3">
        <f>IFERROR(__xludf.DUMMYFUNCTION("""COMPUTED_VALUE"""),1661.5)</f>
        <v>1661.5</v>
      </c>
      <c r="C43" s="3">
        <f>IFERROR(__xludf.DUMMYFUNCTION("""COMPUTED_VALUE"""),1727.9)</f>
        <v>1727.9</v>
      </c>
      <c r="D43" s="3">
        <f>IFERROR(__xludf.DUMMYFUNCTION("""COMPUTED_VALUE"""),1630.0)</f>
        <v>1630</v>
      </c>
      <c r="E43" s="3">
        <f>IFERROR(__xludf.DUMMYFUNCTION("""COMPUTED_VALUE"""),1712.7)</f>
        <v>1712.7</v>
      </c>
      <c r="F43" s="3">
        <f>IFERROR(__xludf.DUMMYFUNCTION("""COMPUTED_VALUE"""),0.0)</f>
        <v>0</v>
      </c>
    </row>
    <row r="44">
      <c r="A44" s="7">
        <f>IFERROR(__xludf.DUMMYFUNCTION("""COMPUTED_VALUE"""),36587.645833333336)</f>
        <v>36587.64583</v>
      </c>
      <c r="B44" s="3">
        <f>IFERROR(__xludf.DUMMYFUNCTION("""COMPUTED_VALUE"""),1713.65)</f>
        <v>1713.65</v>
      </c>
      <c r="C44" s="3">
        <f>IFERROR(__xludf.DUMMYFUNCTION("""COMPUTED_VALUE"""),1773.85)</f>
        <v>1773.85</v>
      </c>
      <c r="D44" s="3">
        <f>IFERROR(__xludf.DUMMYFUNCTION("""COMPUTED_VALUE"""),1690.05)</f>
        <v>1690.05</v>
      </c>
      <c r="E44" s="3">
        <f>IFERROR(__xludf.DUMMYFUNCTION("""COMPUTED_VALUE"""),1696.55)</f>
        <v>1696.55</v>
      </c>
      <c r="F44" s="3">
        <f>IFERROR(__xludf.DUMMYFUNCTION("""COMPUTED_VALUE"""),0.0)</f>
        <v>0</v>
      </c>
    </row>
    <row r="45">
      <c r="A45" s="7">
        <f>IFERROR(__xludf.DUMMYFUNCTION("""COMPUTED_VALUE"""),36588.645833333336)</f>
        <v>36588.64583</v>
      </c>
      <c r="B45" s="3">
        <f>IFERROR(__xludf.DUMMYFUNCTION("""COMPUTED_VALUE"""),1696.45)</f>
        <v>1696.45</v>
      </c>
      <c r="C45" s="3">
        <f>IFERROR(__xludf.DUMMYFUNCTION("""COMPUTED_VALUE"""),1719.15)</f>
        <v>1719.15</v>
      </c>
      <c r="D45" s="3">
        <f>IFERROR(__xludf.DUMMYFUNCTION("""COMPUTED_VALUE"""),1644.4)</f>
        <v>1644.4</v>
      </c>
      <c r="E45" s="3">
        <f>IFERROR(__xludf.DUMMYFUNCTION("""COMPUTED_VALUE"""),1656.0)</f>
        <v>1656</v>
      </c>
      <c r="F45" s="3">
        <f>IFERROR(__xludf.DUMMYFUNCTION("""COMPUTED_VALUE"""),0.0)</f>
        <v>0</v>
      </c>
    </row>
    <row r="46">
      <c r="A46" s="7">
        <f>IFERROR(__xludf.DUMMYFUNCTION("""COMPUTED_VALUE"""),36591.645833333336)</f>
        <v>36591.64583</v>
      </c>
      <c r="B46" s="3">
        <f>IFERROR(__xludf.DUMMYFUNCTION("""COMPUTED_VALUE"""),1656.0)</f>
        <v>1656</v>
      </c>
      <c r="C46" s="3">
        <f>IFERROR(__xludf.DUMMYFUNCTION("""COMPUTED_VALUE"""),1721.0)</f>
        <v>1721</v>
      </c>
      <c r="D46" s="3">
        <f>IFERROR(__xludf.DUMMYFUNCTION("""COMPUTED_VALUE"""),1656.0)</f>
        <v>1656</v>
      </c>
      <c r="E46" s="3">
        <f>IFERROR(__xludf.DUMMYFUNCTION("""COMPUTED_VALUE"""),1688.5)</f>
        <v>1688.5</v>
      </c>
      <c r="F46" s="3">
        <f>IFERROR(__xludf.DUMMYFUNCTION("""COMPUTED_VALUE"""),0.0)</f>
        <v>0</v>
      </c>
    </row>
    <row r="47">
      <c r="A47" s="7">
        <f>IFERROR(__xludf.DUMMYFUNCTION("""COMPUTED_VALUE"""),36592.645833333336)</f>
        <v>36592.64583</v>
      </c>
      <c r="B47" s="3">
        <f>IFERROR(__xludf.DUMMYFUNCTION("""COMPUTED_VALUE"""),1711.85)</f>
        <v>1711.85</v>
      </c>
      <c r="C47" s="3">
        <f>IFERROR(__xludf.DUMMYFUNCTION("""COMPUTED_VALUE"""),1730.85)</f>
        <v>1730.85</v>
      </c>
      <c r="D47" s="3">
        <f>IFERROR(__xludf.DUMMYFUNCTION("""COMPUTED_VALUE"""),1684.9)</f>
        <v>1684.9</v>
      </c>
      <c r="E47" s="3">
        <f>IFERROR(__xludf.DUMMYFUNCTION("""COMPUTED_VALUE"""),1702.75)</f>
        <v>1702.75</v>
      </c>
      <c r="F47" s="3">
        <f>IFERROR(__xludf.DUMMYFUNCTION("""COMPUTED_VALUE"""),0.0)</f>
        <v>0</v>
      </c>
    </row>
    <row r="48">
      <c r="A48" s="7">
        <f>IFERROR(__xludf.DUMMYFUNCTION("""COMPUTED_VALUE"""),36593.645833333336)</f>
        <v>36593.64583</v>
      </c>
      <c r="B48" s="3">
        <f>IFERROR(__xludf.DUMMYFUNCTION("""COMPUTED_VALUE"""),1717.75)</f>
        <v>1717.75</v>
      </c>
      <c r="C48" s="3">
        <f>IFERROR(__xludf.DUMMYFUNCTION("""COMPUTED_VALUE"""),1765.25)</f>
        <v>1765.25</v>
      </c>
      <c r="D48" s="3">
        <f>IFERROR(__xludf.DUMMYFUNCTION("""COMPUTED_VALUE"""),1654.45)</f>
        <v>1654.45</v>
      </c>
      <c r="E48" s="3">
        <f>IFERROR(__xludf.DUMMYFUNCTION("""COMPUTED_VALUE"""),1666.35)</f>
        <v>1666.35</v>
      </c>
      <c r="F48" s="3">
        <f>IFERROR(__xludf.DUMMYFUNCTION("""COMPUTED_VALUE"""),0.0)</f>
        <v>0</v>
      </c>
    </row>
    <row r="49">
      <c r="A49" s="7">
        <f>IFERROR(__xludf.DUMMYFUNCTION("""COMPUTED_VALUE"""),36594.645833333336)</f>
        <v>36594.64583</v>
      </c>
      <c r="B49" s="3">
        <f>IFERROR(__xludf.DUMMYFUNCTION("""COMPUTED_VALUE"""),1667.45)</f>
        <v>1667.45</v>
      </c>
      <c r="C49" s="3">
        <f>IFERROR(__xludf.DUMMYFUNCTION("""COMPUTED_VALUE"""),1692.25)</f>
        <v>1692.25</v>
      </c>
      <c r="D49" s="3">
        <f>IFERROR(__xludf.DUMMYFUNCTION("""COMPUTED_VALUE"""),1595.45)</f>
        <v>1595.45</v>
      </c>
      <c r="E49" s="3">
        <f>IFERROR(__xludf.DUMMYFUNCTION("""COMPUTED_VALUE"""),1646.25)</f>
        <v>1646.25</v>
      </c>
      <c r="F49" s="3">
        <f>IFERROR(__xludf.DUMMYFUNCTION("""COMPUTED_VALUE"""),0.0)</f>
        <v>0</v>
      </c>
    </row>
    <row r="50">
      <c r="A50" s="7">
        <f>IFERROR(__xludf.DUMMYFUNCTION("""COMPUTED_VALUE"""),36595.645833333336)</f>
        <v>36595.64583</v>
      </c>
      <c r="B50" s="3">
        <f>IFERROR(__xludf.DUMMYFUNCTION("""COMPUTED_VALUE"""),1647.85)</f>
        <v>1647.85</v>
      </c>
      <c r="C50" s="3">
        <f>IFERROR(__xludf.DUMMYFUNCTION("""COMPUTED_VALUE"""),1680.45)</f>
        <v>1680.45</v>
      </c>
      <c r="D50" s="3">
        <f>IFERROR(__xludf.DUMMYFUNCTION("""COMPUTED_VALUE"""),1588.2)</f>
        <v>1588.2</v>
      </c>
      <c r="E50" s="3">
        <f>IFERROR(__xludf.DUMMYFUNCTION("""COMPUTED_VALUE"""),1602.75)</f>
        <v>1602.75</v>
      </c>
      <c r="F50" s="3">
        <f>IFERROR(__xludf.DUMMYFUNCTION("""COMPUTED_VALUE"""),0.0)</f>
        <v>0</v>
      </c>
    </row>
    <row r="51">
      <c r="A51" s="7">
        <f>IFERROR(__xludf.DUMMYFUNCTION("""COMPUTED_VALUE"""),36598.645833333336)</f>
        <v>36598.64583</v>
      </c>
      <c r="B51" s="3">
        <f>IFERROR(__xludf.DUMMYFUNCTION("""COMPUTED_VALUE"""),1601.4)</f>
        <v>1601.4</v>
      </c>
      <c r="C51" s="3">
        <f>IFERROR(__xludf.DUMMYFUNCTION("""COMPUTED_VALUE"""),1645.0)</f>
        <v>1645</v>
      </c>
      <c r="D51" s="3">
        <f>IFERROR(__xludf.DUMMYFUNCTION("""COMPUTED_VALUE"""),1553.45)</f>
        <v>1553.45</v>
      </c>
      <c r="E51" s="3">
        <f>IFERROR(__xludf.DUMMYFUNCTION("""COMPUTED_VALUE"""),1560.7)</f>
        <v>1560.7</v>
      </c>
      <c r="F51" s="3">
        <f>IFERROR(__xludf.DUMMYFUNCTION("""COMPUTED_VALUE"""),0.0)</f>
        <v>0</v>
      </c>
    </row>
    <row r="52">
      <c r="A52" s="7">
        <f>IFERROR(__xludf.DUMMYFUNCTION("""COMPUTED_VALUE"""),36599.645833333336)</f>
        <v>36599.64583</v>
      </c>
      <c r="B52" s="3">
        <f>IFERROR(__xludf.DUMMYFUNCTION("""COMPUTED_VALUE"""),1561.55)</f>
        <v>1561.55</v>
      </c>
      <c r="C52" s="3">
        <f>IFERROR(__xludf.DUMMYFUNCTION("""COMPUTED_VALUE"""),1571.3)</f>
        <v>1571.3</v>
      </c>
      <c r="D52" s="3">
        <f>IFERROR(__xludf.DUMMYFUNCTION("""COMPUTED_VALUE"""),1503.2)</f>
        <v>1503.2</v>
      </c>
      <c r="E52" s="3">
        <f>IFERROR(__xludf.DUMMYFUNCTION("""COMPUTED_VALUE"""),1567.05)</f>
        <v>1567.05</v>
      </c>
      <c r="F52" s="3">
        <f>IFERROR(__xludf.DUMMYFUNCTION("""COMPUTED_VALUE"""),0.0)</f>
        <v>0</v>
      </c>
    </row>
    <row r="53">
      <c r="A53" s="7">
        <f>IFERROR(__xludf.DUMMYFUNCTION("""COMPUTED_VALUE"""),36600.645833333336)</f>
        <v>36600.64583</v>
      </c>
      <c r="B53" s="3">
        <f>IFERROR(__xludf.DUMMYFUNCTION("""COMPUTED_VALUE"""),1546.8)</f>
        <v>1546.8</v>
      </c>
      <c r="C53" s="3">
        <f>IFERROR(__xludf.DUMMYFUNCTION("""COMPUTED_VALUE"""),1630.95)</f>
        <v>1630.95</v>
      </c>
      <c r="D53" s="3">
        <f>IFERROR(__xludf.DUMMYFUNCTION("""COMPUTED_VALUE"""),1538.7)</f>
        <v>1538.7</v>
      </c>
      <c r="E53" s="3">
        <f>IFERROR(__xludf.DUMMYFUNCTION("""COMPUTED_VALUE"""),1620.1)</f>
        <v>1620.1</v>
      </c>
      <c r="F53" s="3">
        <f>IFERROR(__xludf.DUMMYFUNCTION("""COMPUTED_VALUE"""),0.0)</f>
        <v>0</v>
      </c>
    </row>
    <row r="54">
      <c r="A54" s="7">
        <f>IFERROR(__xludf.DUMMYFUNCTION("""COMPUTED_VALUE"""),36601.645833333336)</f>
        <v>36601.64583</v>
      </c>
      <c r="B54" s="3">
        <f>IFERROR(__xludf.DUMMYFUNCTION("""COMPUTED_VALUE"""),1620.4)</f>
        <v>1620.4</v>
      </c>
      <c r="C54" s="3">
        <f>IFERROR(__xludf.DUMMYFUNCTION("""COMPUTED_VALUE"""),1621.2)</f>
        <v>1621.2</v>
      </c>
      <c r="D54" s="3">
        <f>IFERROR(__xludf.DUMMYFUNCTION("""COMPUTED_VALUE"""),1554.3)</f>
        <v>1554.3</v>
      </c>
      <c r="E54" s="3">
        <f>IFERROR(__xludf.DUMMYFUNCTION("""COMPUTED_VALUE"""),1562.2)</f>
        <v>1562.2</v>
      </c>
      <c r="F54" s="3">
        <f>IFERROR(__xludf.DUMMYFUNCTION("""COMPUTED_VALUE"""),0.0)</f>
        <v>0</v>
      </c>
    </row>
    <row r="55">
      <c r="A55" s="7">
        <f>IFERROR(__xludf.DUMMYFUNCTION("""COMPUTED_VALUE"""),36606.645833333336)</f>
        <v>36606.64583</v>
      </c>
      <c r="B55" s="3">
        <f>IFERROR(__xludf.DUMMYFUNCTION("""COMPUTED_VALUE"""),1563.3)</f>
        <v>1563.3</v>
      </c>
      <c r="C55" s="3">
        <f>IFERROR(__xludf.DUMMYFUNCTION("""COMPUTED_VALUE"""),1585.25)</f>
        <v>1585.25</v>
      </c>
      <c r="D55" s="3">
        <f>IFERROR(__xludf.DUMMYFUNCTION("""COMPUTED_VALUE"""),1542.65)</f>
        <v>1542.65</v>
      </c>
      <c r="E55" s="3">
        <f>IFERROR(__xludf.DUMMYFUNCTION("""COMPUTED_VALUE"""),1556.6)</f>
        <v>1556.6</v>
      </c>
      <c r="F55" s="3">
        <f>IFERROR(__xludf.DUMMYFUNCTION("""COMPUTED_VALUE"""),0.0)</f>
        <v>0</v>
      </c>
    </row>
    <row r="56">
      <c r="A56" s="7">
        <f>IFERROR(__xludf.DUMMYFUNCTION("""COMPUTED_VALUE"""),36607.645833333336)</f>
        <v>36607.64583</v>
      </c>
      <c r="B56" s="3">
        <f>IFERROR(__xludf.DUMMYFUNCTION("""COMPUTED_VALUE"""),1551.05)</f>
        <v>1551.05</v>
      </c>
      <c r="C56" s="3">
        <f>IFERROR(__xludf.DUMMYFUNCTION("""COMPUTED_VALUE"""),1604.0)</f>
        <v>1604</v>
      </c>
      <c r="D56" s="3">
        <f>IFERROR(__xludf.DUMMYFUNCTION("""COMPUTED_VALUE"""),1551.05)</f>
        <v>1551.05</v>
      </c>
      <c r="E56" s="3">
        <f>IFERROR(__xludf.DUMMYFUNCTION("""COMPUTED_VALUE"""),1589.6)</f>
        <v>1589.6</v>
      </c>
      <c r="F56" s="3">
        <f>IFERROR(__xludf.DUMMYFUNCTION("""COMPUTED_VALUE"""),0.0)</f>
        <v>0</v>
      </c>
    </row>
    <row r="57">
      <c r="A57" s="7">
        <f>IFERROR(__xludf.DUMMYFUNCTION("""COMPUTED_VALUE"""),36608.645833333336)</f>
        <v>36608.64583</v>
      </c>
      <c r="B57" s="3">
        <f>IFERROR(__xludf.DUMMYFUNCTION("""COMPUTED_VALUE"""),1590.3)</f>
        <v>1590.3</v>
      </c>
      <c r="C57" s="3">
        <f>IFERROR(__xludf.DUMMYFUNCTION("""COMPUTED_VALUE"""),1629.2)</f>
        <v>1629.2</v>
      </c>
      <c r="D57" s="3">
        <f>IFERROR(__xludf.DUMMYFUNCTION("""COMPUTED_VALUE"""),1544.5)</f>
        <v>1544.5</v>
      </c>
      <c r="E57" s="3">
        <f>IFERROR(__xludf.DUMMYFUNCTION("""COMPUTED_VALUE"""),1553.4)</f>
        <v>1553.4</v>
      </c>
      <c r="F57" s="3">
        <f>IFERROR(__xludf.DUMMYFUNCTION("""COMPUTED_VALUE"""),0.0)</f>
        <v>0</v>
      </c>
    </row>
    <row r="58">
      <c r="A58" s="7">
        <f>IFERROR(__xludf.DUMMYFUNCTION("""COMPUTED_VALUE"""),36609.645833333336)</f>
        <v>36609.64583</v>
      </c>
      <c r="B58" s="3">
        <f>IFERROR(__xludf.DUMMYFUNCTION("""COMPUTED_VALUE"""),1554.2)</f>
        <v>1554.2</v>
      </c>
      <c r="C58" s="3">
        <f>IFERROR(__xludf.DUMMYFUNCTION("""COMPUTED_VALUE"""),1579.4)</f>
        <v>1579.4</v>
      </c>
      <c r="D58" s="3">
        <f>IFERROR(__xludf.DUMMYFUNCTION("""COMPUTED_VALUE"""),1540.45)</f>
        <v>1540.45</v>
      </c>
      <c r="E58" s="3">
        <f>IFERROR(__xludf.DUMMYFUNCTION("""COMPUTED_VALUE"""),1569.55)</f>
        <v>1569.55</v>
      </c>
      <c r="F58" s="3">
        <f>IFERROR(__xludf.DUMMYFUNCTION("""COMPUTED_VALUE"""),0.0)</f>
        <v>0</v>
      </c>
    </row>
    <row r="59">
      <c r="A59" s="7">
        <f>IFERROR(__xludf.DUMMYFUNCTION("""COMPUTED_VALUE"""),36612.645833333336)</f>
        <v>36612.64583</v>
      </c>
      <c r="B59" s="3">
        <f>IFERROR(__xludf.DUMMYFUNCTION("""COMPUTED_VALUE"""),1570.45)</f>
        <v>1570.45</v>
      </c>
      <c r="C59" s="3">
        <f>IFERROR(__xludf.DUMMYFUNCTION("""COMPUTED_VALUE"""),1593.3)</f>
        <v>1593.3</v>
      </c>
      <c r="D59" s="3">
        <f>IFERROR(__xludf.DUMMYFUNCTION("""COMPUTED_VALUE"""),1555.75)</f>
        <v>1555.75</v>
      </c>
      <c r="E59" s="3">
        <f>IFERROR(__xludf.DUMMYFUNCTION("""COMPUTED_VALUE"""),1562.95)</f>
        <v>1562.95</v>
      </c>
      <c r="F59" s="3">
        <f>IFERROR(__xludf.DUMMYFUNCTION("""COMPUTED_VALUE"""),0.0)</f>
        <v>0</v>
      </c>
    </row>
    <row r="60">
      <c r="A60" s="7">
        <f>IFERROR(__xludf.DUMMYFUNCTION("""COMPUTED_VALUE"""),36613.645833333336)</f>
        <v>36613.64583</v>
      </c>
      <c r="B60" s="3">
        <f>IFERROR(__xludf.DUMMYFUNCTION("""COMPUTED_VALUE"""),1563.3)</f>
        <v>1563.3</v>
      </c>
      <c r="C60" s="3">
        <f>IFERROR(__xludf.DUMMYFUNCTION("""COMPUTED_VALUE"""),1575.85)</f>
        <v>1575.85</v>
      </c>
      <c r="D60" s="3">
        <f>IFERROR(__xludf.DUMMYFUNCTION("""COMPUTED_VALUE"""),1527.55)</f>
        <v>1527.55</v>
      </c>
      <c r="E60" s="3">
        <f>IFERROR(__xludf.DUMMYFUNCTION("""COMPUTED_VALUE"""),1568.6)</f>
        <v>1568.6</v>
      </c>
      <c r="F60" s="3">
        <f>IFERROR(__xludf.DUMMYFUNCTION("""COMPUTED_VALUE"""),0.0)</f>
        <v>0</v>
      </c>
    </row>
    <row r="61">
      <c r="A61" s="7">
        <f>IFERROR(__xludf.DUMMYFUNCTION("""COMPUTED_VALUE"""),36614.645833333336)</f>
        <v>36614.64583</v>
      </c>
      <c r="B61" s="3">
        <f>IFERROR(__xludf.DUMMYFUNCTION("""COMPUTED_VALUE"""),1569.3)</f>
        <v>1569.3</v>
      </c>
      <c r="C61" s="3">
        <f>IFERROR(__xludf.DUMMYFUNCTION("""COMPUTED_VALUE"""),1609.4)</f>
        <v>1609.4</v>
      </c>
      <c r="D61" s="3">
        <f>IFERROR(__xludf.DUMMYFUNCTION("""COMPUTED_VALUE"""),1553.4)</f>
        <v>1553.4</v>
      </c>
      <c r="E61" s="3">
        <f>IFERROR(__xludf.DUMMYFUNCTION("""COMPUTED_VALUE"""),1558.25)</f>
        <v>1558.25</v>
      </c>
      <c r="F61" s="3">
        <f>IFERROR(__xludf.DUMMYFUNCTION("""COMPUTED_VALUE"""),0.0)</f>
        <v>0</v>
      </c>
    </row>
    <row r="62">
      <c r="A62" s="7">
        <f>IFERROR(__xludf.DUMMYFUNCTION("""COMPUTED_VALUE"""),36615.645833333336)</f>
        <v>36615.64583</v>
      </c>
      <c r="B62" s="3">
        <f>IFERROR(__xludf.DUMMYFUNCTION("""COMPUTED_VALUE"""),1556.95)</f>
        <v>1556.95</v>
      </c>
      <c r="C62" s="3">
        <f>IFERROR(__xludf.DUMMYFUNCTION("""COMPUTED_VALUE"""),1557.85)</f>
        <v>1557.85</v>
      </c>
      <c r="D62" s="3">
        <f>IFERROR(__xludf.DUMMYFUNCTION("""COMPUTED_VALUE"""),1489.1)</f>
        <v>1489.1</v>
      </c>
      <c r="E62" s="3">
        <f>IFERROR(__xludf.DUMMYFUNCTION("""COMPUTED_VALUE"""),1549.5)</f>
        <v>1549.5</v>
      </c>
      <c r="F62" s="3">
        <f>IFERROR(__xludf.DUMMYFUNCTION("""COMPUTED_VALUE"""),0.0)</f>
        <v>0</v>
      </c>
    </row>
    <row r="63">
      <c r="A63" s="7">
        <f>IFERROR(__xludf.DUMMYFUNCTION("""COMPUTED_VALUE"""),36616.645833333336)</f>
        <v>36616.64583</v>
      </c>
      <c r="B63" s="3">
        <f>IFERROR(__xludf.DUMMYFUNCTION("""COMPUTED_VALUE"""),1545.55)</f>
        <v>1545.55</v>
      </c>
      <c r="C63" s="3">
        <f>IFERROR(__xludf.DUMMYFUNCTION("""COMPUTED_VALUE"""),1545.55)</f>
        <v>1545.55</v>
      </c>
      <c r="D63" s="3">
        <f>IFERROR(__xludf.DUMMYFUNCTION("""COMPUTED_VALUE"""),1493.9)</f>
        <v>1493.9</v>
      </c>
      <c r="E63" s="3">
        <f>IFERROR(__xludf.DUMMYFUNCTION("""COMPUTED_VALUE"""),1528.45)</f>
        <v>1528.45</v>
      </c>
      <c r="F63" s="3">
        <f>IFERROR(__xludf.DUMMYFUNCTION("""COMPUTED_VALUE"""),0.0)</f>
        <v>0</v>
      </c>
    </row>
    <row r="64">
      <c r="A64" s="7">
        <f>IFERROR(__xludf.DUMMYFUNCTION("""COMPUTED_VALUE"""),36619.645833333336)</f>
        <v>36619.64583</v>
      </c>
      <c r="B64" s="3">
        <f>IFERROR(__xludf.DUMMYFUNCTION("""COMPUTED_VALUE"""),1528.7)</f>
        <v>1528.7</v>
      </c>
      <c r="C64" s="3">
        <f>IFERROR(__xludf.DUMMYFUNCTION("""COMPUTED_VALUE"""),1555.5)</f>
        <v>1555.5</v>
      </c>
      <c r="D64" s="3">
        <f>IFERROR(__xludf.DUMMYFUNCTION("""COMPUTED_VALUE"""),1510.75)</f>
        <v>1510.75</v>
      </c>
      <c r="E64" s="3">
        <f>IFERROR(__xludf.DUMMYFUNCTION("""COMPUTED_VALUE"""),1534.75)</f>
        <v>1534.75</v>
      </c>
      <c r="F64" s="3">
        <f>IFERROR(__xludf.DUMMYFUNCTION("""COMPUTED_VALUE"""),0.0)</f>
        <v>0</v>
      </c>
    </row>
    <row r="65">
      <c r="A65" s="7">
        <f>IFERROR(__xludf.DUMMYFUNCTION("""COMPUTED_VALUE"""),36620.645833333336)</f>
        <v>36620.64583</v>
      </c>
      <c r="B65" s="3">
        <f>IFERROR(__xludf.DUMMYFUNCTION("""COMPUTED_VALUE"""),1534.05)</f>
        <v>1534.05</v>
      </c>
      <c r="C65" s="3">
        <f>IFERROR(__xludf.DUMMYFUNCTION("""COMPUTED_VALUE"""),1534.05)</f>
        <v>1534.05</v>
      </c>
      <c r="D65" s="3">
        <f>IFERROR(__xludf.DUMMYFUNCTION("""COMPUTED_VALUE"""),1420.85)</f>
        <v>1420.85</v>
      </c>
      <c r="E65" s="3">
        <f>IFERROR(__xludf.DUMMYFUNCTION("""COMPUTED_VALUE"""),1428.1)</f>
        <v>1428.1</v>
      </c>
      <c r="F65" s="3">
        <f>IFERROR(__xludf.DUMMYFUNCTION("""COMPUTED_VALUE"""),0.0)</f>
        <v>0</v>
      </c>
    </row>
    <row r="66">
      <c r="A66" s="7">
        <f>IFERROR(__xludf.DUMMYFUNCTION("""COMPUTED_VALUE"""),36621.645833333336)</f>
        <v>36621.64583</v>
      </c>
      <c r="B66" s="3">
        <f>IFERROR(__xludf.DUMMYFUNCTION("""COMPUTED_VALUE"""),1428.5)</f>
        <v>1428.5</v>
      </c>
      <c r="C66" s="3">
        <f>IFERROR(__xludf.DUMMYFUNCTION("""COMPUTED_VALUE"""),1467.4)</f>
        <v>1467.4</v>
      </c>
      <c r="D66" s="3">
        <f>IFERROR(__xludf.DUMMYFUNCTION("""COMPUTED_VALUE"""),1391.65)</f>
        <v>1391.65</v>
      </c>
      <c r="E66" s="3">
        <f>IFERROR(__xludf.DUMMYFUNCTION("""COMPUTED_VALUE"""),1434.65)</f>
        <v>1434.65</v>
      </c>
      <c r="F66" s="3">
        <f>IFERROR(__xludf.DUMMYFUNCTION("""COMPUTED_VALUE"""),0.0)</f>
        <v>0</v>
      </c>
    </row>
    <row r="67">
      <c r="A67" s="7">
        <f>IFERROR(__xludf.DUMMYFUNCTION("""COMPUTED_VALUE"""),36622.645833333336)</f>
        <v>36622.64583</v>
      </c>
      <c r="B67" s="3">
        <f>IFERROR(__xludf.DUMMYFUNCTION("""COMPUTED_VALUE"""),1436.15)</f>
        <v>1436.15</v>
      </c>
      <c r="C67" s="3">
        <f>IFERROR(__xludf.DUMMYFUNCTION("""COMPUTED_VALUE"""),1475.25)</f>
        <v>1475.25</v>
      </c>
      <c r="D67" s="3">
        <f>IFERROR(__xludf.DUMMYFUNCTION("""COMPUTED_VALUE"""),1381.05)</f>
        <v>1381.05</v>
      </c>
      <c r="E67" s="3">
        <f>IFERROR(__xludf.DUMMYFUNCTION("""COMPUTED_VALUE"""),1452.95)</f>
        <v>1452.95</v>
      </c>
      <c r="F67" s="3">
        <f>IFERROR(__xludf.DUMMYFUNCTION("""COMPUTED_VALUE"""),0.0)</f>
        <v>0</v>
      </c>
    </row>
    <row r="68">
      <c r="A68" s="7">
        <f>IFERROR(__xludf.DUMMYFUNCTION("""COMPUTED_VALUE"""),36623.645833333336)</f>
        <v>36623.64583</v>
      </c>
      <c r="B68" s="3">
        <f>IFERROR(__xludf.DUMMYFUNCTION("""COMPUTED_VALUE"""),1453.3)</f>
        <v>1453.3</v>
      </c>
      <c r="C68" s="3">
        <f>IFERROR(__xludf.DUMMYFUNCTION("""COMPUTED_VALUE"""),1558.05)</f>
        <v>1558.05</v>
      </c>
      <c r="D68" s="3">
        <f>IFERROR(__xludf.DUMMYFUNCTION("""COMPUTED_VALUE"""),1453.3)</f>
        <v>1453.3</v>
      </c>
      <c r="E68" s="3">
        <f>IFERROR(__xludf.DUMMYFUNCTION("""COMPUTED_VALUE"""),1557.15)</f>
        <v>1557.15</v>
      </c>
      <c r="F68" s="3">
        <f>IFERROR(__xludf.DUMMYFUNCTION("""COMPUTED_VALUE"""),0.0)</f>
        <v>0</v>
      </c>
    </row>
    <row r="69">
      <c r="A69" s="7">
        <f>IFERROR(__xludf.DUMMYFUNCTION("""COMPUTED_VALUE"""),36626.645833333336)</f>
        <v>36626.64583</v>
      </c>
      <c r="B69" s="3">
        <f>IFERROR(__xludf.DUMMYFUNCTION("""COMPUTED_VALUE"""),1557.55)</f>
        <v>1557.55</v>
      </c>
      <c r="C69" s="3">
        <f>IFERROR(__xludf.DUMMYFUNCTION("""COMPUTED_VALUE"""),1636.95)</f>
        <v>1636.95</v>
      </c>
      <c r="D69" s="3">
        <f>IFERROR(__xludf.DUMMYFUNCTION("""COMPUTED_VALUE"""),1557.55)</f>
        <v>1557.55</v>
      </c>
      <c r="E69" s="3">
        <f>IFERROR(__xludf.DUMMYFUNCTION("""COMPUTED_VALUE"""),1613.0)</f>
        <v>1613</v>
      </c>
      <c r="F69" s="3">
        <f>IFERROR(__xludf.DUMMYFUNCTION("""COMPUTED_VALUE"""),0.0)</f>
        <v>0</v>
      </c>
    </row>
    <row r="70">
      <c r="A70" s="7">
        <f>IFERROR(__xludf.DUMMYFUNCTION("""COMPUTED_VALUE"""),36627.645833333336)</f>
        <v>36627.64583</v>
      </c>
      <c r="B70" s="3">
        <f>IFERROR(__xludf.DUMMYFUNCTION("""COMPUTED_VALUE"""),1613.0)</f>
        <v>1613</v>
      </c>
      <c r="C70" s="3">
        <f>IFERROR(__xludf.DUMMYFUNCTION("""COMPUTED_VALUE"""),1631.6)</f>
        <v>1631.6</v>
      </c>
      <c r="D70" s="3">
        <f>IFERROR(__xludf.DUMMYFUNCTION("""COMPUTED_VALUE"""),1550.85)</f>
        <v>1550.85</v>
      </c>
      <c r="E70" s="3">
        <f>IFERROR(__xludf.DUMMYFUNCTION("""COMPUTED_VALUE"""),1624.65)</f>
        <v>1624.65</v>
      </c>
      <c r="F70" s="3">
        <f>IFERROR(__xludf.DUMMYFUNCTION("""COMPUTED_VALUE"""),0.0)</f>
        <v>0</v>
      </c>
    </row>
    <row r="71">
      <c r="A71" s="7">
        <f>IFERROR(__xludf.DUMMYFUNCTION("""COMPUTED_VALUE"""),36628.645833333336)</f>
        <v>36628.64583</v>
      </c>
      <c r="B71" s="3">
        <f>IFERROR(__xludf.DUMMYFUNCTION("""COMPUTED_VALUE"""),1624.4)</f>
        <v>1624.4</v>
      </c>
      <c r="C71" s="3">
        <f>IFERROR(__xludf.DUMMYFUNCTION("""COMPUTED_VALUE"""),1628.55)</f>
        <v>1628.55</v>
      </c>
      <c r="D71" s="3">
        <f>IFERROR(__xludf.DUMMYFUNCTION("""COMPUTED_VALUE"""),1586.0)</f>
        <v>1586</v>
      </c>
      <c r="E71" s="3">
        <f>IFERROR(__xludf.DUMMYFUNCTION("""COMPUTED_VALUE"""),1592.7)</f>
        <v>1592.7</v>
      </c>
      <c r="F71" s="3">
        <f>IFERROR(__xludf.DUMMYFUNCTION("""COMPUTED_VALUE"""),0.0)</f>
        <v>0</v>
      </c>
    </row>
    <row r="72">
      <c r="A72" s="7">
        <f>IFERROR(__xludf.DUMMYFUNCTION("""COMPUTED_VALUE"""),36629.645833333336)</f>
        <v>36629.64583</v>
      </c>
      <c r="B72" s="3">
        <f>IFERROR(__xludf.DUMMYFUNCTION("""COMPUTED_VALUE"""),1587.95)</f>
        <v>1587.95</v>
      </c>
      <c r="C72" s="3">
        <f>IFERROR(__xludf.DUMMYFUNCTION("""COMPUTED_VALUE"""),1587.95)</f>
        <v>1587.95</v>
      </c>
      <c r="D72" s="3">
        <f>IFERROR(__xludf.DUMMYFUNCTION("""COMPUTED_VALUE"""),1502.7)</f>
        <v>1502.7</v>
      </c>
      <c r="E72" s="3">
        <f>IFERROR(__xludf.DUMMYFUNCTION("""COMPUTED_VALUE"""),1518.65)</f>
        <v>1518.65</v>
      </c>
      <c r="F72" s="3">
        <f>IFERROR(__xludf.DUMMYFUNCTION("""COMPUTED_VALUE"""),0.0)</f>
        <v>0</v>
      </c>
    </row>
    <row r="73">
      <c r="A73" s="7">
        <f>IFERROR(__xludf.DUMMYFUNCTION("""COMPUTED_VALUE"""),36633.645833333336)</f>
        <v>36633.64583</v>
      </c>
      <c r="B73" s="3">
        <f>IFERROR(__xludf.DUMMYFUNCTION("""COMPUTED_VALUE"""),1518.55)</f>
        <v>1518.55</v>
      </c>
      <c r="C73" s="3">
        <f>IFERROR(__xludf.DUMMYFUNCTION("""COMPUTED_VALUE"""),1518.55)</f>
        <v>1518.55</v>
      </c>
      <c r="D73" s="3">
        <f>IFERROR(__xludf.DUMMYFUNCTION("""COMPUTED_VALUE"""),1412.45)</f>
        <v>1412.45</v>
      </c>
      <c r="E73" s="3">
        <f>IFERROR(__xludf.DUMMYFUNCTION("""COMPUTED_VALUE"""),1443.55)</f>
        <v>1443.55</v>
      </c>
      <c r="F73" s="3">
        <f>IFERROR(__xludf.DUMMYFUNCTION("""COMPUTED_VALUE"""),0.0)</f>
        <v>0</v>
      </c>
    </row>
    <row r="74">
      <c r="A74" s="7">
        <f>IFERROR(__xludf.DUMMYFUNCTION("""COMPUTED_VALUE"""),36634.645833333336)</f>
        <v>36634.64583</v>
      </c>
      <c r="B74" s="3">
        <f>IFERROR(__xludf.DUMMYFUNCTION("""COMPUTED_VALUE"""),1443.55)</f>
        <v>1443.55</v>
      </c>
      <c r="C74" s="3">
        <f>IFERROR(__xludf.DUMMYFUNCTION("""COMPUTED_VALUE"""),1478.85)</f>
        <v>1478.85</v>
      </c>
      <c r="D74" s="3">
        <f>IFERROR(__xludf.DUMMYFUNCTION("""COMPUTED_VALUE"""),1410.0)</f>
        <v>1410</v>
      </c>
      <c r="E74" s="3">
        <f>IFERROR(__xludf.DUMMYFUNCTION("""COMPUTED_VALUE"""),1414.8)</f>
        <v>1414.8</v>
      </c>
      <c r="F74" s="3">
        <f>IFERROR(__xludf.DUMMYFUNCTION("""COMPUTED_VALUE"""),0.0)</f>
        <v>0</v>
      </c>
    </row>
    <row r="75">
      <c r="A75" s="7">
        <f>IFERROR(__xludf.DUMMYFUNCTION("""COMPUTED_VALUE"""),36635.645833333336)</f>
        <v>36635.64583</v>
      </c>
      <c r="B75" s="3">
        <f>IFERROR(__xludf.DUMMYFUNCTION("""COMPUTED_VALUE"""),1417.75)</f>
        <v>1417.75</v>
      </c>
      <c r="C75" s="3">
        <f>IFERROR(__xludf.DUMMYFUNCTION("""COMPUTED_VALUE"""),1469.05)</f>
        <v>1469.05</v>
      </c>
      <c r="D75" s="3">
        <f>IFERROR(__xludf.DUMMYFUNCTION("""COMPUTED_VALUE"""),1375.05)</f>
        <v>1375.05</v>
      </c>
      <c r="E75" s="3">
        <f>IFERROR(__xludf.DUMMYFUNCTION("""COMPUTED_VALUE"""),1404.95)</f>
        <v>1404.95</v>
      </c>
      <c r="F75" s="3">
        <f>IFERROR(__xludf.DUMMYFUNCTION("""COMPUTED_VALUE"""),0.0)</f>
        <v>0</v>
      </c>
    </row>
    <row r="76">
      <c r="A76" s="7">
        <f>IFERROR(__xludf.DUMMYFUNCTION("""COMPUTED_VALUE"""),36636.645833333336)</f>
        <v>36636.64583</v>
      </c>
      <c r="B76" s="3">
        <f>IFERROR(__xludf.DUMMYFUNCTION("""COMPUTED_VALUE"""),1405.7)</f>
        <v>1405.7</v>
      </c>
      <c r="C76" s="3">
        <f>IFERROR(__xludf.DUMMYFUNCTION("""COMPUTED_VALUE"""),1425.55)</f>
        <v>1425.55</v>
      </c>
      <c r="D76" s="3">
        <f>IFERROR(__xludf.DUMMYFUNCTION("""COMPUTED_VALUE"""),1339.75)</f>
        <v>1339.75</v>
      </c>
      <c r="E76" s="3">
        <f>IFERROR(__xludf.DUMMYFUNCTION("""COMPUTED_VALUE"""),1415.65)</f>
        <v>1415.65</v>
      </c>
      <c r="F76" s="3">
        <f>IFERROR(__xludf.DUMMYFUNCTION("""COMPUTED_VALUE"""),0.0)</f>
        <v>0</v>
      </c>
    </row>
    <row r="77">
      <c r="A77" s="7">
        <f>IFERROR(__xludf.DUMMYFUNCTION("""COMPUTED_VALUE"""),36640.645833333336)</f>
        <v>36640.64583</v>
      </c>
      <c r="B77" s="3">
        <f>IFERROR(__xludf.DUMMYFUNCTION("""COMPUTED_VALUE"""),1416.05)</f>
        <v>1416.05</v>
      </c>
      <c r="C77" s="3">
        <f>IFERROR(__xludf.DUMMYFUNCTION("""COMPUTED_VALUE"""),1431.8)</f>
        <v>1431.8</v>
      </c>
      <c r="D77" s="3">
        <f>IFERROR(__xludf.DUMMYFUNCTION("""COMPUTED_VALUE"""),1371.85)</f>
        <v>1371.85</v>
      </c>
      <c r="E77" s="3">
        <f>IFERROR(__xludf.DUMMYFUNCTION("""COMPUTED_VALUE"""),1388.0)</f>
        <v>1388</v>
      </c>
      <c r="F77" s="3">
        <f>IFERROR(__xludf.DUMMYFUNCTION("""COMPUTED_VALUE"""),0.0)</f>
        <v>0</v>
      </c>
    </row>
    <row r="78">
      <c r="A78" s="7">
        <f>IFERROR(__xludf.DUMMYFUNCTION("""COMPUTED_VALUE"""),36641.645833333336)</f>
        <v>36641.64583</v>
      </c>
      <c r="B78" s="3">
        <f>IFERROR(__xludf.DUMMYFUNCTION("""COMPUTED_VALUE"""),1383.8)</f>
        <v>1383.8</v>
      </c>
      <c r="C78" s="3">
        <f>IFERROR(__xludf.DUMMYFUNCTION("""COMPUTED_VALUE"""),1383.8)</f>
        <v>1383.8</v>
      </c>
      <c r="D78" s="3">
        <f>IFERROR(__xludf.DUMMYFUNCTION("""COMPUTED_VALUE"""),1311.3)</f>
        <v>1311.3</v>
      </c>
      <c r="E78" s="3">
        <f>IFERROR(__xludf.DUMMYFUNCTION("""COMPUTED_VALUE"""),1359.45)</f>
        <v>1359.45</v>
      </c>
      <c r="F78" s="3">
        <f>IFERROR(__xludf.DUMMYFUNCTION("""COMPUTED_VALUE"""),0.0)</f>
        <v>0</v>
      </c>
    </row>
    <row r="79">
      <c r="A79" s="7">
        <f>IFERROR(__xludf.DUMMYFUNCTION("""COMPUTED_VALUE"""),36642.645833333336)</f>
        <v>36642.64583</v>
      </c>
      <c r="B79" s="3">
        <f>IFERROR(__xludf.DUMMYFUNCTION("""COMPUTED_VALUE"""),1362.5)</f>
        <v>1362.5</v>
      </c>
      <c r="C79" s="3">
        <f>IFERROR(__xludf.DUMMYFUNCTION("""COMPUTED_VALUE"""),1439.05)</f>
        <v>1439.05</v>
      </c>
      <c r="D79" s="3">
        <f>IFERROR(__xludf.DUMMYFUNCTION("""COMPUTED_VALUE"""),1362.5)</f>
        <v>1362.5</v>
      </c>
      <c r="E79" s="3">
        <f>IFERROR(__xludf.DUMMYFUNCTION("""COMPUTED_VALUE"""),1436.1)</f>
        <v>1436.1</v>
      </c>
      <c r="F79" s="3">
        <f>IFERROR(__xludf.DUMMYFUNCTION("""COMPUTED_VALUE"""),0.0)</f>
        <v>0</v>
      </c>
    </row>
    <row r="80">
      <c r="A80" s="7">
        <f>IFERROR(__xludf.DUMMYFUNCTION("""COMPUTED_VALUE"""),36643.645833333336)</f>
        <v>36643.64583</v>
      </c>
      <c r="B80" s="3">
        <f>IFERROR(__xludf.DUMMYFUNCTION("""COMPUTED_VALUE"""),1436.15)</f>
        <v>1436.15</v>
      </c>
      <c r="C80" s="3">
        <f>IFERROR(__xludf.DUMMYFUNCTION("""COMPUTED_VALUE"""),1455.85)</f>
        <v>1455.85</v>
      </c>
      <c r="D80" s="3">
        <f>IFERROR(__xludf.DUMMYFUNCTION("""COMPUTED_VALUE"""),1400.65)</f>
        <v>1400.65</v>
      </c>
      <c r="E80" s="3">
        <f>IFERROR(__xludf.DUMMYFUNCTION("""COMPUTED_VALUE"""),1416.9)</f>
        <v>1416.9</v>
      </c>
      <c r="F80" s="3">
        <f>IFERROR(__xludf.DUMMYFUNCTION("""COMPUTED_VALUE"""),0.0)</f>
        <v>0</v>
      </c>
    </row>
    <row r="81">
      <c r="A81" s="7">
        <f>IFERROR(__xludf.DUMMYFUNCTION("""COMPUTED_VALUE"""),36644.645833333336)</f>
        <v>36644.64583</v>
      </c>
      <c r="B81" s="3">
        <f>IFERROR(__xludf.DUMMYFUNCTION("""COMPUTED_VALUE"""),1419.9)</f>
        <v>1419.9</v>
      </c>
      <c r="C81" s="3">
        <f>IFERROR(__xludf.DUMMYFUNCTION("""COMPUTED_VALUE"""),1438.0)</f>
        <v>1438</v>
      </c>
      <c r="D81" s="3">
        <f>IFERROR(__xludf.DUMMYFUNCTION("""COMPUTED_VALUE"""),1396.55)</f>
        <v>1396.55</v>
      </c>
      <c r="E81" s="3">
        <f>IFERROR(__xludf.DUMMYFUNCTION("""COMPUTED_VALUE"""),1406.55)</f>
        <v>1406.55</v>
      </c>
      <c r="F81" s="3">
        <f>IFERROR(__xludf.DUMMYFUNCTION("""COMPUTED_VALUE"""),0.0)</f>
        <v>0</v>
      </c>
    </row>
    <row r="82">
      <c r="A82" s="7">
        <f>IFERROR(__xludf.DUMMYFUNCTION("""COMPUTED_VALUE"""),36648.645833333336)</f>
        <v>36648.64583</v>
      </c>
      <c r="B82" s="3">
        <f>IFERROR(__xludf.DUMMYFUNCTION("""COMPUTED_VALUE"""),1410.0)</f>
        <v>1410</v>
      </c>
      <c r="C82" s="3">
        <f>IFERROR(__xludf.DUMMYFUNCTION("""COMPUTED_VALUE"""),1421.5)</f>
        <v>1421.5</v>
      </c>
      <c r="D82" s="3">
        <f>IFERROR(__xludf.DUMMYFUNCTION("""COMPUTED_VALUE"""),1319.65)</f>
        <v>1319.65</v>
      </c>
      <c r="E82" s="3">
        <f>IFERROR(__xludf.DUMMYFUNCTION("""COMPUTED_VALUE"""),1333.45)</f>
        <v>1333.45</v>
      </c>
      <c r="F82" s="3">
        <f>IFERROR(__xludf.DUMMYFUNCTION("""COMPUTED_VALUE"""),0.0)</f>
        <v>0</v>
      </c>
    </row>
    <row r="83">
      <c r="A83" s="7">
        <f>IFERROR(__xludf.DUMMYFUNCTION("""COMPUTED_VALUE"""),36649.645833333336)</f>
        <v>36649.64583</v>
      </c>
      <c r="B83" s="3">
        <f>IFERROR(__xludf.DUMMYFUNCTION("""COMPUTED_VALUE"""),1330.15)</f>
        <v>1330.15</v>
      </c>
      <c r="C83" s="3">
        <f>IFERROR(__xludf.DUMMYFUNCTION("""COMPUTED_VALUE"""),1342.15)</f>
        <v>1342.15</v>
      </c>
      <c r="D83" s="3">
        <f>IFERROR(__xludf.DUMMYFUNCTION("""COMPUTED_VALUE"""),1258.1)</f>
        <v>1258.1</v>
      </c>
      <c r="E83" s="3">
        <f>IFERROR(__xludf.DUMMYFUNCTION("""COMPUTED_VALUE"""),1316.05)</f>
        <v>1316.05</v>
      </c>
      <c r="F83" s="3">
        <f>IFERROR(__xludf.DUMMYFUNCTION("""COMPUTED_VALUE"""),0.0)</f>
        <v>0</v>
      </c>
    </row>
    <row r="84">
      <c r="A84" s="7">
        <f>IFERROR(__xludf.DUMMYFUNCTION("""COMPUTED_VALUE"""),36650.645833333336)</f>
        <v>36650.64583</v>
      </c>
      <c r="B84" s="3">
        <f>IFERROR(__xludf.DUMMYFUNCTION("""COMPUTED_VALUE"""),1317.95)</f>
        <v>1317.95</v>
      </c>
      <c r="C84" s="3">
        <f>IFERROR(__xludf.DUMMYFUNCTION("""COMPUTED_VALUE"""),1385.15)</f>
        <v>1385.15</v>
      </c>
      <c r="D84" s="3">
        <f>IFERROR(__xludf.DUMMYFUNCTION("""COMPUTED_VALUE"""),1317.95)</f>
        <v>1317.95</v>
      </c>
      <c r="E84" s="3">
        <f>IFERROR(__xludf.DUMMYFUNCTION("""COMPUTED_VALUE"""),1380.55)</f>
        <v>1380.55</v>
      </c>
      <c r="F84" s="3">
        <f>IFERROR(__xludf.DUMMYFUNCTION("""COMPUTED_VALUE"""),0.0)</f>
        <v>0</v>
      </c>
    </row>
    <row r="85">
      <c r="A85" s="7">
        <f>IFERROR(__xludf.DUMMYFUNCTION("""COMPUTED_VALUE"""),36651.645833333336)</f>
        <v>36651.64583</v>
      </c>
      <c r="B85" s="3">
        <f>IFERROR(__xludf.DUMMYFUNCTION("""COMPUTED_VALUE"""),1381.9)</f>
        <v>1381.9</v>
      </c>
      <c r="C85" s="3">
        <f>IFERROR(__xludf.DUMMYFUNCTION("""COMPUTED_VALUE"""),1428.6)</f>
        <v>1428.6</v>
      </c>
      <c r="D85" s="3">
        <f>IFERROR(__xludf.DUMMYFUNCTION("""COMPUTED_VALUE"""),1381.9)</f>
        <v>1381.9</v>
      </c>
      <c r="E85" s="3">
        <f>IFERROR(__xludf.DUMMYFUNCTION("""COMPUTED_VALUE"""),1422.4)</f>
        <v>1422.4</v>
      </c>
      <c r="F85" s="3">
        <f>IFERROR(__xludf.DUMMYFUNCTION("""COMPUTED_VALUE"""),0.0)</f>
        <v>0</v>
      </c>
    </row>
    <row r="86">
      <c r="A86" s="7">
        <f>IFERROR(__xludf.DUMMYFUNCTION("""COMPUTED_VALUE"""),36654.645833333336)</f>
        <v>36654.64583</v>
      </c>
      <c r="B86" s="3">
        <f>IFERROR(__xludf.DUMMYFUNCTION("""COMPUTED_VALUE"""),1423.25)</f>
        <v>1423.25</v>
      </c>
      <c r="C86" s="3">
        <f>IFERROR(__xludf.DUMMYFUNCTION("""COMPUTED_VALUE"""),1436.6)</f>
        <v>1436.6</v>
      </c>
      <c r="D86" s="3">
        <f>IFERROR(__xludf.DUMMYFUNCTION("""COMPUTED_VALUE"""),1358.8)</f>
        <v>1358.8</v>
      </c>
      <c r="E86" s="3">
        <f>IFERROR(__xludf.DUMMYFUNCTION("""COMPUTED_VALUE"""),1365.05)</f>
        <v>1365.05</v>
      </c>
      <c r="F86" s="3">
        <f>IFERROR(__xludf.DUMMYFUNCTION("""COMPUTED_VALUE"""),0.0)</f>
        <v>0</v>
      </c>
    </row>
    <row r="87">
      <c r="A87" s="7">
        <f>IFERROR(__xludf.DUMMYFUNCTION("""COMPUTED_VALUE"""),36655.645833333336)</f>
        <v>36655.64583</v>
      </c>
      <c r="B87" s="3">
        <f>IFERROR(__xludf.DUMMYFUNCTION("""COMPUTED_VALUE"""),1362.45)</f>
        <v>1362.45</v>
      </c>
      <c r="C87" s="3">
        <f>IFERROR(__xludf.DUMMYFUNCTION("""COMPUTED_VALUE"""),1385.7)</f>
        <v>1385.7</v>
      </c>
      <c r="D87" s="3">
        <f>IFERROR(__xludf.DUMMYFUNCTION("""COMPUTED_VALUE"""),1328.05)</f>
        <v>1328.05</v>
      </c>
      <c r="E87" s="3">
        <f>IFERROR(__xludf.DUMMYFUNCTION("""COMPUTED_VALUE"""),1378.55)</f>
        <v>1378.55</v>
      </c>
      <c r="F87" s="3">
        <f>IFERROR(__xludf.DUMMYFUNCTION("""COMPUTED_VALUE"""),0.0)</f>
        <v>0</v>
      </c>
    </row>
    <row r="88">
      <c r="A88" s="7">
        <f>IFERROR(__xludf.DUMMYFUNCTION("""COMPUTED_VALUE"""),36656.645833333336)</f>
        <v>36656.64583</v>
      </c>
      <c r="B88" s="3">
        <f>IFERROR(__xludf.DUMMYFUNCTION("""COMPUTED_VALUE"""),1380.4)</f>
        <v>1380.4</v>
      </c>
      <c r="C88" s="3">
        <f>IFERROR(__xludf.DUMMYFUNCTION("""COMPUTED_VALUE"""),1391.35)</f>
        <v>1391.35</v>
      </c>
      <c r="D88" s="3">
        <f>IFERROR(__xludf.DUMMYFUNCTION("""COMPUTED_VALUE"""),1359.65)</f>
        <v>1359.65</v>
      </c>
      <c r="E88" s="3">
        <f>IFERROR(__xludf.DUMMYFUNCTION("""COMPUTED_VALUE"""),1363.15)</f>
        <v>1363.15</v>
      </c>
      <c r="F88" s="3">
        <f>IFERROR(__xludf.DUMMYFUNCTION("""COMPUTED_VALUE"""),0.0)</f>
        <v>0</v>
      </c>
    </row>
    <row r="89">
      <c r="A89" s="7">
        <f>IFERROR(__xludf.DUMMYFUNCTION("""COMPUTED_VALUE"""),36657.645833333336)</f>
        <v>36657.64583</v>
      </c>
      <c r="B89" s="3">
        <f>IFERROR(__xludf.DUMMYFUNCTION("""COMPUTED_VALUE"""),1359.1)</f>
        <v>1359.1</v>
      </c>
      <c r="C89" s="3">
        <f>IFERROR(__xludf.DUMMYFUNCTION("""COMPUTED_VALUE"""),1359.1)</f>
        <v>1359.1</v>
      </c>
      <c r="D89" s="3">
        <f>IFERROR(__xludf.DUMMYFUNCTION("""COMPUTED_VALUE"""),1295.95)</f>
        <v>1295.95</v>
      </c>
      <c r="E89" s="3">
        <f>IFERROR(__xludf.DUMMYFUNCTION("""COMPUTED_VALUE"""),1304.55)</f>
        <v>1304.55</v>
      </c>
      <c r="F89" s="3">
        <f>IFERROR(__xludf.DUMMYFUNCTION("""COMPUTED_VALUE"""),0.0)</f>
        <v>0</v>
      </c>
    </row>
    <row r="90">
      <c r="A90" s="7">
        <f>IFERROR(__xludf.DUMMYFUNCTION("""COMPUTED_VALUE"""),36658.645833333336)</f>
        <v>36658.64583</v>
      </c>
      <c r="B90" s="3">
        <f>IFERROR(__xludf.DUMMYFUNCTION("""COMPUTED_VALUE"""),1305.3)</f>
        <v>1305.3</v>
      </c>
      <c r="C90" s="3">
        <f>IFERROR(__xludf.DUMMYFUNCTION("""COMPUTED_VALUE"""),1326.3)</f>
        <v>1326.3</v>
      </c>
      <c r="D90" s="3">
        <f>IFERROR(__xludf.DUMMYFUNCTION("""COMPUTED_VALUE"""),1276.4)</f>
        <v>1276.4</v>
      </c>
      <c r="E90" s="3">
        <f>IFERROR(__xludf.DUMMYFUNCTION("""COMPUTED_VALUE"""),1282.8)</f>
        <v>1282.8</v>
      </c>
      <c r="F90" s="3">
        <f>IFERROR(__xludf.DUMMYFUNCTION("""COMPUTED_VALUE"""),0.0)</f>
        <v>0</v>
      </c>
    </row>
    <row r="91">
      <c r="A91" s="7">
        <f>IFERROR(__xludf.DUMMYFUNCTION("""COMPUTED_VALUE"""),36661.645833333336)</f>
        <v>36661.64583</v>
      </c>
      <c r="B91" s="3">
        <f>IFERROR(__xludf.DUMMYFUNCTION("""COMPUTED_VALUE"""),1281.3)</f>
        <v>1281.3</v>
      </c>
      <c r="C91" s="3">
        <f>IFERROR(__xludf.DUMMYFUNCTION("""COMPUTED_VALUE"""),1311.7)</f>
        <v>1311.7</v>
      </c>
      <c r="D91" s="3">
        <f>IFERROR(__xludf.DUMMYFUNCTION("""COMPUTED_VALUE"""),1220.7)</f>
        <v>1220.7</v>
      </c>
      <c r="E91" s="3">
        <f>IFERROR(__xludf.DUMMYFUNCTION("""COMPUTED_VALUE"""),1299.25)</f>
        <v>1299.25</v>
      </c>
      <c r="F91" s="3">
        <f>IFERROR(__xludf.DUMMYFUNCTION("""COMPUTED_VALUE"""),0.0)</f>
        <v>0</v>
      </c>
    </row>
    <row r="92">
      <c r="A92" s="7">
        <f>IFERROR(__xludf.DUMMYFUNCTION("""COMPUTED_VALUE"""),36662.645833333336)</f>
        <v>36662.64583</v>
      </c>
      <c r="B92" s="3">
        <f>IFERROR(__xludf.DUMMYFUNCTION("""COMPUTED_VALUE"""),1300.2)</f>
        <v>1300.2</v>
      </c>
      <c r="C92" s="3">
        <f>IFERROR(__xludf.DUMMYFUNCTION("""COMPUTED_VALUE"""),1310.45)</f>
        <v>1310.45</v>
      </c>
      <c r="D92" s="3">
        <f>IFERROR(__xludf.DUMMYFUNCTION("""COMPUTED_VALUE"""),1287.8)</f>
        <v>1287.8</v>
      </c>
      <c r="E92" s="3">
        <f>IFERROR(__xludf.DUMMYFUNCTION("""COMPUTED_VALUE"""),1306.85)</f>
        <v>1306.85</v>
      </c>
      <c r="F92" s="3">
        <f>IFERROR(__xludf.DUMMYFUNCTION("""COMPUTED_VALUE"""),0.0)</f>
        <v>0</v>
      </c>
    </row>
    <row r="93">
      <c r="A93" s="7">
        <f>IFERROR(__xludf.DUMMYFUNCTION("""COMPUTED_VALUE"""),36663.645833333336)</f>
        <v>36663.64583</v>
      </c>
      <c r="B93" s="3">
        <f>IFERROR(__xludf.DUMMYFUNCTION("""COMPUTED_VALUE"""),1310.8)</f>
        <v>1310.8</v>
      </c>
      <c r="C93" s="3">
        <f>IFERROR(__xludf.DUMMYFUNCTION("""COMPUTED_VALUE"""),1347.7)</f>
        <v>1347.7</v>
      </c>
      <c r="D93" s="3">
        <f>IFERROR(__xludf.DUMMYFUNCTION("""COMPUTED_VALUE"""),1303.75)</f>
        <v>1303.75</v>
      </c>
      <c r="E93" s="3">
        <f>IFERROR(__xludf.DUMMYFUNCTION("""COMPUTED_VALUE"""),1311.65)</f>
        <v>1311.65</v>
      </c>
      <c r="F93" s="3">
        <f>IFERROR(__xludf.DUMMYFUNCTION("""COMPUTED_VALUE"""),0.0)</f>
        <v>0</v>
      </c>
    </row>
    <row r="94">
      <c r="A94" s="7">
        <f>IFERROR(__xludf.DUMMYFUNCTION("""COMPUTED_VALUE"""),36664.645833333336)</f>
        <v>36664.64583</v>
      </c>
      <c r="B94" s="3">
        <f>IFERROR(__xludf.DUMMYFUNCTION("""COMPUTED_VALUE"""),1311.3)</f>
        <v>1311.3</v>
      </c>
      <c r="C94" s="3">
        <f>IFERROR(__xludf.DUMMYFUNCTION("""COMPUTED_VALUE"""),1316.2)</f>
        <v>1316.2</v>
      </c>
      <c r="D94" s="3">
        <f>IFERROR(__xludf.DUMMYFUNCTION("""COMPUTED_VALUE"""),1289.55)</f>
        <v>1289.55</v>
      </c>
      <c r="E94" s="3">
        <f>IFERROR(__xludf.DUMMYFUNCTION("""COMPUTED_VALUE"""),1293.4)</f>
        <v>1293.4</v>
      </c>
      <c r="F94" s="3">
        <f>IFERROR(__xludf.DUMMYFUNCTION("""COMPUTED_VALUE"""),0.0)</f>
        <v>0</v>
      </c>
    </row>
    <row r="95">
      <c r="A95" s="7">
        <f>IFERROR(__xludf.DUMMYFUNCTION("""COMPUTED_VALUE"""),36665.645833333336)</f>
        <v>36665.64583</v>
      </c>
      <c r="B95" s="3">
        <f>IFERROR(__xludf.DUMMYFUNCTION("""COMPUTED_VALUE"""),1293.45)</f>
        <v>1293.45</v>
      </c>
      <c r="C95" s="3">
        <f>IFERROR(__xludf.DUMMYFUNCTION("""COMPUTED_VALUE"""),1293.45)</f>
        <v>1293.45</v>
      </c>
      <c r="D95" s="3">
        <f>IFERROR(__xludf.DUMMYFUNCTION("""COMPUTED_VALUE"""),1252.7)</f>
        <v>1252.7</v>
      </c>
      <c r="E95" s="3">
        <f>IFERROR(__xludf.DUMMYFUNCTION("""COMPUTED_VALUE"""),1268.0)</f>
        <v>1268</v>
      </c>
      <c r="F95" s="3">
        <f>IFERROR(__xludf.DUMMYFUNCTION("""COMPUTED_VALUE"""),0.0)</f>
        <v>0</v>
      </c>
    </row>
    <row r="96">
      <c r="A96" s="7">
        <f>IFERROR(__xludf.DUMMYFUNCTION("""COMPUTED_VALUE"""),36668.645833333336)</f>
        <v>36668.64583</v>
      </c>
      <c r="B96" s="3">
        <f>IFERROR(__xludf.DUMMYFUNCTION("""COMPUTED_VALUE"""),1267.85)</f>
        <v>1267.85</v>
      </c>
      <c r="C96" s="3">
        <f>IFERROR(__xludf.DUMMYFUNCTION("""COMPUTED_VALUE"""),1267.85)</f>
        <v>1267.85</v>
      </c>
      <c r="D96" s="3">
        <f>IFERROR(__xludf.DUMMYFUNCTION("""COMPUTED_VALUE"""),1228.4)</f>
        <v>1228.4</v>
      </c>
      <c r="E96" s="3">
        <f>IFERROR(__xludf.DUMMYFUNCTION("""COMPUTED_VALUE"""),1233.0)</f>
        <v>1233</v>
      </c>
      <c r="F96" s="3">
        <f>IFERROR(__xludf.DUMMYFUNCTION("""COMPUTED_VALUE"""),0.0)</f>
        <v>0</v>
      </c>
    </row>
    <row r="97">
      <c r="A97" s="7">
        <f>IFERROR(__xludf.DUMMYFUNCTION("""COMPUTED_VALUE"""),36669.645833333336)</f>
        <v>36669.64583</v>
      </c>
      <c r="B97" s="3">
        <f>IFERROR(__xludf.DUMMYFUNCTION("""COMPUTED_VALUE"""),1229.25)</f>
        <v>1229.25</v>
      </c>
      <c r="C97" s="3">
        <f>IFERROR(__xludf.DUMMYFUNCTION("""COMPUTED_VALUE"""),1230.9)</f>
        <v>1230.9</v>
      </c>
      <c r="D97" s="3">
        <f>IFERROR(__xludf.DUMMYFUNCTION("""COMPUTED_VALUE"""),1203.2)</f>
        <v>1203.2</v>
      </c>
      <c r="E97" s="3">
        <f>IFERROR(__xludf.DUMMYFUNCTION("""COMPUTED_VALUE"""),1224.4)</f>
        <v>1224.4</v>
      </c>
      <c r="F97" s="3">
        <f>IFERROR(__xludf.DUMMYFUNCTION("""COMPUTED_VALUE"""),0.0)</f>
        <v>0</v>
      </c>
    </row>
    <row r="98">
      <c r="A98" s="7">
        <f>IFERROR(__xludf.DUMMYFUNCTION("""COMPUTED_VALUE"""),36670.645833333336)</f>
        <v>36670.64583</v>
      </c>
      <c r="B98" s="3">
        <f>IFERROR(__xludf.DUMMYFUNCTION("""COMPUTED_VALUE"""),1224.5)</f>
        <v>1224.5</v>
      </c>
      <c r="C98" s="3">
        <f>IFERROR(__xludf.DUMMYFUNCTION("""COMPUTED_VALUE"""),1246.25)</f>
        <v>1246.25</v>
      </c>
      <c r="D98" s="3">
        <f>IFERROR(__xludf.DUMMYFUNCTION("""COMPUTED_VALUE"""),1201.5)</f>
        <v>1201.5</v>
      </c>
      <c r="E98" s="3">
        <f>IFERROR(__xludf.DUMMYFUNCTION("""COMPUTED_VALUE"""),1235.9)</f>
        <v>1235.9</v>
      </c>
      <c r="F98" s="3">
        <f>IFERROR(__xludf.DUMMYFUNCTION("""COMPUTED_VALUE"""),0.0)</f>
        <v>0</v>
      </c>
    </row>
    <row r="99">
      <c r="A99" s="7">
        <f>IFERROR(__xludf.DUMMYFUNCTION("""COMPUTED_VALUE"""),36671.645833333336)</f>
        <v>36671.64583</v>
      </c>
      <c r="B99" s="3">
        <f>IFERROR(__xludf.DUMMYFUNCTION("""COMPUTED_VALUE"""),1237.0)</f>
        <v>1237</v>
      </c>
      <c r="C99" s="3">
        <f>IFERROR(__xludf.DUMMYFUNCTION("""COMPUTED_VALUE"""),1269.8)</f>
        <v>1269.8</v>
      </c>
      <c r="D99" s="3">
        <f>IFERROR(__xludf.DUMMYFUNCTION("""COMPUTED_VALUE"""),1235.7)</f>
        <v>1235.7</v>
      </c>
      <c r="E99" s="3">
        <f>IFERROR(__xludf.DUMMYFUNCTION("""COMPUTED_VALUE"""),1247.65)</f>
        <v>1247.65</v>
      </c>
      <c r="F99" s="3">
        <f>IFERROR(__xludf.DUMMYFUNCTION("""COMPUTED_VALUE"""),0.0)</f>
        <v>0</v>
      </c>
    </row>
    <row r="100">
      <c r="A100" s="7">
        <f>IFERROR(__xludf.DUMMYFUNCTION("""COMPUTED_VALUE"""),36672.645833333336)</f>
        <v>36672.64583</v>
      </c>
      <c r="B100" s="3">
        <f>IFERROR(__xludf.DUMMYFUNCTION("""COMPUTED_VALUE"""),1247.1)</f>
        <v>1247.1</v>
      </c>
      <c r="C100" s="3">
        <f>IFERROR(__xludf.DUMMYFUNCTION("""COMPUTED_VALUE"""),1278.75)</f>
        <v>1278.75</v>
      </c>
      <c r="D100" s="3">
        <f>IFERROR(__xludf.DUMMYFUNCTION("""COMPUTED_VALUE"""),1232.85)</f>
        <v>1232.85</v>
      </c>
      <c r="E100" s="3">
        <f>IFERROR(__xludf.DUMMYFUNCTION("""COMPUTED_VALUE"""),1275.35)</f>
        <v>1275.35</v>
      </c>
      <c r="F100" s="3">
        <f>IFERROR(__xludf.DUMMYFUNCTION("""COMPUTED_VALUE"""),0.0)</f>
        <v>0</v>
      </c>
    </row>
    <row r="101">
      <c r="A101" s="7">
        <f>IFERROR(__xludf.DUMMYFUNCTION("""COMPUTED_VALUE"""),36675.645833333336)</f>
        <v>36675.64583</v>
      </c>
      <c r="B101" s="3">
        <f>IFERROR(__xludf.DUMMYFUNCTION("""COMPUTED_VALUE"""),1273.7)</f>
        <v>1273.7</v>
      </c>
      <c r="C101" s="3">
        <f>IFERROR(__xludf.DUMMYFUNCTION("""COMPUTED_VALUE"""),1317.75)</f>
        <v>1317.75</v>
      </c>
      <c r="D101" s="3">
        <f>IFERROR(__xludf.DUMMYFUNCTION("""COMPUTED_VALUE"""),1267.4)</f>
        <v>1267.4</v>
      </c>
      <c r="E101" s="3">
        <f>IFERROR(__xludf.DUMMYFUNCTION("""COMPUTED_VALUE"""),1311.05)</f>
        <v>1311.05</v>
      </c>
      <c r="F101" s="3">
        <f>IFERROR(__xludf.DUMMYFUNCTION("""COMPUTED_VALUE"""),0.0)</f>
        <v>0</v>
      </c>
    </row>
    <row r="102">
      <c r="A102" s="7">
        <f>IFERROR(__xludf.DUMMYFUNCTION("""COMPUTED_VALUE"""),36676.645833333336)</f>
        <v>36676.64583</v>
      </c>
      <c r="B102" s="3">
        <f>IFERROR(__xludf.DUMMYFUNCTION("""COMPUTED_VALUE"""),1310.8)</f>
        <v>1310.8</v>
      </c>
      <c r="C102" s="3">
        <f>IFERROR(__xludf.DUMMYFUNCTION("""COMPUTED_VALUE"""),1347.3)</f>
        <v>1347.3</v>
      </c>
      <c r="D102" s="3">
        <f>IFERROR(__xludf.DUMMYFUNCTION("""COMPUTED_VALUE"""),1304.95)</f>
        <v>1304.95</v>
      </c>
      <c r="E102" s="3">
        <f>IFERROR(__xludf.DUMMYFUNCTION("""COMPUTED_VALUE"""),1344.85)</f>
        <v>1344.85</v>
      </c>
      <c r="F102" s="3">
        <f>IFERROR(__xludf.DUMMYFUNCTION("""COMPUTED_VALUE"""),0.0)</f>
        <v>0</v>
      </c>
    </row>
    <row r="103">
      <c r="A103" s="7">
        <f>IFERROR(__xludf.DUMMYFUNCTION("""COMPUTED_VALUE"""),36677.645833333336)</f>
        <v>36677.64583</v>
      </c>
      <c r="B103" s="3">
        <f>IFERROR(__xludf.DUMMYFUNCTION("""COMPUTED_VALUE"""),1355.35)</f>
        <v>1355.35</v>
      </c>
      <c r="C103" s="3">
        <f>IFERROR(__xludf.DUMMYFUNCTION("""COMPUTED_VALUE"""),1410.75)</f>
        <v>1410.75</v>
      </c>
      <c r="D103" s="3">
        <f>IFERROR(__xludf.DUMMYFUNCTION("""COMPUTED_VALUE"""),1355.35)</f>
        <v>1355.35</v>
      </c>
      <c r="E103" s="3">
        <f>IFERROR(__xludf.DUMMYFUNCTION("""COMPUTED_VALUE"""),1380.45)</f>
        <v>1380.45</v>
      </c>
      <c r="F103" s="3">
        <f>IFERROR(__xludf.DUMMYFUNCTION("""COMPUTED_VALUE"""),0.0)</f>
        <v>0</v>
      </c>
    </row>
    <row r="104">
      <c r="A104" s="7">
        <f>IFERROR(__xludf.DUMMYFUNCTION("""COMPUTED_VALUE"""),36678.645833333336)</f>
        <v>36678.64583</v>
      </c>
      <c r="B104" s="3">
        <f>IFERROR(__xludf.DUMMYFUNCTION("""COMPUTED_VALUE"""),1380.4)</f>
        <v>1380.4</v>
      </c>
      <c r="C104" s="3">
        <f>IFERROR(__xludf.DUMMYFUNCTION("""COMPUTED_VALUE"""),1380.4)</f>
        <v>1380.4</v>
      </c>
      <c r="D104" s="3">
        <f>IFERROR(__xludf.DUMMYFUNCTION("""COMPUTED_VALUE"""),1345.1)</f>
        <v>1345.1</v>
      </c>
      <c r="E104" s="3">
        <f>IFERROR(__xludf.DUMMYFUNCTION("""COMPUTED_VALUE"""),1349.0)</f>
        <v>1349</v>
      </c>
      <c r="F104" s="3">
        <f>IFERROR(__xludf.DUMMYFUNCTION("""COMPUTED_VALUE"""),0.0)</f>
        <v>0</v>
      </c>
    </row>
    <row r="105">
      <c r="A105" s="7">
        <f>IFERROR(__xludf.DUMMYFUNCTION("""COMPUTED_VALUE"""),36679.645833333336)</f>
        <v>36679.64583</v>
      </c>
      <c r="B105" s="3">
        <f>IFERROR(__xludf.DUMMYFUNCTION("""COMPUTED_VALUE"""),1350.15)</f>
        <v>1350.15</v>
      </c>
      <c r="C105" s="3">
        <f>IFERROR(__xludf.DUMMYFUNCTION("""COMPUTED_VALUE"""),1395.35)</f>
        <v>1395.35</v>
      </c>
      <c r="D105" s="3">
        <f>IFERROR(__xludf.DUMMYFUNCTION("""COMPUTED_VALUE"""),1350.15)</f>
        <v>1350.15</v>
      </c>
      <c r="E105" s="3">
        <f>IFERROR(__xludf.DUMMYFUNCTION("""COMPUTED_VALUE"""),1389.25)</f>
        <v>1389.25</v>
      </c>
      <c r="F105" s="3">
        <f>IFERROR(__xludf.DUMMYFUNCTION("""COMPUTED_VALUE"""),0.0)</f>
        <v>0</v>
      </c>
    </row>
    <row r="106">
      <c r="A106" s="7">
        <f>IFERROR(__xludf.DUMMYFUNCTION("""COMPUTED_VALUE"""),36682.645833333336)</f>
        <v>36682.64583</v>
      </c>
      <c r="B106" s="3">
        <f>IFERROR(__xludf.DUMMYFUNCTION("""COMPUTED_VALUE"""),1390.95)</f>
        <v>1390.95</v>
      </c>
      <c r="C106" s="3">
        <f>IFERROR(__xludf.DUMMYFUNCTION("""COMPUTED_VALUE"""),1461.05)</f>
        <v>1461.05</v>
      </c>
      <c r="D106" s="3">
        <f>IFERROR(__xludf.DUMMYFUNCTION("""COMPUTED_VALUE"""),1390.95)</f>
        <v>1390.95</v>
      </c>
      <c r="E106" s="3">
        <f>IFERROR(__xludf.DUMMYFUNCTION("""COMPUTED_VALUE"""),1404.6)</f>
        <v>1404.6</v>
      </c>
      <c r="F106" s="3">
        <f>IFERROR(__xludf.DUMMYFUNCTION("""COMPUTED_VALUE"""),0.0)</f>
        <v>0</v>
      </c>
    </row>
    <row r="107">
      <c r="A107" s="7">
        <f>IFERROR(__xludf.DUMMYFUNCTION("""COMPUTED_VALUE"""),36683.645833333336)</f>
        <v>36683.64583</v>
      </c>
      <c r="B107" s="3">
        <f>IFERROR(__xludf.DUMMYFUNCTION("""COMPUTED_VALUE"""),1405.45)</f>
        <v>1405.45</v>
      </c>
      <c r="C107" s="3">
        <f>IFERROR(__xludf.DUMMYFUNCTION("""COMPUTED_VALUE"""),1426.15)</f>
        <v>1426.15</v>
      </c>
      <c r="D107" s="3">
        <f>IFERROR(__xludf.DUMMYFUNCTION("""COMPUTED_VALUE"""),1392.7)</f>
        <v>1392.7</v>
      </c>
      <c r="E107" s="3">
        <f>IFERROR(__xludf.DUMMYFUNCTION("""COMPUTED_VALUE"""),1421.75)</f>
        <v>1421.75</v>
      </c>
      <c r="F107" s="3">
        <f>IFERROR(__xludf.DUMMYFUNCTION("""COMPUTED_VALUE"""),0.0)</f>
        <v>0</v>
      </c>
    </row>
    <row r="108">
      <c r="A108" s="7">
        <f>IFERROR(__xludf.DUMMYFUNCTION("""COMPUTED_VALUE"""),36684.645833333336)</f>
        <v>36684.64583</v>
      </c>
      <c r="B108" s="3">
        <f>IFERROR(__xludf.DUMMYFUNCTION("""COMPUTED_VALUE"""),1423.4)</f>
        <v>1423.4</v>
      </c>
      <c r="C108" s="3">
        <f>IFERROR(__xludf.DUMMYFUNCTION("""COMPUTED_VALUE"""),1442.7)</f>
        <v>1442.7</v>
      </c>
      <c r="D108" s="3">
        <f>IFERROR(__xludf.DUMMYFUNCTION("""COMPUTED_VALUE"""),1413.8)</f>
        <v>1413.8</v>
      </c>
      <c r="E108" s="3">
        <f>IFERROR(__xludf.DUMMYFUNCTION("""COMPUTED_VALUE"""),1430.35)</f>
        <v>1430.35</v>
      </c>
      <c r="F108" s="3">
        <f>IFERROR(__xludf.DUMMYFUNCTION("""COMPUTED_VALUE"""),0.0)</f>
        <v>0</v>
      </c>
    </row>
    <row r="109">
      <c r="A109" s="7">
        <f>IFERROR(__xludf.DUMMYFUNCTION("""COMPUTED_VALUE"""),36685.645833333336)</f>
        <v>36685.64583</v>
      </c>
      <c r="B109" s="3">
        <f>IFERROR(__xludf.DUMMYFUNCTION("""COMPUTED_VALUE"""),1430.5)</f>
        <v>1430.5</v>
      </c>
      <c r="C109" s="3">
        <f>IFERROR(__xludf.DUMMYFUNCTION("""COMPUTED_VALUE"""),1468.7)</f>
        <v>1468.7</v>
      </c>
      <c r="D109" s="3">
        <f>IFERROR(__xludf.DUMMYFUNCTION("""COMPUTED_VALUE"""),1430.5)</f>
        <v>1430.5</v>
      </c>
      <c r="E109" s="3">
        <f>IFERROR(__xludf.DUMMYFUNCTION("""COMPUTED_VALUE"""),1463.65)</f>
        <v>1463.65</v>
      </c>
      <c r="F109" s="3">
        <f>IFERROR(__xludf.DUMMYFUNCTION("""COMPUTED_VALUE"""),0.0)</f>
        <v>0</v>
      </c>
    </row>
    <row r="110">
      <c r="A110" s="7">
        <f>IFERROR(__xludf.DUMMYFUNCTION("""COMPUTED_VALUE"""),36686.645833333336)</f>
        <v>36686.64583</v>
      </c>
      <c r="B110" s="3">
        <f>IFERROR(__xludf.DUMMYFUNCTION("""COMPUTED_VALUE"""),1464.3)</f>
        <v>1464.3</v>
      </c>
      <c r="C110" s="3">
        <f>IFERROR(__xludf.DUMMYFUNCTION("""COMPUTED_VALUE"""),1485.5)</f>
        <v>1485.5</v>
      </c>
      <c r="D110" s="3">
        <f>IFERROR(__xludf.DUMMYFUNCTION("""COMPUTED_VALUE"""),1458.9)</f>
        <v>1458.9</v>
      </c>
      <c r="E110" s="3">
        <f>IFERROR(__xludf.DUMMYFUNCTION("""COMPUTED_VALUE"""),1467.2)</f>
        <v>1467.2</v>
      </c>
      <c r="F110" s="3">
        <f>IFERROR(__xludf.DUMMYFUNCTION("""COMPUTED_VALUE"""),0.0)</f>
        <v>0</v>
      </c>
    </row>
    <row r="111">
      <c r="A111" s="7">
        <f>IFERROR(__xludf.DUMMYFUNCTION("""COMPUTED_VALUE"""),36689.645833333336)</f>
        <v>36689.64583</v>
      </c>
      <c r="B111" s="3">
        <f>IFERROR(__xludf.DUMMYFUNCTION("""COMPUTED_VALUE"""),1464.4)</f>
        <v>1464.4</v>
      </c>
      <c r="C111" s="3">
        <f>IFERROR(__xludf.DUMMYFUNCTION("""COMPUTED_VALUE"""),1477.55)</f>
        <v>1477.55</v>
      </c>
      <c r="D111" s="3">
        <f>IFERROR(__xludf.DUMMYFUNCTION("""COMPUTED_VALUE"""),1437.15)</f>
        <v>1437.15</v>
      </c>
      <c r="E111" s="3">
        <f>IFERROR(__xludf.DUMMYFUNCTION("""COMPUTED_VALUE"""),1440.4)</f>
        <v>1440.4</v>
      </c>
      <c r="F111" s="3">
        <f>IFERROR(__xludf.DUMMYFUNCTION("""COMPUTED_VALUE"""),0.0)</f>
        <v>0</v>
      </c>
    </row>
    <row r="112">
      <c r="A112" s="7">
        <f>IFERROR(__xludf.DUMMYFUNCTION("""COMPUTED_VALUE"""),36690.645833333336)</f>
        <v>36690.64583</v>
      </c>
      <c r="B112" s="3">
        <f>IFERROR(__xludf.DUMMYFUNCTION("""COMPUTED_VALUE"""),1438.8)</f>
        <v>1438.8</v>
      </c>
      <c r="C112" s="3">
        <f>IFERROR(__xludf.DUMMYFUNCTION("""COMPUTED_VALUE"""),1438.8)</f>
        <v>1438.8</v>
      </c>
      <c r="D112" s="3">
        <f>IFERROR(__xludf.DUMMYFUNCTION("""COMPUTED_VALUE"""),1411.9)</f>
        <v>1411.9</v>
      </c>
      <c r="E112" s="3">
        <f>IFERROR(__xludf.DUMMYFUNCTION("""COMPUTED_VALUE"""),1432.9)</f>
        <v>1432.9</v>
      </c>
      <c r="F112" s="3">
        <f>IFERROR(__xludf.DUMMYFUNCTION("""COMPUTED_VALUE"""),0.0)</f>
        <v>0</v>
      </c>
    </row>
    <row r="113">
      <c r="A113" s="7">
        <f>IFERROR(__xludf.DUMMYFUNCTION("""COMPUTED_VALUE"""),36691.645833333336)</f>
        <v>36691.64583</v>
      </c>
      <c r="B113" s="3">
        <f>IFERROR(__xludf.DUMMYFUNCTION("""COMPUTED_VALUE"""),1434.95)</f>
        <v>1434.95</v>
      </c>
      <c r="C113" s="3">
        <f>IFERROR(__xludf.DUMMYFUNCTION("""COMPUTED_VALUE"""),1459.15)</f>
        <v>1459.15</v>
      </c>
      <c r="D113" s="3">
        <f>IFERROR(__xludf.DUMMYFUNCTION("""COMPUTED_VALUE"""),1423.95)</f>
        <v>1423.95</v>
      </c>
      <c r="E113" s="3">
        <f>IFERROR(__xludf.DUMMYFUNCTION("""COMPUTED_VALUE"""),1435.5)</f>
        <v>1435.5</v>
      </c>
      <c r="F113" s="3">
        <f>IFERROR(__xludf.DUMMYFUNCTION("""COMPUTED_VALUE"""),0.0)</f>
        <v>0</v>
      </c>
    </row>
    <row r="114">
      <c r="A114" s="7">
        <f>IFERROR(__xludf.DUMMYFUNCTION("""COMPUTED_VALUE"""),36692.645833333336)</f>
        <v>36692.64583</v>
      </c>
      <c r="B114" s="3">
        <f>IFERROR(__xludf.DUMMYFUNCTION("""COMPUTED_VALUE"""),1437.0)</f>
        <v>1437</v>
      </c>
      <c r="C114" s="3">
        <f>IFERROR(__xludf.DUMMYFUNCTION("""COMPUTED_VALUE"""),1452.8)</f>
        <v>1452.8</v>
      </c>
      <c r="D114" s="3">
        <f>IFERROR(__xludf.DUMMYFUNCTION("""COMPUTED_VALUE"""),1422.4)</f>
        <v>1422.4</v>
      </c>
      <c r="E114" s="3">
        <f>IFERROR(__xludf.DUMMYFUNCTION("""COMPUTED_VALUE"""),1445.25)</f>
        <v>1445.25</v>
      </c>
      <c r="F114" s="3">
        <f>IFERROR(__xludf.DUMMYFUNCTION("""COMPUTED_VALUE"""),0.0)</f>
        <v>0</v>
      </c>
    </row>
    <row r="115">
      <c r="A115" s="7">
        <f>IFERROR(__xludf.DUMMYFUNCTION("""COMPUTED_VALUE"""),36693.645833333336)</f>
        <v>36693.64583</v>
      </c>
      <c r="B115" s="3">
        <f>IFERROR(__xludf.DUMMYFUNCTION("""COMPUTED_VALUE"""),1443.15)</f>
        <v>1443.15</v>
      </c>
      <c r="C115" s="3">
        <f>IFERROR(__xludf.DUMMYFUNCTION("""COMPUTED_VALUE"""),1480.85)</f>
        <v>1480.85</v>
      </c>
      <c r="D115" s="3">
        <f>IFERROR(__xludf.DUMMYFUNCTION("""COMPUTED_VALUE"""),1441.6)</f>
        <v>1441.6</v>
      </c>
      <c r="E115" s="3">
        <f>IFERROR(__xludf.DUMMYFUNCTION("""COMPUTED_VALUE"""),1477.3)</f>
        <v>1477.3</v>
      </c>
      <c r="F115" s="3">
        <f>IFERROR(__xludf.DUMMYFUNCTION("""COMPUTED_VALUE"""),0.0)</f>
        <v>0</v>
      </c>
    </row>
    <row r="116">
      <c r="A116" s="7">
        <f>IFERROR(__xludf.DUMMYFUNCTION("""COMPUTED_VALUE"""),36696.645833333336)</f>
        <v>36696.64583</v>
      </c>
      <c r="B116" s="3">
        <f>IFERROR(__xludf.DUMMYFUNCTION("""COMPUTED_VALUE"""),1477.55)</f>
        <v>1477.55</v>
      </c>
      <c r="C116" s="3">
        <f>IFERROR(__xludf.DUMMYFUNCTION("""COMPUTED_VALUE"""),1510.45)</f>
        <v>1510.45</v>
      </c>
      <c r="D116" s="3">
        <f>IFERROR(__xludf.DUMMYFUNCTION("""COMPUTED_VALUE"""),1477.55)</f>
        <v>1477.55</v>
      </c>
      <c r="E116" s="3">
        <f>IFERROR(__xludf.DUMMYFUNCTION("""COMPUTED_VALUE"""),1498.75)</f>
        <v>1498.75</v>
      </c>
      <c r="F116" s="3">
        <f>IFERROR(__xludf.DUMMYFUNCTION("""COMPUTED_VALUE"""),0.0)</f>
        <v>0</v>
      </c>
    </row>
    <row r="117">
      <c r="A117" s="7">
        <f>IFERROR(__xludf.DUMMYFUNCTION("""COMPUTED_VALUE"""),36697.645833333336)</f>
        <v>36697.64583</v>
      </c>
      <c r="B117" s="3">
        <f>IFERROR(__xludf.DUMMYFUNCTION("""COMPUTED_VALUE"""),1498.0)</f>
        <v>1498</v>
      </c>
      <c r="C117" s="3">
        <f>IFERROR(__xludf.DUMMYFUNCTION("""COMPUTED_VALUE"""),1518.05)</f>
        <v>1518.05</v>
      </c>
      <c r="D117" s="3">
        <f>IFERROR(__xludf.DUMMYFUNCTION("""COMPUTED_VALUE"""),1497.05)</f>
        <v>1497.05</v>
      </c>
      <c r="E117" s="3">
        <f>IFERROR(__xludf.DUMMYFUNCTION("""COMPUTED_VALUE"""),1507.1)</f>
        <v>1507.1</v>
      </c>
      <c r="F117" s="3">
        <f>IFERROR(__xludf.DUMMYFUNCTION("""COMPUTED_VALUE"""),0.0)</f>
        <v>0</v>
      </c>
    </row>
    <row r="118">
      <c r="A118" s="7">
        <f>IFERROR(__xludf.DUMMYFUNCTION("""COMPUTED_VALUE"""),36698.645833333336)</f>
        <v>36698.64583</v>
      </c>
      <c r="B118" s="3">
        <f>IFERROR(__xludf.DUMMYFUNCTION("""COMPUTED_VALUE"""),1524.05)</f>
        <v>1524.05</v>
      </c>
      <c r="C118" s="3">
        <f>IFERROR(__xludf.DUMMYFUNCTION("""COMPUTED_VALUE"""),1539.1)</f>
        <v>1539.1</v>
      </c>
      <c r="D118" s="3">
        <f>IFERROR(__xludf.DUMMYFUNCTION("""COMPUTED_VALUE"""),1470.4)</f>
        <v>1470.4</v>
      </c>
      <c r="E118" s="3">
        <f>IFERROR(__xludf.DUMMYFUNCTION("""COMPUTED_VALUE"""),1475.15)</f>
        <v>1475.15</v>
      </c>
      <c r="F118" s="3">
        <f>IFERROR(__xludf.DUMMYFUNCTION("""COMPUTED_VALUE"""),0.0)</f>
        <v>0</v>
      </c>
    </row>
    <row r="119">
      <c r="A119" s="7">
        <f>IFERROR(__xludf.DUMMYFUNCTION("""COMPUTED_VALUE"""),36699.645833333336)</f>
        <v>36699.64583</v>
      </c>
      <c r="B119" s="3">
        <f>IFERROR(__xludf.DUMMYFUNCTION("""COMPUTED_VALUE"""),1475.65)</f>
        <v>1475.65</v>
      </c>
      <c r="C119" s="3">
        <f>IFERROR(__xludf.DUMMYFUNCTION("""COMPUTED_VALUE"""),1491.4)</f>
        <v>1491.4</v>
      </c>
      <c r="D119" s="3">
        <f>IFERROR(__xludf.DUMMYFUNCTION("""COMPUTED_VALUE"""),1461.3)</f>
        <v>1461.3</v>
      </c>
      <c r="E119" s="3">
        <f>IFERROR(__xludf.DUMMYFUNCTION("""COMPUTED_VALUE"""),1488.25)</f>
        <v>1488.25</v>
      </c>
      <c r="F119" s="3">
        <f>IFERROR(__xludf.DUMMYFUNCTION("""COMPUTED_VALUE"""),0.0)</f>
        <v>0</v>
      </c>
    </row>
    <row r="120">
      <c r="A120" s="7">
        <f>IFERROR(__xludf.DUMMYFUNCTION("""COMPUTED_VALUE"""),36700.645833333336)</f>
        <v>36700.64583</v>
      </c>
      <c r="B120" s="3">
        <f>IFERROR(__xludf.DUMMYFUNCTION("""COMPUTED_VALUE"""),1487.85)</f>
        <v>1487.85</v>
      </c>
      <c r="C120" s="3">
        <f>IFERROR(__xludf.DUMMYFUNCTION("""COMPUTED_VALUE"""),1499.85)</f>
        <v>1499.85</v>
      </c>
      <c r="D120" s="3">
        <f>IFERROR(__xludf.DUMMYFUNCTION("""COMPUTED_VALUE"""),1462.75)</f>
        <v>1462.75</v>
      </c>
      <c r="E120" s="3">
        <f>IFERROR(__xludf.DUMMYFUNCTION("""COMPUTED_VALUE"""),1472.2)</f>
        <v>1472.2</v>
      </c>
      <c r="F120" s="3">
        <f>IFERROR(__xludf.DUMMYFUNCTION("""COMPUTED_VALUE"""),0.0)</f>
        <v>0</v>
      </c>
    </row>
    <row r="121">
      <c r="A121" s="7">
        <f>IFERROR(__xludf.DUMMYFUNCTION("""COMPUTED_VALUE"""),36703.645833333336)</f>
        <v>36703.64583</v>
      </c>
      <c r="B121" s="3">
        <f>IFERROR(__xludf.DUMMYFUNCTION("""COMPUTED_VALUE"""),1472.15)</f>
        <v>1472.15</v>
      </c>
      <c r="C121" s="3">
        <f>IFERROR(__xludf.DUMMYFUNCTION("""COMPUTED_VALUE"""),1472.15)</f>
        <v>1472.15</v>
      </c>
      <c r="D121" s="3">
        <f>IFERROR(__xludf.DUMMYFUNCTION("""COMPUTED_VALUE"""),1431.25)</f>
        <v>1431.25</v>
      </c>
      <c r="E121" s="3">
        <f>IFERROR(__xludf.DUMMYFUNCTION("""COMPUTED_VALUE"""),1451.65)</f>
        <v>1451.65</v>
      </c>
      <c r="F121" s="3">
        <f>IFERROR(__xludf.DUMMYFUNCTION("""COMPUTED_VALUE"""),0.0)</f>
        <v>0</v>
      </c>
    </row>
    <row r="122">
      <c r="A122" s="7">
        <f>IFERROR(__xludf.DUMMYFUNCTION("""COMPUTED_VALUE"""),36704.645833333336)</f>
        <v>36704.64583</v>
      </c>
      <c r="B122" s="3">
        <f>IFERROR(__xludf.DUMMYFUNCTION("""COMPUTED_VALUE"""),1452.8)</f>
        <v>1452.8</v>
      </c>
      <c r="C122" s="3">
        <f>IFERROR(__xludf.DUMMYFUNCTION("""COMPUTED_VALUE"""),1467.15)</f>
        <v>1467.15</v>
      </c>
      <c r="D122" s="3">
        <f>IFERROR(__xludf.DUMMYFUNCTION("""COMPUTED_VALUE"""),1448.95)</f>
        <v>1448.95</v>
      </c>
      <c r="E122" s="3">
        <f>IFERROR(__xludf.DUMMYFUNCTION("""COMPUTED_VALUE"""),1454.3)</f>
        <v>1454.3</v>
      </c>
      <c r="F122" s="3">
        <f>IFERROR(__xludf.DUMMYFUNCTION("""COMPUTED_VALUE"""),0.0)</f>
        <v>0</v>
      </c>
    </row>
    <row r="123">
      <c r="A123" s="7">
        <f>IFERROR(__xludf.DUMMYFUNCTION("""COMPUTED_VALUE"""),36705.645833333336)</f>
        <v>36705.64583</v>
      </c>
      <c r="B123" s="3">
        <f>IFERROR(__xludf.DUMMYFUNCTION("""COMPUTED_VALUE"""),1453.7)</f>
        <v>1453.7</v>
      </c>
      <c r="C123" s="3">
        <f>IFERROR(__xludf.DUMMYFUNCTION("""COMPUTED_VALUE"""),1474.7)</f>
        <v>1474.7</v>
      </c>
      <c r="D123" s="3">
        <f>IFERROR(__xludf.DUMMYFUNCTION("""COMPUTED_VALUE"""),1445.6)</f>
        <v>1445.6</v>
      </c>
      <c r="E123" s="3">
        <f>IFERROR(__xludf.DUMMYFUNCTION("""COMPUTED_VALUE"""),1470.0)</f>
        <v>1470</v>
      </c>
      <c r="F123" s="3">
        <f>IFERROR(__xludf.DUMMYFUNCTION("""COMPUTED_VALUE"""),0.0)</f>
        <v>0</v>
      </c>
    </row>
    <row r="124">
      <c r="A124" s="7">
        <f>IFERROR(__xludf.DUMMYFUNCTION("""COMPUTED_VALUE"""),36706.645833333336)</f>
        <v>36706.64583</v>
      </c>
      <c r="B124" s="3">
        <f>IFERROR(__xludf.DUMMYFUNCTION("""COMPUTED_VALUE"""),1471.35)</f>
        <v>1471.35</v>
      </c>
      <c r="C124" s="3">
        <f>IFERROR(__xludf.DUMMYFUNCTION("""COMPUTED_VALUE"""),1505.75)</f>
        <v>1505.75</v>
      </c>
      <c r="D124" s="3">
        <f>IFERROR(__xludf.DUMMYFUNCTION("""COMPUTED_VALUE"""),1471.35)</f>
        <v>1471.35</v>
      </c>
      <c r="E124" s="3">
        <f>IFERROR(__xludf.DUMMYFUNCTION("""COMPUTED_VALUE"""),1492.35)</f>
        <v>1492.35</v>
      </c>
      <c r="F124" s="3">
        <f>IFERROR(__xludf.DUMMYFUNCTION("""COMPUTED_VALUE"""),0.0)</f>
        <v>0</v>
      </c>
    </row>
    <row r="125">
      <c r="A125" s="7">
        <f>IFERROR(__xludf.DUMMYFUNCTION("""COMPUTED_VALUE"""),36707.645833333336)</f>
        <v>36707.64583</v>
      </c>
      <c r="B125" s="3">
        <f>IFERROR(__xludf.DUMMYFUNCTION("""COMPUTED_VALUE"""),1490.2)</f>
        <v>1490.2</v>
      </c>
      <c r="C125" s="3">
        <f>IFERROR(__xludf.DUMMYFUNCTION("""COMPUTED_VALUE"""),1490.65)</f>
        <v>1490.65</v>
      </c>
      <c r="D125" s="3">
        <f>IFERROR(__xludf.DUMMYFUNCTION("""COMPUTED_VALUE"""),1462.45)</f>
        <v>1462.45</v>
      </c>
      <c r="E125" s="3">
        <f>IFERROR(__xludf.DUMMYFUNCTION("""COMPUTED_VALUE"""),1471.45)</f>
        <v>1471.45</v>
      </c>
      <c r="F125" s="3">
        <f>IFERROR(__xludf.DUMMYFUNCTION("""COMPUTED_VALUE"""),0.0)</f>
        <v>0</v>
      </c>
    </row>
    <row r="126">
      <c r="A126" s="7">
        <f>IFERROR(__xludf.DUMMYFUNCTION("""COMPUTED_VALUE"""),36710.645833333336)</f>
        <v>36710.64583</v>
      </c>
      <c r="B126" s="3">
        <f>IFERROR(__xludf.DUMMYFUNCTION("""COMPUTED_VALUE"""),1473.45)</f>
        <v>1473.45</v>
      </c>
      <c r="C126" s="3">
        <f>IFERROR(__xludf.DUMMYFUNCTION("""COMPUTED_VALUE"""),1498.7)</f>
        <v>1498.7</v>
      </c>
      <c r="D126" s="3">
        <f>IFERROR(__xludf.DUMMYFUNCTION("""COMPUTED_VALUE"""),1473.45)</f>
        <v>1473.45</v>
      </c>
      <c r="E126" s="3">
        <f>IFERROR(__xludf.DUMMYFUNCTION("""COMPUTED_VALUE"""),1495.25)</f>
        <v>1495.25</v>
      </c>
      <c r="F126" s="3">
        <f>IFERROR(__xludf.DUMMYFUNCTION("""COMPUTED_VALUE"""),0.0)</f>
        <v>0</v>
      </c>
    </row>
    <row r="127">
      <c r="A127" s="7">
        <f>IFERROR(__xludf.DUMMYFUNCTION("""COMPUTED_VALUE"""),36711.645833333336)</f>
        <v>36711.64583</v>
      </c>
      <c r="B127" s="3">
        <f>IFERROR(__xludf.DUMMYFUNCTION("""COMPUTED_VALUE"""),1496.15)</f>
        <v>1496.15</v>
      </c>
      <c r="C127" s="3">
        <f>IFERROR(__xludf.DUMMYFUNCTION("""COMPUTED_VALUE"""),1516.8)</f>
        <v>1516.8</v>
      </c>
      <c r="D127" s="3">
        <f>IFERROR(__xludf.DUMMYFUNCTION("""COMPUTED_VALUE"""),1494.8)</f>
        <v>1494.8</v>
      </c>
      <c r="E127" s="3">
        <f>IFERROR(__xludf.DUMMYFUNCTION("""COMPUTED_VALUE"""),1511.3)</f>
        <v>1511.3</v>
      </c>
      <c r="F127" s="3">
        <f>IFERROR(__xludf.DUMMYFUNCTION("""COMPUTED_VALUE"""),0.0)</f>
        <v>0</v>
      </c>
    </row>
    <row r="128">
      <c r="A128" s="7">
        <f>IFERROR(__xludf.DUMMYFUNCTION("""COMPUTED_VALUE"""),36712.645833333336)</f>
        <v>36712.64583</v>
      </c>
      <c r="B128" s="3">
        <f>IFERROR(__xludf.DUMMYFUNCTION("""COMPUTED_VALUE"""),1511.5)</f>
        <v>1511.5</v>
      </c>
      <c r="C128" s="3">
        <f>IFERROR(__xludf.DUMMYFUNCTION("""COMPUTED_VALUE"""),1530.9)</f>
        <v>1530.9</v>
      </c>
      <c r="D128" s="3">
        <f>IFERROR(__xludf.DUMMYFUNCTION("""COMPUTED_VALUE"""),1511.5)</f>
        <v>1511.5</v>
      </c>
      <c r="E128" s="3">
        <f>IFERROR(__xludf.DUMMYFUNCTION("""COMPUTED_VALUE"""),1526.05)</f>
        <v>1526.05</v>
      </c>
      <c r="F128" s="3">
        <f>IFERROR(__xludf.DUMMYFUNCTION("""COMPUTED_VALUE"""),0.0)</f>
        <v>0</v>
      </c>
    </row>
    <row r="129">
      <c r="A129" s="7">
        <f>IFERROR(__xludf.DUMMYFUNCTION("""COMPUTED_VALUE"""),36713.645833333336)</f>
        <v>36713.64583</v>
      </c>
      <c r="B129" s="3">
        <f>IFERROR(__xludf.DUMMYFUNCTION("""COMPUTED_VALUE"""),1525.15)</f>
        <v>1525.15</v>
      </c>
      <c r="C129" s="3">
        <f>IFERROR(__xludf.DUMMYFUNCTION("""COMPUTED_VALUE"""),1525.15)</f>
        <v>1525.15</v>
      </c>
      <c r="D129" s="3">
        <f>IFERROR(__xludf.DUMMYFUNCTION("""COMPUTED_VALUE"""),1504.05)</f>
        <v>1504.05</v>
      </c>
      <c r="E129" s="3">
        <f>IFERROR(__xludf.DUMMYFUNCTION("""COMPUTED_VALUE"""),1516.8)</f>
        <v>1516.8</v>
      </c>
      <c r="F129" s="3">
        <f>IFERROR(__xludf.DUMMYFUNCTION("""COMPUTED_VALUE"""),0.0)</f>
        <v>0</v>
      </c>
    </row>
    <row r="130">
      <c r="A130" s="7">
        <f>IFERROR(__xludf.DUMMYFUNCTION("""COMPUTED_VALUE"""),36714.645833333336)</f>
        <v>36714.64583</v>
      </c>
      <c r="B130" s="3">
        <f>IFERROR(__xludf.DUMMYFUNCTION("""COMPUTED_VALUE"""),1517.0)</f>
        <v>1517</v>
      </c>
      <c r="C130" s="3">
        <f>IFERROR(__xludf.DUMMYFUNCTION("""COMPUTED_VALUE"""),1528.15)</f>
        <v>1528.15</v>
      </c>
      <c r="D130" s="3">
        <f>IFERROR(__xludf.DUMMYFUNCTION("""COMPUTED_VALUE"""),1513.4)</f>
        <v>1513.4</v>
      </c>
      <c r="E130" s="3">
        <f>IFERROR(__xludf.DUMMYFUNCTION("""COMPUTED_VALUE"""),1517.6)</f>
        <v>1517.6</v>
      </c>
      <c r="F130" s="3">
        <f>IFERROR(__xludf.DUMMYFUNCTION("""COMPUTED_VALUE"""),0.0)</f>
        <v>0</v>
      </c>
    </row>
    <row r="131">
      <c r="A131" s="7">
        <f>IFERROR(__xludf.DUMMYFUNCTION("""COMPUTED_VALUE"""),36717.645833333336)</f>
        <v>36717.64583</v>
      </c>
      <c r="B131" s="3">
        <f>IFERROR(__xludf.DUMMYFUNCTION("""COMPUTED_VALUE"""),1518.15)</f>
        <v>1518.15</v>
      </c>
      <c r="C131" s="3">
        <f>IFERROR(__xludf.DUMMYFUNCTION("""COMPUTED_VALUE"""),1523.2)</f>
        <v>1523.2</v>
      </c>
      <c r="D131" s="3">
        <f>IFERROR(__xludf.DUMMYFUNCTION("""COMPUTED_VALUE"""),1502.7)</f>
        <v>1502.7</v>
      </c>
      <c r="E131" s="3">
        <f>IFERROR(__xludf.DUMMYFUNCTION("""COMPUTED_VALUE"""),1509.65)</f>
        <v>1509.65</v>
      </c>
      <c r="F131" s="3">
        <f>IFERROR(__xludf.DUMMYFUNCTION("""COMPUTED_VALUE"""),0.0)</f>
        <v>0</v>
      </c>
    </row>
    <row r="132">
      <c r="A132" s="7">
        <f>IFERROR(__xludf.DUMMYFUNCTION("""COMPUTED_VALUE"""),36718.645833333336)</f>
        <v>36718.64583</v>
      </c>
      <c r="B132" s="3">
        <f>IFERROR(__xludf.DUMMYFUNCTION("""COMPUTED_VALUE"""),1510.55)</f>
        <v>1510.55</v>
      </c>
      <c r="C132" s="3">
        <f>IFERROR(__xludf.DUMMYFUNCTION("""COMPUTED_VALUE"""),1523.1)</f>
        <v>1523.1</v>
      </c>
      <c r="D132" s="3">
        <f>IFERROR(__xludf.DUMMYFUNCTION("""COMPUTED_VALUE"""),1506.15)</f>
        <v>1506.15</v>
      </c>
      <c r="E132" s="3">
        <f>IFERROR(__xludf.DUMMYFUNCTION("""COMPUTED_VALUE"""),1518.55)</f>
        <v>1518.55</v>
      </c>
      <c r="F132" s="3">
        <f>IFERROR(__xludf.DUMMYFUNCTION("""COMPUTED_VALUE"""),0.0)</f>
        <v>0</v>
      </c>
    </row>
    <row r="133">
      <c r="A133" s="7">
        <f>IFERROR(__xludf.DUMMYFUNCTION("""COMPUTED_VALUE"""),36719.645833333336)</f>
        <v>36719.64583</v>
      </c>
      <c r="B133" s="3">
        <f>IFERROR(__xludf.DUMMYFUNCTION("""COMPUTED_VALUE"""),1518.7)</f>
        <v>1518.7</v>
      </c>
      <c r="C133" s="3">
        <f>IFERROR(__xludf.DUMMYFUNCTION("""COMPUTED_VALUE"""),1537.1)</f>
        <v>1537.1</v>
      </c>
      <c r="D133" s="3">
        <f>IFERROR(__xludf.DUMMYFUNCTION("""COMPUTED_VALUE"""),1507.95)</f>
        <v>1507.95</v>
      </c>
      <c r="E133" s="3">
        <f>IFERROR(__xludf.DUMMYFUNCTION("""COMPUTED_VALUE"""),1533.35)</f>
        <v>1533.35</v>
      </c>
      <c r="F133" s="3">
        <f>IFERROR(__xludf.DUMMYFUNCTION("""COMPUTED_VALUE"""),0.0)</f>
        <v>0</v>
      </c>
    </row>
    <row r="134">
      <c r="A134" s="7">
        <f>IFERROR(__xludf.DUMMYFUNCTION("""COMPUTED_VALUE"""),36720.645833333336)</f>
        <v>36720.64583</v>
      </c>
      <c r="B134" s="3">
        <f>IFERROR(__xludf.DUMMYFUNCTION("""COMPUTED_VALUE"""),1535.55)</f>
        <v>1535.55</v>
      </c>
      <c r="C134" s="3">
        <f>IFERROR(__xludf.DUMMYFUNCTION("""COMPUTED_VALUE"""),1564.75)</f>
        <v>1564.75</v>
      </c>
      <c r="D134" s="3">
        <f>IFERROR(__xludf.DUMMYFUNCTION("""COMPUTED_VALUE"""),1513.65)</f>
        <v>1513.65</v>
      </c>
      <c r="E134" s="3">
        <f>IFERROR(__xludf.DUMMYFUNCTION("""COMPUTED_VALUE"""),1522.6)</f>
        <v>1522.6</v>
      </c>
      <c r="F134" s="3">
        <f>IFERROR(__xludf.DUMMYFUNCTION("""COMPUTED_VALUE"""),0.0)</f>
        <v>0</v>
      </c>
    </row>
    <row r="135">
      <c r="A135" s="7">
        <f>IFERROR(__xludf.DUMMYFUNCTION("""COMPUTED_VALUE"""),36721.645833333336)</f>
        <v>36721.64583</v>
      </c>
      <c r="B135" s="3">
        <f>IFERROR(__xludf.DUMMYFUNCTION("""COMPUTED_VALUE"""),1522.2)</f>
        <v>1522.2</v>
      </c>
      <c r="C135" s="3">
        <f>IFERROR(__xludf.DUMMYFUNCTION("""COMPUTED_VALUE"""),1534.35)</f>
        <v>1534.35</v>
      </c>
      <c r="D135" s="3">
        <f>IFERROR(__xludf.DUMMYFUNCTION("""COMPUTED_VALUE"""),1505.9)</f>
        <v>1505.9</v>
      </c>
      <c r="E135" s="3">
        <f>IFERROR(__xludf.DUMMYFUNCTION("""COMPUTED_VALUE"""),1509.75)</f>
        <v>1509.75</v>
      </c>
      <c r="F135" s="3">
        <f>IFERROR(__xludf.DUMMYFUNCTION("""COMPUTED_VALUE"""),0.0)</f>
        <v>0</v>
      </c>
    </row>
    <row r="136">
      <c r="A136" s="7">
        <f>IFERROR(__xludf.DUMMYFUNCTION("""COMPUTED_VALUE"""),36724.645833333336)</f>
        <v>36724.64583</v>
      </c>
      <c r="B136" s="3">
        <f>IFERROR(__xludf.DUMMYFUNCTION("""COMPUTED_VALUE"""),1509.25)</f>
        <v>1509.25</v>
      </c>
      <c r="C136" s="3">
        <f>IFERROR(__xludf.DUMMYFUNCTION("""COMPUTED_VALUE"""),1512.25)</f>
        <v>1512.25</v>
      </c>
      <c r="D136" s="3">
        <f>IFERROR(__xludf.DUMMYFUNCTION("""COMPUTED_VALUE"""),1475.15)</f>
        <v>1475.15</v>
      </c>
      <c r="E136" s="3">
        <f>IFERROR(__xludf.DUMMYFUNCTION("""COMPUTED_VALUE"""),1479.65)</f>
        <v>1479.65</v>
      </c>
      <c r="F136" s="3">
        <f>IFERROR(__xludf.DUMMYFUNCTION("""COMPUTED_VALUE"""),0.0)</f>
        <v>0</v>
      </c>
    </row>
    <row r="137">
      <c r="A137" s="7">
        <f>IFERROR(__xludf.DUMMYFUNCTION("""COMPUTED_VALUE"""),36725.645833333336)</f>
        <v>36725.64583</v>
      </c>
      <c r="B137" s="3">
        <f>IFERROR(__xludf.DUMMYFUNCTION("""COMPUTED_VALUE"""),1479.3)</f>
        <v>1479.3</v>
      </c>
      <c r="C137" s="3">
        <f>IFERROR(__xludf.DUMMYFUNCTION("""COMPUTED_VALUE"""),1482.9)</f>
        <v>1482.9</v>
      </c>
      <c r="D137" s="3">
        <f>IFERROR(__xludf.DUMMYFUNCTION("""COMPUTED_VALUE"""),1458.6)</f>
        <v>1458.6</v>
      </c>
      <c r="E137" s="3">
        <f>IFERROR(__xludf.DUMMYFUNCTION("""COMPUTED_VALUE"""),1463.1)</f>
        <v>1463.1</v>
      </c>
      <c r="F137" s="3">
        <f>IFERROR(__xludf.DUMMYFUNCTION("""COMPUTED_VALUE"""),0.0)</f>
        <v>0</v>
      </c>
    </row>
    <row r="138">
      <c r="A138" s="7">
        <f>IFERROR(__xludf.DUMMYFUNCTION("""COMPUTED_VALUE"""),36726.645833333336)</f>
        <v>36726.64583</v>
      </c>
      <c r="B138" s="3">
        <f>IFERROR(__xludf.DUMMYFUNCTION("""COMPUTED_VALUE"""),1464.55)</f>
        <v>1464.55</v>
      </c>
      <c r="C138" s="3">
        <f>IFERROR(__xludf.DUMMYFUNCTION("""COMPUTED_VALUE"""),1468.55)</f>
        <v>1468.55</v>
      </c>
      <c r="D138" s="3">
        <f>IFERROR(__xludf.DUMMYFUNCTION("""COMPUTED_VALUE"""),1432.85)</f>
        <v>1432.85</v>
      </c>
      <c r="E138" s="3">
        <f>IFERROR(__xludf.DUMMYFUNCTION("""COMPUTED_VALUE"""),1435.8)</f>
        <v>1435.8</v>
      </c>
      <c r="F138" s="3">
        <f>IFERROR(__xludf.DUMMYFUNCTION("""COMPUTED_VALUE"""),0.0)</f>
        <v>0</v>
      </c>
    </row>
    <row r="139">
      <c r="A139" s="7">
        <f>IFERROR(__xludf.DUMMYFUNCTION("""COMPUTED_VALUE"""),36727.645833333336)</f>
        <v>36727.64583</v>
      </c>
      <c r="B139" s="3">
        <f>IFERROR(__xludf.DUMMYFUNCTION("""COMPUTED_VALUE"""),1434.95)</f>
        <v>1434.95</v>
      </c>
      <c r="C139" s="3">
        <f>IFERROR(__xludf.DUMMYFUNCTION("""COMPUTED_VALUE"""),1443.25)</f>
        <v>1443.25</v>
      </c>
      <c r="D139" s="3">
        <f>IFERROR(__xludf.DUMMYFUNCTION("""COMPUTED_VALUE"""),1416.0)</f>
        <v>1416</v>
      </c>
      <c r="E139" s="3">
        <f>IFERROR(__xludf.DUMMYFUNCTION("""COMPUTED_VALUE"""),1424.2)</f>
        <v>1424.2</v>
      </c>
      <c r="F139" s="3">
        <f>IFERROR(__xludf.DUMMYFUNCTION("""COMPUTED_VALUE"""),0.0)</f>
        <v>0</v>
      </c>
    </row>
    <row r="140">
      <c r="A140" s="7">
        <f>IFERROR(__xludf.DUMMYFUNCTION("""COMPUTED_VALUE"""),36728.645833333336)</f>
        <v>36728.64583</v>
      </c>
      <c r="B140" s="3">
        <f>IFERROR(__xludf.DUMMYFUNCTION("""COMPUTED_VALUE"""),1424.9)</f>
        <v>1424.9</v>
      </c>
      <c r="C140" s="3">
        <f>IFERROR(__xludf.DUMMYFUNCTION("""COMPUTED_VALUE"""),1435.2)</f>
        <v>1435.2</v>
      </c>
      <c r="D140" s="3">
        <f>IFERROR(__xludf.DUMMYFUNCTION("""COMPUTED_VALUE"""),1394.3)</f>
        <v>1394.3</v>
      </c>
      <c r="E140" s="3">
        <f>IFERROR(__xludf.DUMMYFUNCTION("""COMPUTED_VALUE"""),1397.25)</f>
        <v>1397.25</v>
      </c>
      <c r="F140" s="3">
        <f>IFERROR(__xludf.DUMMYFUNCTION("""COMPUTED_VALUE"""),0.0)</f>
        <v>0</v>
      </c>
    </row>
    <row r="141">
      <c r="A141" s="7">
        <f>IFERROR(__xludf.DUMMYFUNCTION("""COMPUTED_VALUE"""),36731.645833333336)</f>
        <v>36731.64583</v>
      </c>
      <c r="B141" s="3">
        <f>IFERROR(__xludf.DUMMYFUNCTION("""COMPUTED_VALUE"""),1397.05)</f>
        <v>1397.05</v>
      </c>
      <c r="C141" s="3">
        <f>IFERROR(__xludf.DUMMYFUNCTION("""COMPUTED_VALUE"""),1397.05)</f>
        <v>1397.05</v>
      </c>
      <c r="D141" s="3">
        <f>IFERROR(__xludf.DUMMYFUNCTION("""COMPUTED_VALUE"""),1310.85)</f>
        <v>1310.85</v>
      </c>
      <c r="E141" s="3">
        <f>IFERROR(__xludf.DUMMYFUNCTION("""COMPUTED_VALUE"""),1317.75)</f>
        <v>1317.75</v>
      </c>
      <c r="F141" s="3">
        <f>IFERROR(__xludf.DUMMYFUNCTION("""COMPUTED_VALUE"""),0.0)</f>
        <v>0</v>
      </c>
    </row>
    <row r="142">
      <c r="A142" s="7">
        <f>IFERROR(__xludf.DUMMYFUNCTION("""COMPUTED_VALUE"""),36732.645833333336)</f>
        <v>36732.64583</v>
      </c>
      <c r="B142" s="3">
        <f>IFERROR(__xludf.DUMMYFUNCTION("""COMPUTED_VALUE"""),1317.35)</f>
        <v>1317.35</v>
      </c>
      <c r="C142" s="3">
        <f>IFERROR(__xludf.DUMMYFUNCTION("""COMPUTED_VALUE"""),1363.45)</f>
        <v>1363.45</v>
      </c>
      <c r="D142" s="3">
        <f>IFERROR(__xludf.DUMMYFUNCTION("""COMPUTED_VALUE"""),1269.25)</f>
        <v>1269.25</v>
      </c>
      <c r="E142" s="3">
        <f>IFERROR(__xludf.DUMMYFUNCTION("""COMPUTED_VALUE"""),1348.9)</f>
        <v>1348.9</v>
      </c>
      <c r="F142" s="3">
        <f>IFERROR(__xludf.DUMMYFUNCTION("""COMPUTED_VALUE"""),0.0)</f>
        <v>0</v>
      </c>
    </row>
    <row r="143">
      <c r="A143" s="7">
        <f>IFERROR(__xludf.DUMMYFUNCTION("""COMPUTED_VALUE"""),36733.645833333336)</f>
        <v>36733.64583</v>
      </c>
      <c r="B143" s="3">
        <f>IFERROR(__xludf.DUMMYFUNCTION("""COMPUTED_VALUE"""),1350.8)</f>
        <v>1350.8</v>
      </c>
      <c r="C143" s="3">
        <f>IFERROR(__xludf.DUMMYFUNCTION("""COMPUTED_VALUE"""),1371.8)</f>
        <v>1371.8</v>
      </c>
      <c r="D143" s="3">
        <f>IFERROR(__xludf.DUMMYFUNCTION("""COMPUTED_VALUE"""),1315.15)</f>
        <v>1315.15</v>
      </c>
      <c r="E143" s="3">
        <f>IFERROR(__xludf.DUMMYFUNCTION("""COMPUTED_VALUE"""),1318.25)</f>
        <v>1318.25</v>
      </c>
      <c r="F143" s="3">
        <f>IFERROR(__xludf.DUMMYFUNCTION("""COMPUTED_VALUE"""),0.0)</f>
        <v>0</v>
      </c>
    </row>
    <row r="144">
      <c r="A144" s="7">
        <f>IFERROR(__xludf.DUMMYFUNCTION("""COMPUTED_VALUE"""),36734.645833333336)</f>
        <v>36734.64583</v>
      </c>
      <c r="B144" s="3">
        <f>IFERROR(__xludf.DUMMYFUNCTION("""COMPUTED_VALUE"""),1317.0)</f>
        <v>1317</v>
      </c>
      <c r="C144" s="3">
        <f>IFERROR(__xludf.DUMMYFUNCTION("""COMPUTED_VALUE"""),1342.75)</f>
        <v>1342.75</v>
      </c>
      <c r="D144" s="3">
        <f>IFERROR(__xludf.DUMMYFUNCTION("""COMPUTED_VALUE"""),1291.3)</f>
        <v>1291.3</v>
      </c>
      <c r="E144" s="3">
        <f>IFERROR(__xludf.DUMMYFUNCTION("""COMPUTED_VALUE"""),1338.05)</f>
        <v>1338.05</v>
      </c>
      <c r="F144" s="3">
        <f>IFERROR(__xludf.DUMMYFUNCTION("""COMPUTED_VALUE"""),0.0)</f>
        <v>0</v>
      </c>
    </row>
    <row r="145">
      <c r="A145" s="7">
        <f>IFERROR(__xludf.DUMMYFUNCTION("""COMPUTED_VALUE"""),36735.645833333336)</f>
        <v>36735.64583</v>
      </c>
      <c r="B145" s="3">
        <f>IFERROR(__xludf.DUMMYFUNCTION("""COMPUTED_VALUE"""),1337.7)</f>
        <v>1337.7</v>
      </c>
      <c r="C145" s="3">
        <f>IFERROR(__xludf.DUMMYFUNCTION("""COMPUTED_VALUE"""),1359.4)</f>
        <v>1359.4</v>
      </c>
      <c r="D145" s="3">
        <f>IFERROR(__xludf.DUMMYFUNCTION("""COMPUTED_VALUE"""),1327.95)</f>
        <v>1327.95</v>
      </c>
      <c r="E145" s="3">
        <f>IFERROR(__xludf.DUMMYFUNCTION("""COMPUTED_VALUE"""),1333.8)</f>
        <v>1333.8</v>
      </c>
      <c r="F145" s="3">
        <f>IFERROR(__xludf.DUMMYFUNCTION("""COMPUTED_VALUE"""),0.0)</f>
        <v>0</v>
      </c>
    </row>
    <row r="146">
      <c r="A146" s="7">
        <f>IFERROR(__xludf.DUMMYFUNCTION("""COMPUTED_VALUE"""),36738.645833333336)</f>
        <v>36738.64583</v>
      </c>
      <c r="B146" s="3">
        <f>IFERROR(__xludf.DUMMYFUNCTION("""COMPUTED_VALUE"""),1333.3)</f>
        <v>1333.3</v>
      </c>
      <c r="C146" s="3">
        <f>IFERROR(__xludf.DUMMYFUNCTION("""COMPUTED_VALUE"""),1343.65)</f>
        <v>1343.65</v>
      </c>
      <c r="D146" s="3">
        <f>IFERROR(__xludf.DUMMYFUNCTION("""COMPUTED_VALUE"""),1317.3)</f>
        <v>1317.3</v>
      </c>
      <c r="E146" s="3">
        <f>IFERROR(__xludf.DUMMYFUNCTION("""COMPUTED_VALUE"""),1332.85)</f>
        <v>1332.85</v>
      </c>
      <c r="F146" s="3">
        <f>IFERROR(__xludf.DUMMYFUNCTION("""COMPUTED_VALUE"""),0.0)</f>
        <v>0</v>
      </c>
    </row>
    <row r="147">
      <c r="A147" s="7">
        <f>IFERROR(__xludf.DUMMYFUNCTION("""COMPUTED_VALUE"""),36773.645833333336)</f>
        <v>36773.64583</v>
      </c>
      <c r="B147" s="3">
        <f>IFERROR(__xludf.DUMMYFUNCTION("""COMPUTED_VALUE"""),1395.95)</f>
        <v>1395.95</v>
      </c>
      <c r="C147" s="3">
        <f>IFERROR(__xludf.DUMMYFUNCTION("""COMPUTED_VALUE"""),1433.15)</f>
        <v>1433.15</v>
      </c>
      <c r="D147" s="3">
        <f>IFERROR(__xludf.DUMMYFUNCTION("""COMPUTED_VALUE"""),1395.95)</f>
        <v>1395.95</v>
      </c>
      <c r="E147" s="3">
        <f>IFERROR(__xludf.DUMMYFUNCTION("""COMPUTED_VALUE"""),1427.75)</f>
        <v>1427.75</v>
      </c>
      <c r="F147" s="3">
        <f>IFERROR(__xludf.DUMMYFUNCTION("""COMPUTED_VALUE"""),0.0)</f>
        <v>0</v>
      </c>
    </row>
    <row r="148">
      <c r="A148" s="7">
        <f>IFERROR(__xludf.DUMMYFUNCTION("""COMPUTED_VALUE"""),36774.645833333336)</f>
        <v>36774.64583</v>
      </c>
      <c r="B148" s="3">
        <f>IFERROR(__xludf.DUMMYFUNCTION("""COMPUTED_VALUE"""),1428.05)</f>
        <v>1428.05</v>
      </c>
      <c r="C148" s="3">
        <f>IFERROR(__xludf.DUMMYFUNCTION("""COMPUTED_VALUE"""),1434.65)</f>
        <v>1434.65</v>
      </c>
      <c r="D148" s="3">
        <f>IFERROR(__xludf.DUMMYFUNCTION("""COMPUTED_VALUE"""),1420.9)</f>
        <v>1420.9</v>
      </c>
      <c r="E148" s="3">
        <f>IFERROR(__xludf.DUMMYFUNCTION("""COMPUTED_VALUE"""),1428.25)</f>
        <v>1428.25</v>
      </c>
      <c r="F148" s="3">
        <f>IFERROR(__xludf.DUMMYFUNCTION("""COMPUTED_VALUE"""),0.0)</f>
        <v>0</v>
      </c>
    </row>
    <row r="149">
      <c r="A149" s="7">
        <f>IFERROR(__xludf.DUMMYFUNCTION("""COMPUTED_VALUE"""),36775.645833333336)</f>
        <v>36775.64583</v>
      </c>
      <c r="B149" s="3">
        <f>IFERROR(__xludf.DUMMYFUNCTION("""COMPUTED_VALUE"""),1430.9)</f>
        <v>1430.9</v>
      </c>
      <c r="C149" s="3">
        <f>IFERROR(__xludf.DUMMYFUNCTION("""COMPUTED_VALUE"""),1444.45)</f>
        <v>1444.45</v>
      </c>
      <c r="D149" s="3">
        <f>IFERROR(__xludf.DUMMYFUNCTION("""COMPUTED_VALUE"""),1421.0)</f>
        <v>1421</v>
      </c>
      <c r="E149" s="3">
        <f>IFERROR(__xludf.DUMMYFUNCTION("""COMPUTED_VALUE"""),1435.35)</f>
        <v>1435.35</v>
      </c>
      <c r="F149" s="3">
        <f>IFERROR(__xludf.DUMMYFUNCTION("""COMPUTED_VALUE"""),0.0)</f>
        <v>0</v>
      </c>
    </row>
    <row r="150">
      <c r="A150" s="7">
        <f>IFERROR(__xludf.DUMMYFUNCTION("""COMPUTED_VALUE"""),36776.645833333336)</f>
        <v>36776.64583</v>
      </c>
      <c r="B150" s="3">
        <f>IFERROR(__xludf.DUMMYFUNCTION("""COMPUTED_VALUE"""),1434.7)</f>
        <v>1434.7</v>
      </c>
      <c r="C150" s="3">
        <f>IFERROR(__xludf.DUMMYFUNCTION("""COMPUTED_VALUE"""),1450.2)</f>
        <v>1450.2</v>
      </c>
      <c r="D150" s="3">
        <f>IFERROR(__xludf.DUMMYFUNCTION("""COMPUTED_VALUE"""),1424.35)</f>
        <v>1424.35</v>
      </c>
      <c r="E150" s="3">
        <f>IFERROR(__xludf.DUMMYFUNCTION("""COMPUTED_VALUE"""),1439.75)</f>
        <v>1439.75</v>
      </c>
      <c r="F150" s="3">
        <f>IFERROR(__xludf.DUMMYFUNCTION("""COMPUTED_VALUE"""),0.0)</f>
        <v>0</v>
      </c>
    </row>
    <row r="151">
      <c r="A151" s="7">
        <f>IFERROR(__xludf.DUMMYFUNCTION("""COMPUTED_VALUE"""),36777.645833333336)</f>
        <v>36777.64583</v>
      </c>
      <c r="B151" s="3">
        <f>IFERROR(__xludf.DUMMYFUNCTION("""COMPUTED_VALUE"""),1440.6)</f>
        <v>1440.6</v>
      </c>
      <c r="C151" s="3">
        <f>IFERROR(__xludf.DUMMYFUNCTION("""COMPUTED_VALUE"""),1453.15)</f>
        <v>1453.15</v>
      </c>
      <c r="D151" s="3">
        <f>IFERROR(__xludf.DUMMYFUNCTION("""COMPUTED_VALUE"""),1440.6)</f>
        <v>1440.6</v>
      </c>
      <c r="E151" s="3">
        <f>IFERROR(__xludf.DUMMYFUNCTION("""COMPUTED_VALUE"""),1450.05)</f>
        <v>1450.05</v>
      </c>
      <c r="F151" s="3">
        <f>IFERROR(__xludf.DUMMYFUNCTION("""COMPUTED_VALUE"""),0.0)</f>
        <v>0</v>
      </c>
    </row>
    <row r="152">
      <c r="A152" s="7">
        <f>IFERROR(__xludf.DUMMYFUNCTION("""COMPUTED_VALUE"""),36780.645833333336)</f>
        <v>36780.64583</v>
      </c>
      <c r="B152" s="3">
        <f>IFERROR(__xludf.DUMMYFUNCTION("""COMPUTED_VALUE"""),1449.35)</f>
        <v>1449.35</v>
      </c>
      <c r="C152" s="3">
        <f>IFERROR(__xludf.DUMMYFUNCTION("""COMPUTED_VALUE"""),1469.0)</f>
        <v>1469</v>
      </c>
      <c r="D152" s="3">
        <f>IFERROR(__xludf.DUMMYFUNCTION("""COMPUTED_VALUE"""),1448.95)</f>
        <v>1448.95</v>
      </c>
      <c r="E152" s="3">
        <f>IFERROR(__xludf.DUMMYFUNCTION("""COMPUTED_VALUE"""),1456.35)</f>
        <v>1456.35</v>
      </c>
      <c r="F152" s="3">
        <f>IFERROR(__xludf.DUMMYFUNCTION("""COMPUTED_VALUE"""),0.0)</f>
        <v>0</v>
      </c>
    </row>
    <row r="153">
      <c r="A153" s="7">
        <f>IFERROR(__xludf.DUMMYFUNCTION("""COMPUTED_VALUE"""),36781.645833333336)</f>
        <v>36781.64583</v>
      </c>
      <c r="B153" s="3">
        <f>IFERROR(__xludf.DUMMYFUNCTION("""COMPUTED_VALUE"""),1457.1)</f>
        <v>1457.1</v>
      </c>
      <c r="C153" s="3">
        <f>IFERROR(__xludf.DUMMYFUNCTION("""COMPUTED_VALUE"""),1470.55)</f>
        <v>1470.55</v>
      </c>
      <c r="D153" s="3">
        <f>IFERROR(__xludf.DUMMYFUNCTION("""COMPUTED_VALUE"""),1447.8)</f>
        <v>1447.8</v>
      </c>
      <c r="E153" s="3">
        <f>IFERROR(__xludf.DUMMYFUNCTION("""COMPUTED_VALUE"""),1467.65)</f>
        <v>1467.65</v>
      </c>
      <c r="F153" s="3">
        <f>IFERROR(__xludf.DUMMYFUNCTION("""COMPUTED_VALUE"""),0.0)</f>
        <v>0</v>
      </c>
    </row>
    <row r="154">
      <c r="A154" s="7">
        <f>IFERROR(__xludf.DUMMYFUNCTION("""COMPUTED_VALUE"""),36782.645833333336)</f>
        <v>36782.64583</v>
      </c>
      <c r="B154" s="3">
        <f>IFERROR(__xludf.DUMMYFUNCTION("""COMPUTED_VALUE"""),1467.65)</f>
        <v>1467.65</v>
      </c>
      <c r="C154" s="3">
        <f>IFERROR(__xludf.DUMMYFUNCTION("""COMPUTED_VALUE"""),1482.0)</f>
        <v>1482</v>
      </c>
      <c r="D154" s="3">
        <f>IFERROR(__xludf.DUMMYFUNCTION("""COMPUTED_VALUE"""),1452.6)</f>
        <v>1452.6</v>
      </c>
      <c r="E154" s="3">
        <f>IFERROR(__xludf.DUMMYFUNCTION("""COMPUTED_VALUE"""),1456.15)</f>
        <v>1456.15</v>
      </c>
      <c r="F154" s="3">
        <f>IFERROR(__xludf.DUMMYFUNCTION("""COMPUTED_VALUE"""),0.0)</f>
        <v>0</v>
      </c>
    </row>
    <row r="155">
      <c r="A155" s="7">
        <f>IFERROR(__xludf.DUMMYFUNCTION("""COMPUTED_VALUE"""),36783.645833333336)</f>
        <v>36783.64583</v>
      </c>
      <c r="B155" s="3">
        <f>IFERROR(__xludf.DUMMYFUNCTION("""COMPUTED_VALUE"""),1456.75)</f>
        <v>1456.75</v>
      </c>
      <c r="C155" s="3">
        <f>IFERROR(__xludf.DUMMYFUNCTION("""COMPUTED_VALUE"""),1466.65)</f>
        <v>1466.65</v>
      </c>
      <c r="D155" s="3">
        <f>IFERROR(__xludf.DUMMYFUNCTION("""COMPUTED_VALUE"""),1437.85)</f>
        <v>1437.85</v>
      </c>
      <c r="E155" s="3">
        <f>IFERROR(__xludf.DUMMYFUNCTION("""COMPUTED_VALUE"""),1445.3)</f>
        <v>1445.3</v>
      </c>
      <c r="F155" s="3">
        <f>IFERROR(__xludf.DUMMYFUNCTION("""COMPUTED_VALUE"""),0.0)</f>
        <v>0</v>
      </c>
    </row>
    <row r="156">
      <c r="A156" s="7">
        <f>IFERROR(__xludf.DUMMYFUNCTION("""COMPUTED_VALUE"""),36784.645833333336)</f>
        <v>36784.64583</v>
      </c>
      <c r="B156" s="3">
        <f>IFERROR(__xludf.DUMMYFUNCTION("""COMPUTED_VALUE"""),1443.25)</f>
        <v>1443.25</v>
      </c>
      <c r="C156" s="3">
        <f>IFERROR(__xludf.DUMMYFUNCTION("""COMPUTED_VALUE"""),1451.05)</f>
        <v>1451.05</v>
      </c>
      <c r="D156" s="3">
        <f>IFERROR(__xludf.DUMMYFUNCTION("""COMPUTED_VALUE"""),1411.55)</f>
        <v>1411.55</v>
      </c>
      <c r="E156" s="3">
        <f>IFERROR(__xludf.DUMMYFUNCTION("""COMPUTED_VALUE"""),1417.2)</f>
        <v>1417.2</v>
      </c>
      <c r="F156" s="3">
        <f>IFERROR(__xludf.DUMMYFUNCTION("""COMPUTED_VALUE"""),0.0)</f>
        <v>0</v>
      </c>
    </row>
    <row r="157">
      <c r="A157" s="7">
        <f>IFERROR(__xludf.DUMMYFUNCTION("""COMPUTED_VALUE"""),36787.645833333336)</f>
        <v>36787.64583</v>
      </c>
      <c r="B157" s="3">
        <f>IFERROR(__xludf.DUMMYFUNCTION("""COMPUTED_VALUE"""),1416.05)</f>
        <v>1416.05</v>
      </c>
      <c r="C157" s="3">
        <f>IFERROR(__xludf.DUMMYFUNCTION("""COMPUTED_VALUE"""),1416.05)</f>
        <v>1416.05</v>
      </c>
      <c r="D157" s="3">
        <f>IFERROR(__xludf.DUMMYFUNCTION("""COMPUTED_VALUE"""),1352.1)</f>
        <v>1352.1</v>
      </c>
      <c r="E157" s="3">
        <f>IFERROR(__xludf.DUMMYFUNCTION("""COMPUTED_VALUE"""),1354.35)</f>
        <v>1354.35</v>
      </c>
      <c r="F157" s="3">
        <f>IFERROR(__xludf.DUMMYFUNCTION("""COMPUTED_VALUE"""),0.0)</f>
        <v>0</v>
      </c>
    </row>
    <row r="158">
      <c r="A158" s="7">
        <f>IFERROR(__xludf.DUMMYFUNCTION("""COMPUTED_VALUE"""),36788.645833333336)</f>
        <v>36788.64583</v>
      </c>
      <c r="B158" s="3">
        <f>IFERROR(__xludf.DUMMYFUNCTION("""COMPUTED_VALUE"""),1351.8)</f>
        <v>1351.8</v>
      </c>
      <c r="C158" s="3">
        <f>IFERROR(__xludf.DUMMYFUNCTION("""COMPUTED_VALUE"""),1361.7)</f>
        <v>1361.7</v>
      </c>
      <c r="D158" s="3">
        <f>IFERROR(__xludf.DUMMYFUNCTION("""COMPUTED_VALUE"""),1295.3)</f>
        <v>1295.3</v>
      </c>
      <c r="E158" s="3">
        <f>IFERROR(__xludf.DUMMYFUNCTION("""COMPUTED_VALUE"""),1317.0)</f>
        <v>1317</v>
      </c>
      <c r="F158" s="3">
        <f>IFERROR(__xludf.DUMMYFUNCTION("""COMPUTED_VALUE"""),0.0)</f>
        <v>0</v>
      </c>
    </row>
    <row r="159">
      <c r="A159" s="7">
        <f>IFERROR(__xludf.DUMMYFUNCTION("""COMPUTED_VALUE"""),36789.645833333336)</f>
        <v>36789.64583</v>
      </c>
      <c r="B159" s="3">
        <f>IFERROR(__xludf.DUMMYFUNCTION("""COMPUTED_VALUE"""),1317.8)</f>
        <v>1317.8</v>
      </c>
      <c r="C159" s="3">
        <f>IFERROR(__xludf.DUMMYFUNCTION("""COMPUTED_VALUE"""),1351.1)</f>
        <v>1351.1</v>
      </c>
      <c r="D159" s="3">
        <f>IFERROR(__xludf.DUMMYFUNCTION("""COMPUTED_VALUE"""),1311.1)</f>
        <v>1311.1</v>
      </c>
      <c r="E159" s="3">
        <f>IFERROR(__xludf.DUMMYFUNCTION("""COMPUTED_VALUE"""),1342.9)</f>
        <v>1342.9</v>
      </c>
      <c r="F159" s="3">
        <f>IFERROR(__xludf.DUMMYFUNCTION("""COMPUTED_VALUE"""),0.0)</f>
        <v>0</v>
      </c>
    </row>
    <row r="160">
      <c r="A160" s="7">
        <f>IFERROR(__xludf.DUMMYFUNCTION("""COMPUTED_VALUE"""),36790.645833333336)</f>
        <v>36790.64583</v>
      </c>
      <c r="B160" s="3">
        <f>IFERROR(__xludf.DUMMYFUNCTION("""COMPUTED_VALUE"""),1341.65)</f>
        <v>1341.65</v>
      </c>
      <c r="C160" s="3">
        <f>IFERROR(__xludf.DUMMYFUNCTION("""COMPUTED_VALUE"""),1347.4)</f>
        <v>1347.4</v>
      </c>
      <c r="D160" s="3">
        <f>IFERROR(__xludf.DUMMYFUNCTION("""COMPUTED_VALUE"""),1325.75)</f>
        <v>1325.75</v>
      </c>
      <c r="E160" s="3">
        <f>IFERROR(__xludf.DUMMYFUNCTION("""COMPUTED_VALUE"""),1329.85)</f>
        <v>1329.85</v>
      </c>
      <c r="F160" s="3">
        <f>IFERROR(__xludf.DUMMYFUNCTION("""COMPUTED_VALUE"""),0.0)</f>
        <v>0</v>
      </c>
    </row>
    <row r="161">
      <c r="A161" s="7">
        <f>IFERROR(__xludf.DUMMYFUNCTION("""COMPUTED_VALUE"""),36791.645833333336)</f>
        <v>36791.64583</v>
      </c>
      <c r="B161" s="3">
        <f>IFERROR(__xludf.DUMMYFUNCTION("""COMPUTED_VALUE"""),1329.1)</f>
        <v>1329.1</v>
      </c>
      <c r="C161" s="3">
        <f>IFERROR(__xludf.DUMMYFUNCTION("""COMPUTED_VALUE"""),1329.1)</f>
        <v>1329.1</v>
      </c>
      <c r="D161" s="3">
        <f>IFERROR(__xludf.DUMMYFUNCTION("""COMPUTED_VALUE"""),1261.2)</f>
        <v>1261.2</v>
      </c>
      <c r="E161" s="3">
        <f>IFERROR(__xludf.DUMMYFUNCTION("""COMPUTED_VALUE"""),1266.45)</f>
        <v>1266.45</v>
      </c>
      <c r="F161" s="3">
        <f>IFERROR(__xludf.DUMMYFUNCTION("""COMPUTED_VALUE"""),0.0)</f>
        <v>0</v>
      </c>
    </row>
    <row r="162">
      <c r="A162" s="7">
        <f>IFERROR(__xludf.DUMMYFUNCTION("""COMPUTED_VALUE"""),36802.645833333336)</f>
        <v>36802.64583</v>
      </c>
      <c r="B162" s="3">
        <f>IFERROR(__xludf.DUMMYFUNCTION("""COMPUTED_VALUE"""),1270.75)</f>
        <v>1270.75</v>
      </c>
      <c r="C162" s="3">
        <f>IFERROR(__xludf.DUMMYFUNCTION("""COMPUTED_VALUE"""),1288.15)</f>
        <v>1288.15</v>
      </c>
      <c r="D162" s="3">
        <f>IFERROR(__xludf.DUMMYFUNCTION("""COMPUTED_VALUE"""),1254.35)</f>
        <v>1254.35</v>
      </c>
      <c r="E162" s="3">
        <f>IFERROR(__xludf.DUMMYFUNCTION("""COMPUTED_VALUE"""),1282.0)</f>
        <v>1282</v>
      </c>
      <c r="F162" s="3">
        <f>IFERROR(__xludf.DUMMYFUNCTION("""COMPUTED_VALUE"""),0.0)</f>
        <v>0</v>
      </c>
    </row>
    <row r="163">
      <c r="A163" s="7">
        <f>IFERROR(__xludf.DUMMYFUNCTION("""COMPUTED_VALUE"""),36803.645833333336)</f>
        <v>36803.64583</v>
      </c>
      <c r="B163" s="3">
        <f>IFERROR(__xludf.DUMMYFUNCTION("""COMPUTED_VALUE"""),1281.45)</f>
        <v>1281.45</v>
      </c>
      <c r="C163" s="3">
        <f>IFERROR(__xludf.DUMMYFUNCTION("""COMPUTED_VALUE"""),1300.05)</f>
        <v>1300.05</v>
      </c>
      <c r="D163" s="3">
        <f>IFERROR(__xludf.DUMMYFUNCTION("""COMPUTED_VALUE"""),1275.8)</f>
        <v>1275.8</v>
      </c>
      <c r="E163" s="3">
        <f>IFERROR(__xludf.DUMMYFUNCTION("""COMPUTED_VALUE"""),1297.8)</f>
        <v>1297.8</v>
      </c>
      <c r="F163" s="3">
        <f>IFERROR(__xludf.DUMMYFUNCTION("""COMPUTED_VALUE"""),0.0)</f>
        <v>0</v>
      </c>
    </row>
    <row r="164">
      <c r="A164" s="7">
        <f>IFERROR(__xludf.DUMMYFUNCTION("""COMPUTED_VALUE"""),36804.645833333336)</f>
        <v>36804.64583</v>
      </c>
      <c r="B164" s="3">
        <f>IFERROR(__xludf.DUMMYFUNCTION("""COMPUTED_VALUE"""),1296.1)</f>
        <v>1296.1</v>
      </c>
      <c r="C164" s="3">
        <f>IFERROR(__xludf.DUMMYFUNCTION("""COMPUTED_VALUE"""),1306.45)</f>
        <v>1306.45</v>
      </c>
      <c r="D164" s="3">
        <f>IFERROR(__xludf.DUMMYFUNCTION("""COMPUTED_VALUE"""),1282.5)</f>
        <v>1282.5</v>
      </c>
      <c r="E164" s="3">
        <f>IFERROR(__xludf.DUMMYFUNCTION("""COMPUTED_VALUE"""),1284.75)</f>
        <v>1284.75</v>
      </c>
      <c r="F164" s="3">
        <f>IFERROR(__xludf.DUMMYFUNCTION("""COMPUTED_VALUE"""),0.0)</f>
        <v>0</v>
      </c>
    </row>
    <row r="165">
      <c r="A165" s="7">
        <f>IFERROR(__xludf.DUMMYFUNCTION("""COMPUTED_VALUE"""),36805.645833333336)</f>
        <v>36805.64583</v>
      </c>
      <c r="B165" s="3">
        <f>IFERROR(__xludf.DUMMYFUNCTION("""COMPUTED_VALUE"""),1284.35)</f>
        <v>1284.35</v>
      </c>
      <c r="C165" s="3">
        <f>IFERROR(__xludf.DUMMYFUNCTION("""COMPUTED_VALUE"""),1287.85)</f>
        <v>1287.85</v>
      </c>
      <c r="D165" s="3">
        <f>IFERROR(__xludf.DUMMYFUNCTION("""COMPUTED_VALUE"""),1262.65)</f>
        <v>1262.65</v>
      </c>
      <c r="E165" s="3">
        <f>IFERROR(__xludf.DUMMYFUNCTION("""COMPUTED_VALUE"""),1285.0)</f>
        <v>1285</v>
      </c>
      <c r="F165" s="3">
        <f>IFERROR(__xludf.DUMMYFUNCTION("""COMPUTED_VALUE"""),0.0)</f>
        <v>0</v>
      </c>
    </row>
    <row r="166">
      <c r="A166" s="7">
        <f>IFERROR(__xludf.DUMMYFUNCTION("""COMPUTED_VALUE"""),36808.645833333336)</f>
        <v>36808.64583</v>
      </c>
      <c r="B166" s="3">
        <f>IFERROR(__xludf.DUMMYFUNCTION("""COMPUTED_VALUE"""),1285.05)</f>
        <v>1285.05</v>
      </c>
      <c r="C166" s="3">
        <f>IFERROR(__xludf.DUMMYFUNCTION("""COMPUTED_VALUE"""),1286.35)</f>
        <v>1286.35</v>
      </c>
      <c r="D166" s="3">
        <f>IFERROR(__xludf.DUMMYFUNCTION("""COMPUTED_VALUE"""),1264.2)</f>
        <v>1264.2</v>
      </c>
      <c r="E166" s="3">
        <f>IFERROR(__xludf.DUMMYFUNCTION("""COMPUTED_VALUE"""),1267.3)</f>
        <v>1267.3</v>
      </c>
      <c r="F166" s="3">
        <f>IFERROR(__xludf.DUMMYFUNCTION("""COMPUTED_VALUE"""),0.0)</f>
        <v>0</v>
      </c>
    </row>
    <row r="167">
      <c r="A167" s="7">
        <f>IFERROR(__xludf.DUMMYFUNCTION("""COMPUTED_VALUE"""),36809.645833333336)</f>
        <v>36809.64583</v>
      </c>
      <c r="B167" s="3">
        <f>IFERROR(__xludf.DUMMYFUNCTION("""COMPUTED_VALUE"""),1268.7)</f>
        <v>1268.7</v>
      </c>
      <c r="C167" s="3">
        <f>IFERROR(__xludf.DUMMYFUNCTION("""COMPUTED_VALUE"""),1272.75)</f>
        <v>1272.75</v>
      </c>
      <c r="D167" s="3">
        <f>IFERROR(__xludf.DUMMYFUNCTION("""COMPUTED_VALUE"""),1230.05)</f>
        <v>1230.05</v>
      </c>
      <c r="E167" s="3">
        <f>IFERROR(__xludf.DUMMYFUNCTION("""COMPUTED_VALUE"""),1238.95)</f>
        <v>1238.95</v>
      </c>
      <c r="F167" s="3">
        <f>IFERROR(__xludf.DUMMYFUNCTION("""COMPUTED_VALUE"""),0.0)</f>
        <v>0</v>
      </c>
    </row>
    <row r="168">
      <c r="A168" s="7">
        <f>IFERROR(__xludf.DUMMYFUNCTION("""COMPUTED_VALUE"""),36810.645833333336)</f>
        <v>36810.64583</v>
      </c>
      <c r="B168" s="3">
        <f>IFERROR(__xludf.DUMMYFUNCTION("""COMPUTED_VALUE"""),1232.85)</f>
        <v>1232.85</v>
      </c>
      <c r="C168" s="3">
        <f>IFERROR(__xludf.DUMMYFUNCTION("""COMPUTED_VALUE"""),1234.1)</f>
        <v>1234.1</v>
      </c>
      <c r="D168" s="3">
        <f>IFERROR(__xludf.DUMMYFUNCTION("""COMPUTED_VALUE"""),1193.8)</f>
        <v>1193.8</v>
      </c>
      <c r="E168" s="3">
        <f>IFERROR(__xludf.DUMMYFUNCTION("""COMPUTED_VALUE"""),1201.9)</f>
        <v>1201.9</v>
      </c>
      <c r="F168" s="3">
        <f>IFERROR(__xludf.DUMMYFUNCTION("""COMPUTED_VALUE"""),0.0)</f>
        <v>0</v>
      </c>
    </row>
    <row r="169">
      <c r="A169" s="7">
        <f>IFERROR(__xludf.DUMMYFUNCTION("""COMPUTED_VALUE"""),36811.645833333336)</f>
        <v>36811.64583</v>
      </c>
      <c r="B169" s="3">
        <f>IFERROR(__xludf.DUMMYFUNCTION("""COMPUTED_VALUE"""),1201.3)</f>
        <v>1201.3</v>
      </c>
      <c r="C169" s="3">
        <f>IFERROR(__xludf.DUMMYFUNCTION("""COMPUTED_VALUE"""),1214.35)</f>
        <v>1214.35</v>
      </c>
      <c r="D169" s="3">
        <f>IFERROR(__xludf.DUMMYFUNCTION("""COMPUTED_VALUE"""),1185.1)</f>
        <v>1185.1</v>
      </c>
      <c r="E169" s="3">
        <f>IFERROR(__xludf.DUMMYFUNCTION("""COMPUTED_VALUE"""),1206.25)</f>
        <v>1206.25</v>
      </c>
      <c r="F169" s="3">
        <f>IFERROR(__xludf.DUMMYFUNCTION("""COMPUTED_VALUE"""),0.0)</f>
        <v>0</v>
      </c>
    </row>
    <row r="170">
      <c r="A170" s="7">
        <f>IFERROR(__xludf.DUMMYFUNCTION("""COMPUTED_VALUE"""),36812.645833333336)</f>
        <v>36812.64583</v>
      </c>
      <c r="B170" s="3">
        <f>IFERROR(__xludf.DUMMYFUNCTION("""COMPUTED_VALUE"""),1205.7)</f>
        <v>1205.7</v>
      </c>
      <c r="C170" s="3">
        <f>IFERROR(__xludf.DUMMYFUNCTION("""COMPUTED_VALUE"""),1205.7)</f>
        <v>1205.7</v>
      </c>
      <c r="D170" s="3">
        <f>IFERROR(__xludf.DUMMYFUNCTION("""COMPUTED_VALUE"""),1167.5)</f>
        <v>1167.5</v>
      </c>
      <c r="E170" s="3">
        <f>IFERROR(__xludf.DUMMYFUNCTION("""COMPUTED_VALUE"""),1176.75)</f>
        <v>1176.75</v>
      </c>
      <c r="F170" s="3">
        <f>IFERROR(__xludf.DUMMYFUNCTION("""COMPUTED_VALUE"""),0.0)</f>
        <v>0</v>
      </c>
    </row>
    <row r="171">
      <c r="A171" s="7">
        <f>IFERROR(__xludf.DUMMYFUNCTION("""COMPUTED_VALUE"""),36815.645833333336)</f>
        <v>36815.64583</v>
      </c>
      <c r="B171" s="3">
        <f>IFERROR(__xludf.DUMMYFUNCTION("""COMPUTED_VALUE"""),1177.85)</f>
        <v>1177.85</v>
      </c>
      <c r="C171" s="3">
        <f>IFERROR(__xludf.DUMMYFUNCTION("""COMPUTED_VALUE"""),1228.8)</f>
        <v>1228.8</v>
      </c>
      <c r="D171" s="3">
        <f>IFERROR(__xludf.DUMMYFUNCTION("""COMPUTED_VALUE"""),1173.35)</f>
        <v>1173.35</v>
      </c>
      <c r="E171" s="3">
        <f>IFERROR(__xludf.DUMMYFUNCTION("""COMPUTED_VALUE"""),1175.45)</f>
        <v>1175.45</v>
      </c>
      <c r="F171" s="3">
        <f>IFERROR(__xludf.DUMMYFUNCTION("""COMPUTED_VALUE"""),0.0)</f>
        <v>0</v>
      </c>
    </row>
    <row r="172">
      <c r="A172" s="7">
        <f>IFERROR(__xludf.DUMMYFUNCTION("""COMPUTED_VALUE"""),36816.645833333336)</f>
        <v>36816.64583</v>
      </c>
      <c r="B172" s="3">
        <f>IFERROR(__xludf.DUMMYFUNCTION("""COMPUTED_VALUE"""),1174.3)</f>
        <v>1174.3</v>
      </c>
      <c r="C172" s="3">
        <f>IFERROR(__xludf.DUMMYFUNCTION("""COMPUTED_VALUE"""),1174.3)</f>
        <v>1174.3</v>
      </c>
      <c r="D172" s="3">
        <f>IFERROR(__xludf.DUMMYFUNCTION("""COMPUTED_VALUE"""),1140.6)</f>
        <v>1140.6</v>
      </c>
      <c r="E172" s="3">
        <f>IFERROR(__xludf.DUMMYFUNCTION("""COMPUTED_VALUE"""),1158.05)</f>
        <v>1158.05</v>
      </c>
      <c r="F172" s="3">
        <f>IFERROR(__xludf.DUMMYFUNCTION("""COMPUTED_VALUE"""),0.0)</f>
        <v>0</v>
      </c>
    </row>
    <row r="173">
      <c r="A173" s="7">
        <f>IFERROR(__xludf.DUMMYFUNCTION("""COMPUTED_VALUE"""),36817.645833333336)</f>
        <v>36817.64583</v>
      </c>
      <c r="B173" s="3">
        <f>IFERROR(__xludf.DUMMYFUNCTION("""COMPUTED_VALUE"""),1157.05)</f>
        <v>1157.05</v>
      </c>
      <c r="C173" s="3">
        <f>IFERROR(__xludf.DUMMYFUNCTION("""COMPUTED_VALUE"""),1157.05)</f>
        <v>1157.05</v>
      </c>
      <c r="D173" s="3">
        <f>IFERROR(__xludf.DUMMYFUNCTION("""COMPUTED_VALUE"""),1122.8)</f>
        <v>1122.8</v>
      </c>
      <c r="E173" s="3">
        <f>IFERROR(__xludf.DUMMYFUNCTION("""COMPUTED_VALUE"""),1136.0)</f>
        <v>1136</v>
      </c>
      <c r="F173" s="3">
        <f>IFERROR(__xludf.DUMMYFUNCTION("""COMPUTED_VALUE"""),0.0)</f>
        <v>0</v>
      </c>
    </row>
    <row r="174">
      <c r="A174" s="7">
        <f>IFERROR(__xludf.DUMMYFUNCTION("""COMPUTED_VALUE"""),36818.645833333336)</f>
        <v>36818.64583</v>
      </c>
      <c r="B174" s="3">
        <f>IFERROR(__xludf.DUMMYFUNCTION("""COMPUTED_VALUE"""),1135.65)</f>
        <v>1135.65</v>
      </c>
      <c r="C174" s="3">
        <f>IFERROR(__xludf.DUMMYFUNCTION("""COMPUTED_VALUE"""),1171.5)</f>
        <v>1171.5</v>
      </c>
      <c r="D174" s="3">
        <f>IFERROR(__xludf.DUMMYFUNCTION("""COMPUTED_VALUE"""),1108.2)</f>
        <v>1108.2</v>
      </c>
      <c r="E174" s="3">
        <f>IFERROR(__xludf.DUMMYFUNCTION("""COMPUTED_VALUE"""),1166.15)</f>
        <v>1166.15</v>
      </c>
      <c r="F174" s="3">
        <f>IFERROR(__xludf.DUMMYFUNCTION("""COMPUTED_VALUE"""),0.0)</f>
        <v>0</v>
      </c>
    </row>
    <row r="175">
      <c r="A175" s="7">
        <f>IFERROR(__xludf.DUMMYFUNCTION("""COMPUTED_VALUE"""),36819.645833333336)</f>
        <v>36819.64583</v>
      </c>
      <c r="B175" s="3">
        <f>IFERROR(__xludf.DUMMYFUNCTION("""COMPUTED_VALUE"""),1166.2)</f>
        <v>1166.2</v>
      </c>
      <c r="C175" s="3">
        <f>IFERROR(__xludf.DUMMYFUNCTION("""COMPUTED_VALUE"""),1202.7)</f>
        <v>1202.7</v>
      </c>
      <c r="D175" s="3">
        <f>IFERROR(__xludf.DUMMYFUNCTION("""COMPUTED_VALUE"""),1166.2)</f>
        <v>1166.2</v>
      </c>
      <c r="E175" s="3">
        <f>IFERROR(__xludf.DUMMYFUNCTION("""COMPUTED_VALUE"""),1172.0)</f>
        <v>1172</v>
      </c>
      <c r="F175" s="3">
        <f>IFERROR(__xludf.DUMMYFUNCTION("""COMPUTED_VALUE"""),0.0)</f>
        <v>0</v>
      </c>
    </row>
    <row r="176">
      <c r="A176" s="7">
        <f>IFERROR(__xludf.DUMMYFUNCTION("""COMPUTED_VALUE"""),36822.645833333336)</f>
        <v>36822.64583</v>
      </c>
      <c r="B176" s="3">
        <f>IFERROR(__xludf.DUMMYFUNCTION("""COMPUTED_VALUE"""),1171.75)</f>
        <v>1171.75</v>
      </c>
      <c r="C176" s="3">
        <f>IFERROR(__xludf.DUMMYFUNCTION("""COMPUTED_VALUE"""),1172.15)</f>
        <v>1172.15</v>
      </c>
      <c r="D176" s="3">
        <f>IFERROR(__xludf.DUMMYFUNCTION("""COMPUTED_VALUE"""),1141.45)</f>
        <v>1141.45</v>
      </c>
      <c r="E176" s="3">
        <f>IFERROR(__xludf.DUMMYFUNCTION("""COMPUTED_VALUE"""),1143.95)</f>
        <v>1143.95</v>
      </c>
      <c r="F176" s="3">
        <f>IFERROR(__xludf.DUMMYFUNCTION("""COMPUTED_VALUE"""),0.0)</f>
        <v>0</v>
      </c>
    </row>
    <row r="177">
      <c r="A177" s="7">
        <f>IFERROR(__xludf.DUMMYFUNCTION("""COMPUTED_VALUE"""),36823.645833333336)</f>
        <v>36823.64583</v>
      </c>
      <c r="B177" s="3">
        <f>IFERROR(__xludf.DUMMYFUNCTION("""COMPUTED_VALUE"""),1143.0)</f>
        <v>1143</v>
      </c>
      <c r="C177" s="3">
        <f>IFERROR(__xludf.DUMMYFUNCTION("""COMPUTED_VALUE"""),1155.35)</f>
        <v>1155.35</v>
      </c>
      <c r="D177" s="3">
        <f>IFERROR(__xludf.DUMMYFUNCTION("""COMPUTED_VALUE"""),1132.9)</f>
        <v>1132.9</v>
      </c>
      <c r="E177" s="3">
        <f>IFERROR(__xludf.DUMMYFUNCTION("""COMPUTED_VALUE"""),1152.45)</f>
        <v>1152.45</v>
      </c>
      <c r="F177" s="3">
        <f>IFERROR(__xludf.DUMMYFUNCTION("""COMPUTED_VALUE"""),0.0)</f>
        <v>0</v>
      </c>
    </row>
    <row r="178">
      <c r="A178" s="7">
        <f>IFERROR(__xludf.DUMMYFUNCTION("""COMPUTED_VALUE"""),36824.645833333336)</f>
        <v>36824.64583</v>
      </c>
      <c r="B178" s="3">
        <f>IFERROR(__xludf.DUMMYFUNCTION("""COMPUTED_VALUE"""),1158.2)</f>
        <v>1158.2</v>
      </c>
      <c r="C178" s="3">
        <f>IFERROR(__xludf.DUMMYFUNCTION("""COMPUTED_VALUE"""),1190.4)</f>
        <v>1190.4</v>
      </c>
      <c r="D178" s="3">
        <f>IFERROR(__xludf.DUMMYFUNCTION("""COMPUTED_VALUE"""),1157.25)</f>
        <v>1157.25</v>
      </c>
      <c r="E178" s="3">
        <f>IFERROR(__xludf.DUMMYFUNCTION("""COMPUTED_VALUE"""),1183.9)</f>
        <v>1183.9</v>
      </c>
      <c r="F178" s="3">
        <f>IFERROR(__xludf.DUMMYFUNCTION("""COMPUTED_VALUE"""),0.0)</f>
        <v>0</v>
      </c>
    </row>
    <row r="179">
      <c r="A179" s="7">
        <f>IFERROR(__xludf.DUMMYFUNCTION("""COMPUTED_VALUE"""),36825.645833333336)</f>
        <v>36825.64583</v>
      </c>
      <c r="B179" s="3">
        <f>IFERROR(__xludf.DUMMYFUNCTION("""COMPUTED_VALUE"""),1182.8)</f>
        <v>1182.8</v>
      </c>
      <c r="C179" s="3">
        <f>IFERROR(__xludf.DUMMYFUNCTION("""COMPUTED_VALUE"""),1188.2)</f>
        <v>1188.2</v>
      </c>
      <c r="D179" s="3">
        <f>IFERROR(__xludf.DUMMYFUNCTION("""COMPUTED_VALUE"""),1176.6)</f>
        <v>1176.6</v>
      </c>
      <c r="E179" s="3">
        <f>IFERROR(__xludf.DUMMYFUNCTION("""COMPUTED_VALUE"""),1186.3)</f>
        <v>1186.3</v>
      </c>
      <c r="F179" s="3">
        <f>IFERROR(__xludf.DUMMYFUNCTION("""COMPUTED_VALUE"""),0.0)</f>
        <v>0</v>
      </c>
    </row>
    <row r="180">
      <c r="A180" s="7">
        <f>IFERROR(__xludf.DUMMYFUNCTION("""COMPUTED_VALUE"""),36826.645833333336)</f>
        <v>36826.64583</v>
      </c>
      <c r="B180" s="3">
        <f>IFERROR(__xludf.DUMMYFUNCTION("""COMPUTED_VALUE"""),1186.95)</f>
        <v>1186.95</v>
      </c>
      <c r="C180" s="3">
        <f>IFERROR(__xludf.DUMMYFUNCTION("""COMPUTED_VALUE"""),1192.9)</f>
        <v>1192.9</v>
      </c>
      <c r="D180" s="3">
        <f>IFERROR(__xludf.DUMMYFUNCTION("""COMPUTED_VALUE"""),1171.85)</f>
        <v>1171.85</v>
      </c>
      <c r="E180" s="3">
        <f>IFERROR(__xludf.DUMMYFUNCTION("""COMPUTED_VALUE"""),1178.7)</f>
        <v>1178.7</v>
      </c>
      <c r="F180" s="3">
        <f>IFERROR(__xludf.DUMMYFUNCTION("""COMPUTED_VALUE"""),0.0)</f>
        <v>0</v>
      </c>
    </row>
    <row r="181">
      <c r="A181" s="7">
        <f>IFERROR(__xludf.DUMMYFUNCTION("""COMPUTED_VALUE"""),36829.645833333336)</f>
        <v>36829.64583</v>
      </c>
      <c r="B181" s="3">
        <f>IFERROR(__xludf.DUMMYFUNCTION("""COMPUTED_VALUE"""),1178.75)</f>
        <v>1178.75</v>
      </c>
      <c r="C181" s="3">
        <f>IFERROR(__xludf.DUMMYFUNCTION("""COMPUTED_VALUE"""),1185.8)</f>
        <v>1185.8</v>
      </c>
      <c r="D181" s="3">
        <f>IFERROR(__xludf.DUMMYFUNCTION("""COMPUTED_VALUE"""),1164.25)</f>
        <v>1164.25</v>
      </c>
      <c r="E181" s="3">
        <f>IFERROR(__xludf.DUMMYFUNCTION("""COMPUTED_VALUE"""),1167.15)</f>
        <v>1167.15</v>
      </c>
      <c r="F181" s="3">
        <f>IFERROR(__xludf.DUMMYFUNCTION("""COMPUTED_VALUE"""),0.0)</f>
        <v>0</v>
      </c>
    </row>
    <row r="182">
      <c r="A182" s="7">
        <f>IFERROR(__xludf.DUMMYFUNCTION("""COMPUTED_VALUE"""),36830.645833333336)</f>
        <v>36830.64583</v>
      </c>
      <c r="B182" s="3">
        <f>IFERROR(__xludf.DUMMYFUNCTION("""COMPUTED_VALUE"""),1167.2)</f>
        <v>1167.2</v>
      </c>
      <c r="C182" s="3">
        <f>IFERROR(__xludf.DUMMYFUNCTION("""COMPUTED_VALUE"""),1175.6)</f>
        <v>1175.6</v>
      </c>
      <c r="D182" s="3">
        <f>IFERROR(__xludf.DUMMYFUNCTION("""COMPUTED_VALUE"""),1155.15)</f>
        <v>1155.15</v>
      </c>
      <c r="E182" s="3">
        <f>IFERROR(__xludf.DUMMYFUNCTION("""COMPUTED_VALUE"""),1172.75)</f>
        <v>1172.75</v>
      </c>
      <c r="F182" s="3">
        <f>IFERROR(__xludf.DUMMYFUNCTION("""COMPUTED_VALUE"""),0.0)</f>
        <v>0</v>
      </c>
    </row>
    <row r="183">
      <c r="A183" s="7">
        <f>IFERROR(__xludf.DUMMYFUNCTION("""COMPUTED_VALUE"""),36831.645833333336)</f>
        <v>36831.64583</v>
      </c>
      <c r="B183" s="3">
        <f>IFERROR(__xludf.DUMMYFUNCTION("""COMPUTED_VALUE"""),1178.25)</f>
        <v>1178.25</v>
      </c>
      <c r="C183" s="3">
        <f>IFERROR(__xludf.DUMMYFUNCTION("""COMPUTED_VALUE"""),1203.85)</f>
        <v>1203.85</v>
      </c>
      <c r="D183" s="3">
        <f>IFERROR(__xludf.DUMMYFUNCTION("""COMPUTED_VALUE"""),1177.1)</f>
        <v>1177.1</v>
      </c>
      <c r="E183" s="3">
        <f>IFERROR(__xludf.DUMMYFUNCTION("""COMPUTED_VALUE"""),1200.8)</f>
        <v>1200.8</v>
      </c>
      <c r="F183" s="3">
        <f>IFERROR(__xludf.DUMMYFUNCTION("""COMPUTED_VALUE"""),0.0)</f>
        <v>0</v>
      </c>
    </row>
    <row r="184">
      <c r="A184" s="7">
        <f>IFERROR(__xludf.DUMMYFUNCTION("""COMPUTED_VALUE"""),36832.645833333336)</f>
        <v>36832.64583</v>
      </c>
      <c r="B184" s="3">
        <f>IFERROR(__xludf.DUMMYFUNCTION("""COMPUTED_VALUE"""),1201.25)</f>
        <v>1201.25</v>
      </c>
      <c r="C184" s="3">
        <f>IFERROR(__xludf.DUMMYFUNCTION("""COMPUTED_VALUE"""),1226.35)</f>
        <v>1226.35</v>
      </c>
      <c r="D184" s="3">
        <f>IFERROR(__xludf.DUMMYFUNCTION("""COMPUTED_VALUE"""),1199.75)</f>
        <v>1199.75</v>
      </c>
      <c r="E184" s="3">
        <f>IFERROR(__xludf.DUMMYFUNCTION("""COMPUTED_VALUE"""),1224.85)</f>
        <v>1224.85</v>
      </c>
      <c r="F184" s="3">
        <f>IFERROR(__xludf.DUMMYFUNCTION("""COMPUTED_VALUE"""),0.0)</f>
        <v>0</v>
      </c>
    </row>
    <row r="185">
      <c r="A185" s="7">
        <f>IFERROR(__xludf.DUMMYFUNCTION("""COMPUTED_VALUE"""),36833.645833333336)</f>
        <v>36833.64583</v>
      </c>
      <c r="B185" s="3">
        <f>IFERROR(__xludf.DUMMYFUNCTION("""COMPUTED_VALUE"""),1225.0)</f>
        <v>1225</v>
      </c>
      <c r="C185" s="3">
        <f>IFERROR(__xludf.DUMMYFUNCTION("""COMPUTED_VALUE"""),1249.2)</f>
        <v>1249.2</v>
      </c>
      <c r="D185" s="3">
        <f>IFERROR(__xludf.DUMMYFUNCTION("""COMPUTED_VALUE"""),1225.0)</f>
        <v>1225</v>
      </c>
      <c r="E185" s="3">
        <f>IFERROR(__xludf.DUMMYFUNCTION("""COMPUTED_VALUE"""),1242.05)</f>
        <v>1242.05</v>
      </c>
      <c r="F185" s="3">
        <f>IFERROR(__xludf.DUMMYFUNCTION("""COMPUTED_VALUE"""),0.0)</f>
        <v>0</v>
      </c>
    </row>
    <row r="186">
      <c r="A186" s="7">
        <f>IFERROR(__xludf.DUMMYFUNCTION("""COMPUTED_VALUE"""),36836.645833333336)</f>
        <v>36836.64583</v>
      </c>
      <c r="B186" s="3">
        <f>IFERROR(__xludf.DUMMYFUNCTION("""COMPUTED_VALUE"""),1242.15)</f>
        <v>1242.15</v>
      </c>
      <c r="C186" s="3">
        <f>IFERROR(__xludf.DUMMYFUNCTION("""COMPUTED_VALUE"""),1261.4)</f>
        <v>1261.4</v>
      </c>
      <c r="D186" s="3">
        <f>IFERROR(__xludf.DUMMYFUNCTION("""COMPUTED_VALUE"""),1236.65)</f>
        <v>1236.65</v>
      </c>
      <c r="E186" s="3">
        <f>IFERROR(__xludf.DUMMYFUNCTION("""COMPUTED_VALUE"""),1240.25)</f>
        <v>1240.25</v>
      </c>
      <c r="F186" s="3">
        <f>IFERROR(__xludf.DUMMYFUNCTION("""COMPUTED_VALUE"""),0.0)</f>
        <v>0</v>
      </c>
    </row>
    <row r="187">
      <c r="A187" s="7">
        <f>IFERROR(__xludf.DUMMYFUNCTION("""COMPUTED_VALUE"""),36837.645833333336)</f>
        <v>36837.64583</v>
      </c>
      <c r="B187" s="3">
        <f>IFERROR(__xludf.DUMMYFUNCTION("""COMPUTED_VALUE"""),1239.0)</f>
        <v>1239</v>
      </c>
      <c r="C187" s="3">
        <f>IFERROR(__xludf.DUMMYFUNCTION("""COMPUTED_VALUE"""),1249.1)</f>
        <v>1249.1</v>
      </c>
      <c r="D187" s="3">
        <f>IFERROR(__xludf.DUMMYFUNCTION("""COMPUTED_VALUE"""),1232.35)</f>
        <v>1232.35</v>
      </c>
      <c r="E187" s="3">
        <f>IFERROR(__xludf.DUMMYFUNCTION("""COMPUTED_VALUE"""),1246.75)</f>
        <v>1246.75</v>
      </c>
      <c r="F187" s="3">
        <f>IFERROR(__xludf.DUMMYFUNCTION("""COMPUTED_VALUE"""),0.0)</f>
        <v>0</v>
      </c>
    </row>
    <row r="188">
      <c r="A188" s="7">
        <f>IFERROR(__xludf.DUMMYFUNCTION("""COMPUTED_VALUE"""),36838.645833333336)</f>
        <v>36838.64583</v>
      </c>
      <c r="B188" s="3">
        <f>IFERROR(__xludf.DUMMYFUNCTION("""COMPUTED_VALUE"""),1246.65)</f>
        <v>1246.65</v>
      </c>
      <c r="C188" s="3">
        <f>IFERROR(__xludf.DUMMYFUNCTION("""COMPUTED_VALUE"""),1277.25)</f>
        <v>1277.25</v>
      </c>
      <c r="D188" s="3">
        <f>IFERROR(__xludf.DUMMYFUNCTION("""COMPUTED_VALUE"""),1246.65)</f>
        <v>1246.65</v>
      </c>
      <c r="E188" s="3">
        <f>IFERROR(__xludf.DUMMYFUNCTION("""COMPUTED_VALUE"""),1266.8)</f>
        <v>1266.8</v>
      </c>
      <c r="F188" s="3">
        <f>IFERROR(__xludf.DUMMYFUNCTION("""COMPUTED_VALUE"""),0.0)</f>
        <v>0</v>
      </c>
    </row>
    <row r="189">
      <c r="A189" s="7">
        <f>IFERROR(__xludf.DUMMYFUNCTION("""COMPUTED_VALUE"""),36839.645833333336)</f>
        <v>36839.64583</v>
      </c>
      <c r="B189" s="3">
        <f>IFERROR(__xludf.DUMMYFUNCTION("""COMPUTED_VALUE"""),1266.75)</f>
        <v>1266.75</v>
      </c>
      <c r="C189" s="3">
        <f>IFERROR(__xludf.DUMMYFUNCTION("""COMPUTED_VALUE"""),1275.55)</f>
        <v>1275.55</v>
      </c>
      <c r="D189" s="3">
        <f>IFERROR(__xludf.DUMMYFUNCTION("""COMPUTED_VALUE"""),1255.95)</f>
        <v>1255.95</v>
      </c>
      <c r="E189" s="3">
        <f>IFERROR(__xludf.DUMMYFUNCTION("""COMPUTED_VALUE"""),1269.95)</f>
        <v>1269.95</v>
      </c>
      <c r="F189" s="3">
        <f>IFERROR(__xludf.DUMMYFUNCTION("""COMPUTED_VALUE"""),0.0)</f>
        <v>0</v>
      </c>
    </row>
    <row r="190">
      <c r="A190" s="7">
        <f>IFERROR(__xludf.DUMMYFUNCTION("""COMPUTED_VALUE"""),36840.645833333336)</f>
        <v>36840.64583</v>
      </c>
      <c r="B190" s="3">
        <f>IFERROR(__xludf.DUMMYFUNCTION("""COMPUTED_VALUE"""),1271.35)</f>
        <v>1271.35</v>
      </c>
      <c r="C190" s="3">
        <f>IFERROR(__xludf.DUMMYFUNCTION("""COMPUTED_VALUE"""),1271.4)</f>
        <v>1271.4</v>
      </c>
      <c r="D190" s="3">
        <f>IFERROR(__xludf.DUMMYFUNCTION("""COMPUTED_VALUE"""),1237.5)</f>
        <v>1237.5</v>
      </c>
      <c r="E190" s="3">
        <f>IFERROR(__xludf.DUMMYFUNCTION("""COMPUTED_VALUE"""),1239.55)</f>
        <v>1239.55</v>
      </c>
      <c r="F190" s="3">
        <f>IFERROR(__xludf.DUMMYFUNCTION("""COMPUTED_VALUE"""),0.0)</f>
        <v>0</v>
      </c>
    </row>
    <row r="191">
      <c r="A191" s="7">
        <f>IFERROR(__xludf.DUMMYFUNCTION("""COMPUTED_VALUE"""),36843.645833333336)</f>
        <v>36843.64583</v>
      </c>
      <c r="B191" s="3">
        <f>IFERROR(__xludf.DUMMYFUNCTION("""COMPUTED_VALUE"""),1239.35)</f>
        <v>1239.35</v>
      </c>
      <c r="C191" s="3">
        <f>IFERROR(__xludf.DUMMYFUNCTION("""COMPUTED_VALUE"""),1239.35)</f>
        <v>1239.35</v>
      </c>
      <c r="D191" s="3">
        <f>IFERROR(__xludf.DUMMYFUNCTION("""COMPUTED_VALUE"""),1199.95)</f>
        <v>1199.95</v>
      </c>
      <c r="E191" s="3">
        <f>IFERROR(__xludf.DUMMYFUNCTION("""COMPUTED_VALUE"""),1208.05)</f>
        <v>1208.05</v>
      </c>
      <c r="F191" s="3">
        <f>IFERROR(__xludf.DUMMYFUNCTION("""COMPUTED_VALUE"""),0.0)</f>
        <v>0</v>
      </c>
    </row>
    <row r="192">
      <c r="A192" s="7">
        <f>IFERROR(__xludf.DUMMYFUNCTION("""COMPUTED_VALUE"""),36844.645833333336)</f>
        <v>36844.64583</v>
      </c>
      <c r="B192" s="3">
        <f>IFERROR(__xludf.DUMMYFUNCTION("""COMPUTED_VALUE"""),1207.2)</f>
        <v>1207.2</v>
      </c>
      <c r="C192" s="3">
        <f>IFERROR(__xludf.DUMMYFUNCTION("""COMPUTED_VALUE"""),1246.9)</f>
        <v>1246.9</v>
      </c>
      <c r="D192" s="3">
        <f>IFERROR(__xludf.DUMMYFUNCTION("""COMPUTED_VALUE"""),1207.05)</f>
        <v>1207.05</v>
      </c>
      <c r="E192" s="3">
        <f>IFERROR(__xludf.DUMMYFUNCTION("""COMPUTED_VALUE"""),1242.85)</f>
        <v>1242.85</v>
      </c>
      <c r="F192" s="3">
        <f>IFERROR(__xludf.DUMMYFUNCTION("""COMPUTED_VALUE"""),0.0)</f>
        <v>0</v>
      </c>
    </row>
    <row r="193">
      <c r="A193" s="7">
        <f>IFERROR(__xludf.DUMMYFUNCTION("""COMPUTED_VALUE"""),36845.645833333336)</f>
        <v>36845.64583</v>
      </c>
      <c r="B193" s="3">
        <f>IFERROR(__xludf.DUMMYFUNCTION("""COMPUTED_VALUE"""),1245.0)</f>
        <v>1245</v>
      </c>
      <c r="C193" s="3">
        <f>IFERROR(__xludf.DUMMYFUNCTION("""COMPUTED_VALUE"""),1270.1)</f>
        <v>1270.1</v>
      </c>
      <c r="D193" s="3">
        <f>IFERROR(__xludf.DUMMYFUNCTION("""COMPUTED_VALUE"""),1243.2)</f>
        <v>1243.2</v>
      </c>
      <c r="E193" s="3">
        <f>IFERROR(__xludf.DUMMYFUNCTION("""COMPUTED_VALUE"""),1247.05)</f>
        <v>1247.05</v>
      </c>
      <c r="F193" s="3">
        <f>IFERROR(__xludf.DUMMYFUNCTION("""COMPUTED_VALUE"""),0.0)</f>
        <v>0</v>
      </c>
    </row>
    <row r="194">
      <c r="A194" s="7">
        <f>IFERROR(__xludf.DUMMYFUNCTION("""COMPUTED_VALUE"""),36846.645833333336)</f>
        <v>36846.64583</v>
      </c>
      <c r="B194" s="3">
        <f>IFERROR(__xludf.DUMMYFUNCTION("""COMPUTED_VALUE"""),1246.6)</f>
        <v>1246.6</v>
      </c>
      <c r="C194" s="3">
        <f>IFERROR(__xludf.DUMMYFUNCTION("""COMPUTED_VALUE"""),1254.55)</f>
        <v>1254.55</v>
      </c>
      <c r="D194" s="3">
        <f>IFERROR(__xludf.DUMMYFUNCTION("""COMPUTED_VALUE"""),1228.6)</f>
        <v>1228.6</v>
      </c>
      <c r="E194" s="3">
        <f>IFERROR(__xludf.DUMMYFUNCTION("""COMPUTED_VALUE"""),1233.25)</f>
        <v>1233.25</v>
      </c>
      <c r="F194" s="3">
        <f>IFERROR(__xludf.DUMMYFUNCTION("""COMPUTED_VALUE"""),0.0)</f>
        <v>0</v>
      </c>
    </row>
    <row r="195">
      <c r="A195" s="7">
        <f>IFERROR(__xludf.DUMMYFUNCTION("""COMPUTED_VALUE"""),36847.645833333336)</f>
        <v>36847.64583</v>
      </c>
      <c r="B195" s="3">
        <f>IFERROR(__xludf.DUMMYFUNCTION("""COMPUTED_VALUE"""),1232.35)</f>
        <v>1232.35</v>
      </c>
      <c r="C195" s="3">
        <f>IFERROR(__xludf.DUMMYFUNCTION("""COMPUTED_VALUE"""),1238.0)</f>
        <v>1238</v>
      </c>
      <c r="D195" s="3">
        <f>IFERROR(__xludf.DUMMYFUNCTION("""COMPUTED_VALUE"""),1216.9)</f>
        <v>1216.9</v>
      </c>
      <c r="E195" s="3">
        <f>IFERROR(__xludf.DUMMYFUNCTION("""COMPUTED_VALUE"""),1236.0)</f>
        <v>1236</v>
      </c>
      <c r="F195" s="3">
        <f>IFERROR(__xludf.DUMMYFUNCTION("""COMPUTED_VALUE"""),0.0)</f>
        <v>0</v>
      </c>
    </row>
    <row r="196">
      <c r="A196" s="7">
        <f>IFERROR(__xludf.DUMMYFUNCTION("""COMPUTED_VALUE"""),36850.645833333336)</f>
        <v>36850.64583</v>
      </c>
      <c r="B196" s="3">
        <f>IFERROR(__xludf.DUMMYFUNCTION("""COMPUTED_VALUE"""),1236.0)</f>
        <v>1236</v>
      </c>
      <c r="C196" s="3">
        <f>IFERROR(__xludf.DUMMYFUNCTION("""COMPUTED_VALUE"""),1241.75)</f>
        <v>1241.75</v>
      </c>
      <c r="D196" s="3">
        <f>IFERROR(__xludf.DUMMYFUNCTION("""COMPUTED_VALUE"""),1231.05)</f>
        <v>1231.05</v>
      </c>
      <c r="E196" s="3">
        <f>IFERROR(__xludf.DUMMYFUNCTION("""COMPUTED_VALUE"""),1237.6)</f>
        <v>1237.6</v>
      </c>
      <c r="F196" s="3">
        <f>IFERROR(__xludf.DUMMYFUNCTION("""COMPUTED_VALUE"""),0.0)</f>
        <v>0</v>
      </c>
    </row>
    <row r="197">
      <c r="A197" s="7">
        <f>IFERROR(__xludf.DUMMYFUNCTION("""COMPUTED_VALUE"""),36851.645833333336)</f>
        <v>36851.64583</v>
      </c>
      <c r="B197" s="3">
        <f>IFERROR(__xludf.DUMMYFUNCTION("""COMPUTED_VALUE"""),1236.95)</f>
        <v>1236.95</v>
      </c>
      <c r="C197" s="3">
        <f>IFERROR(__xludf.DUMMYFUNCTION("""COMPUTED_VALUE"""),1237.85)</f>
        <v>1237.85</v>
      </c>
      <c r="D197" s="3">
        <f>IFERROR(__xludf.DUMMYFUNCTION("""COMPUTED_VALUE"""),1224.3)</f>
        <v>1224.3</v>
      </c>
      <c r="E197" s="3">
        <f>IFERROR(__xludf.DUMMYFUNCTION("""COMPUTED_VALUE"""),1235.0)</f>
        <v>1235</v>
      </c>
      <c r="F197" s="3">
        <f>IFERROR(__xludf.DUMMYFUNCTION("""COMPUTED_VALUE"""),0.0)</f>
        <v>0</v>
      </c>
    </row>
    <row r="198">
      <c r="A198" s="7">
        <f>IFERROR(__xludf.DUMMYFUNCTION("""COMPUTED_VALUE"""),36852.645833333336)</f>
        <v>36852.64583</v>
      </c>
      <c r="B198" s="3">
        <f>IFERROR(__xludf.DUMMYFUNCTION("""COMPUTED_VALUE"""),1235.85)</f>
        <v>1235.85</v>
      </c>
      <c r="C198" s="3">
        <f>IFERROR(__xludf.DUMMYFUNCTION("""COMPUTED_VALUE"""),1247.5)</f>
        <v>1247.5</v>
      </c>
      <c r="D198" s="3">
        <f>IFERROR(__xludf.DUMMYFUNCTION("""COMPUTED_VALUE"""),1220.05)</f>
        <v>1220.05</v>
      </c>
      <c r="E198" s="3">
        <f>IFERROR(__xludf.DUMMYFUNCTION("""COMPUTED_VALUE"""),1222.35)</f>
        <v>1222.35</v>
      </c>
      <c r="F198" s="3">
        <f>IFERROR(__xludf.DUMMYFUNCTION("""COMPUTED_VALUE"""),0.0)</f>
        <v>0</v>
      </c>
    </row>
    <row r="199">
      <c r="A199" s="7">
        <f>IFERROR(__xludf.DUMMYFUNCTION("""COMPUTED_VALUE"""),36853.645833333336)</f>
        <v>36853.64583</v>
      </c>
      <c r="B199" s="3">
        <f>IFERROR(__xludf.DUMMYFUNCTION("""COMPUTED_VALUE"""),1221.2)</f>
        <v>1221.2</v>
      </c>
      <c r="C199" s="3">
        <f>IFERROR(__xludf.DUMMYFUNCTION("""COMPUTED_VALUE"""),1223.05)</f>
        <v>1223.05</v>
      </c>
      <c r="D199" s="3">
        <f>IFERROR(__xludf.DUMMYFUNCTION("""COMPUTED_VALUE"""),1209.85)</f>
        <v>1209.85</v>
      </c>
      <c r="E199" s="3">
        <f>IFERROR(__xludf.DUMMYFUNCTION("""COMPUTED_VALUE"""),1216.0)</f>
        <v>1216</v>
      </c>
      <c r="F199" s="3">
        <f>IFERROR(__xludf.DUMMYFUNCTION("""COMPUTED_VALUE"""),0.0)</f>
        <v>0</v>
      </c>
    </row>
    <row r="200">
      <c r="A200" s="7">
        <f>IFERROR(__xludf.DUMMYFUNCTION("""COMPUTED_VALUE"""),36854.645833333336)</f>
        <v>36854.64583</v>
      </c>
      <c r="B200" s="3">
        <f>IFERROR(__xludf.DUMMYFUNCTION("""COMPUTED_VALUE"""),1216.05)</f>
        <v>1216.05</v>
      </c>
      <c r="C200" s="3">
        <f>IFERROR(__xludf.DUMMYFUNCTION("""COMPUTED_VALUE"""),1230.0)</f>
        <v>1230</v>
      </c>
      <c r="D200" s="3">
        <f>IFERROR(__xludf.DUMMYFUNCTION("""COMPUTED_VALUE"""),1216.05)</f>
        <v>1216.05</v>
      </c>
      <c r="E200" s="3">
        <f>IFERROR(__xludf.DUMMYFUNCTION("""COMPUTED_VALUE"""),1225.2)</f>
        <v>1225.2</v>
      </c>
      <c r="F200" s="3">
        <f>IFERROR(__xludf.DUMMYFUNCTION("""COMPUTED_VALUE"""),0.0)</f>
        <v>0</v>
      </c>
    </row>
    <row r="201">
      <c r="A201" s="7">
        <f>IFERROR(__xludf.DUMMYFUNCTION("""COMPUTED_VALUE"""),36857.645833333336)</f>
        <v>36857.64583</v>
      </c>
      <c r="B201" s="3">
        <f>IFERROR(__xludf.DUMMYFUNCTION("""COMPUTED_VALUE"""),1225.4)</f>
        <v>1225.4</v>
      </c>
      <c r="C201" s="3">
        <f>IFERROR(__xludf.DUMMYFUNCTION("""COMPUTED_VALUE"""),1254.45)</f>
        <v>1254.45</v>
      </c>
      <c r="D201" s="3">
        <f>IFERROR(__xludf.DUMMYFUNCTION("""COMPUTED_VALUE"""),1225.35)</f>
        <v>1225.35</v>
      </c>
      <c r="E201" s="3">
        <f>IFERROR(__xludf.DUMMYFUNCTION("""COMPUTED_VALUE"""),1252.9)</f>
        <v>1252.9</v>
      </c>
      <c r="F201" s="3">
        <f>IFERROR(__xludf.DUMMYFUNCTION("""COMPUTED_VALUE"""),0.0)</f>
        <v>0</v>
      </c>
    </row>
    <row r="202">
      <c r="A202" s="7">
        <f>IFERROR(__xludf.DUMMYFUNCTION("""COMPUTED_VALUE"""),36858.645833333336)</f>
        <v>36858.64583</v>
      </c>
      <c r="B202" s="3">
        <f>IFERROR(__xludf.DUMMYFUNCTION("""COMPUTED_VALUE"""),1252.9)</f>
        <v>1252.9</v>
      </c>
      <c r="C202" s="3">
        <f>IFERROR(__xludf.DUMMYFUNCTION("""COMPUTED_VALUE"""),1275.45)</f>
        <v>1275.45</v>
      </c>
      <c r="D202" s="3">
        <f>IFERROR(__xludf.DUMMYFUNCTION("""COMPUTED_VALUE"""),1248.9)</f>
        <v>1248.9</v>
      </c>
      <c r="E202" s="3">
        <f>IFERROR(__xludf.DUMMYFUNCTION("""COMPUTED_VALUE"""),1272.75)</f>
        <v>1272.75</v>
      </c>
      <c r="F202" s="3">
        <f>IFERROR(__xludf.DUMMYFUNCTION("""COMPUTED_VALUE"""),0.0)</f>
        <v>0</v>
      </c>
    </row>
    <row r="203">
      <c r="A203" s="7">
        <f>IFERROR(__xludf.DUMMYFUNCTION("""COMPUTED_VALUE"""),36859.645833333336)</f>
        <v>36859.64583</v>
      </c>
      <c r="B203" s="3">
        <f>IFERROR(__xludf.DUMMYFUNCTION("""COMPUTED_VALUE"""),1272.25)</f>
        <v>1272.25</v>
      </c>
      <c r="C203" s="3">
        <f>IFERROR(__xludf.DUMMYFUNCTION("""COMPUTED_VALUE"""),1281.0)</f>
        <v>1281</v>
      </c>
      <c r="D203" s="3">
        <f>IFERROR(__xludf.DUMMYFUNCTION("""COMPUTED_VALUE"""),1253.45)</f>
        <v>1253.45</v>
      </c>
      <c r="E203" s="3">
        <f>IFERROR(__xludf.DUMMYFUNCTION("""COMPUTED_VALUE"""),1264.75)</f>
        <v>1264.75</v>
      </c>
      <c r="F203" s="3">
        <f>IFERROR(__xludf.DUMMYFUNCTION("""COMPUTED_VALUE"""),0.0)</f>
        <v>0</v>
      </c>
    </row>
    <row r="204">
      <c r="A204" s="7">
        <f>IFERROR(__xludf.DUMMYFUNCTION("""COMPUTED_VALUE"""),36860.645833333336)</f>
        <v>36860.64583</v>
      </c>
      <c r="B204" s="3">
        <f>IFERROR(__xludf.DUMMYFUNCTION("""COMPUTED_VALUE"""),1264.75)</f>
        <v>1264.75</v>
      </c>
      <c r="C204" s="3">
        <f>IFERROR(__xludf.DUMMYFUNCTION("""COMPUTED_VALUE"""),1272.1)</f>
        <v>1272.1</v>
      </c>
      <c r="D204" s="3">
        <f>IFERROR(__xludf.DUMMYFUNCTION("""COMPUTED_VALUE"""),1258.4)</f>
        <v>1258.4</v>
      </c>
      <c r="E204" s="3">
        <f>IFERROR(__xludf.DUMMYFUNCTION("""COMPUTED_VALUE"""),1268.15)</f>
        <v>1268.15</v>
      </c>
      <c r="F204" s="3">
        <f>IFERROR(__xludf.DUMMYFUNCTION("""COMPUTED_VALUE"""),0.0)</f>
        <v>0</v>
      </c>
    </row>
    <row r="205">
      <c r="A205" s="7">
        <f>IFERROR(__xludf.DUMMYFUNCTION("""COMPUTED_VALUE"""),36861.645833333336)</f>
        <v>36861.64583</v>
      </c>
      <c r="B205" s="3">
        <f>IFERROR(__xludf.DUMMYFUNCTION("""COMPUTED_VALUE"""),1268.1)</f>
        <v>1268.1</v>
      </c>
      <c r="C205" s="3">
        <f>IFERROR(__xludf.DUMMYFUNCTION("""COMPUTED_VALUE"""),1280.5)</f>
        <v>1280.5</v>
      </c>
      <c r="D205" s="3">
        <f>IFERROR(__xludf.DUMMYFUNCTION("""COMPUTED_VALUE"""),1255.2)</f>
        <v>1255.2</v>
      </c>
      <c r="E205" s="3">
        <f>IFERROR(__xludf.DUMMYFUNCTION("""COMPUTED_VALUE"""),1276.2)</f>
        <v>1276.2</v>
      </c>
      <c r="F205" s="3">
        <f>IFERROR(__xludf.DUMMYFUNCTION("""COMPUTED_VALUE"""),0.0)</f>
        <v>0</v>
      </c>
    </row>
    <row r="206">
      <c r="A206" s="7">
        <f>IFERROR(__xludf.DUMMYFUNCTION("""COMPUTED_VALUE"""),36864.645833333336)</f>
        <v>36864.64583</v>
      </c>
      <c r="B206" s="3">
        <f>IFERROR(__xludf.DUMMYFUNCTION("""COMPUTED_VALUE"""),1276.25)</f>
        <v>1276.25</v>
      </c>
      <c r="C206" s="3">
        <f>IFERROR(__xludf.DUMMYFUNCTION("""COMPUTED_VALUE"""),1290.0)</f>
        <v>1290</v>
      </c>
      <c r="D206" s="3">
        <f>IFERROR(__xludf.DUMMYFUNCTION("""COMPUTED_VALUE"""),1273.65)</f>
        <v>1273.65</v>
      </c>
      <c r="E206" s="3">
        <f>IFERROR(__xludf.DUMMYFUNCTION("""COMPUTED_VALUE"""),1275.6)</f>
        <v>1275.6</v>
      </c>
      <c r="F206" s="3">
        <f>IFERROR(__xludf.DUMMYFUNCTION("""COMPUTED_VALUE"""),0.0)</f>
        <v>0</v>
      </c>
    </row>
    <row r="207">
      <c r="A207" s="7">
        <f>IFERROR(__xludf.DUMMYFUNCTION("""COMPUTED_VALUE"""),36865.645833333336)</f>
        <v>36865.64583</v>
      </c>
      <c r="B207" s="3">
        <f>IFERROR(__xludf.DUMMYFUNCTION("""COMPUTED_VALUE"""),1275.7)</f>
        <v>1275.7</v>
      </c>
      <c r="C207" s="3">
        <f>IFERROR(__xludf.DUMMYFUNCTION("""COMPUTED_VALUE"""),1288.2)</f>
        <v>1288.2</v>
      </c>
      <c r="D207" s="3">
        <f>IFERROR(__xludf.DUMMYFUNCTION("""COMPUTED_VALUE"""),1275.5)</f>
        <v>1275.5</v>
      </c>
      <c r="E207" s="3">
        <f>IFERROR(__xludf.DUMMYFUNCTION("""COMPUTED_VALUE"""),1284.65)</f>
        <v>1284.65</v>
      </c>
      <c r="F207" s="3">
        <f>IFERROR(__xludf.DUMMYFUNCTION("""COMPUTED_VALUE"""),0.0)</f>
        <v>0</v>
      </c>
    </row>
    <row r="208">
      <c r="A208" s="7">
        <f>IFERROR(__xludf.DUMMYFUNCTION("""COMPUTED_VALUE"""),36866.645833333336)</f>
        <v>36866.64583</v>
      </c>
      <c r="B208" s="3">
        <f>IFERROR(__xludf.DUMMYFUNCTION("""COMPUTED_VALUE"""),1284.85)</f>
        <v>1284.85</v>
      </c>
      <c r="C208" s="3">
        <f>IFERROR(__xludf.DUMMYFUNCTION("""COMPUTED_VALUE"""),1319.85)</f>
        <v>1319.85</v>
      </c>
      <c r="D208" s="3">
        <f>IFERROR(__xludf.DUMMYFUNCTION("""COMPUTED_VALUE"""),1284.85)</f>
        <v>1284.85</v>
      </c>
      <c r="E208" s="3">
        <f>IFERROR(__xludf.DUMMYFUNCTION("""COMPUTED_VALUE"""),1298.55)</f>
        <v>1298.55</v>
      </c>
      <c r="F208" s="3">
        <f>IFERROR(__xludf.DUMMYFUNCTION("""COMPUTED_VALUE"""),0.0)</f>
        <v>0</v>
      </c>
    </row>
    <row r="209">
      <c r="A209" s="7">
        <f>IFERROR(__xludf.DUMMYFUNCTION("""COMPUTED_VALUE"""),36867.645833333336)</f>
        <v>36867.64583</v>
      </c>
      <c r="B209" s="3">
        <f>IFERROR(__xludf.DUMMYFUNCTION("""COMPUTED_VALUE"""),1298.9)</f>
        <v>1298.9</v>
      </c>
      <c r="C209" s="3">
        <f>IFERROR(__xludf.DUMMYFUNCTION("""COMPUTED_VALUE"""),1308.45)</f>
        <v>1308.45</v>
      </c>
      <c r="D209" s="3">
        <f>IFERROR(__xludf.DUMMYFUNCTION("""COMPUTED_VALUE"""),1295.1)</f>
        <v>1295.1</v>
      </c>
      <c r="E209" s="3">
        <f>IFERROR(__xludf.DUMMYFUNCTION("""COMPUTED_VALUE"""),1302.5)</f>
        <v>1302.5</v>
      </c>
      <c r="F209" s="3">
        <f>IFERROR(__xludf.DUMMYFUNCTION("""COMPUTED_VALUE"""),0.0)</f>
        <v>0</v>
      </c>
    </row>
    <row r="210">
      <c r="A210" s="7">
        <f>IFERROR(__xludf.DUMMYFUNCTION("""COMPUTED_VALUE"""),36868.645833333336)</f>
        <v>36868.64583</v>
      </c>
      <c r="B210" s="3">
        <f>IFERROR(__xludf.DUMMYFUNCTION("""COMPUTED_VALUE"""),1303.3)</f>
        <v>1303.3</v>
      </c>
      <c r="C210" s="3">
        <f>IFERROR(__xludf.DUMMYFUNCTION("""COMPUTED_VALUE"""),1317.2)</f>
        <v>1317.2</v>
      </c>
      <c r="D210" s="3">
        <f>IFERROR(__xludf.DUMMYFUNCTION("""COMPUTED_VALUE"""),1303.3)</f>
        <v>1303.3</v>
      </c>
      <c r="E210" s="3">
        <f>IFERROR(__xludf.DUMMYFUNCTION("""COMPUTED_VALUE"""),1313.7)</f>
        <v>1313.7</v>
      </c>
      <c r="F210" s="3">
        <f>IFERROR(__xludf.DUMMYFUNCTION("""COMPUTED_VALUE"""),0.0)</f>
        <v>0</v>
      </c>
    </row>
    <row r="211">
      <c r="A211" s="7">
        <f>IFERROR(__xludf.DUMMYFUNCTION("""COMPUTED_VALUE"""),36871.645833333336)</f>
        <v>36871.64583</v>
      </c>
      <c r="B211" s="3">
        <f>IFERROR(__xludf.DUMMYFUNCTION("""COMPUTED_VALUE"""),1313.7)</f>
        <v>1313.7</v>
      </c>
      <c r="C211" s="3">
        <f>IFERROR(__xludf.DUMMYFUNCTION("""COMPUTED_VALUE"""),1333.5)</f>
        <v>1333.5</v>
      </c>
      <c r="D211" s="3">
        <f>IFERROR(__xludf.DUMMYFUNCTION("""COMPUTED_VALUE"""),1313.7)</f>
        <v>1313.7</v>
      </c>
      <c r="E211" s="3">
        <f>IFERROR(__xludf.DUMMYFUNCTION("""COMPUTED_VALUE"""),1332.15)</f>
        <v>1332.15</v>
      </c>
      <c r="F211" s="3">
        <f>IFERROR(__xludf.DUMMYFUNCTION("""COMPUTED_VALUE"""),0.0)</f>
        <v>0</v>
      </c>
    </row>
    <row r="212">
      <c r="A212" s="7">
        <f>IFERROR(__xludf.DUMMYFUNCTION("""COMPUTED_VALUE"""),36872.645833333336)</f>
        <v>36872.64583</v>
      </c>
      <c r="B212" s="3">
        <f>IFERROR(__xludf.DUMMYFUNCTION("""COMPUTED_VALUE"""),1332.2)</f>
        <v>1332.2</v>
      </c>
      <c r="C212" s="3">
        <f>IFERROR(__xludf.DUMMYFUNCTION("""COMPUTED_VALUE"""),1341.75)</f>
        <v>1341.75</v>
      </c>
      <c r="D212" s="3">
        <f>IFERROR(__xludf.DUMMYFUNCTION("""COMPUTED_VALUE"""),1327.6)</f>
        <v>1327.6</v>
      </c>
      <c r="E212" s="3">
        <f>IFERROR(__xludf.DUMMYFUNCTION("""COMPUTED_VALUE"""),1333.35)</f>
        <v>1333.35</v>
      </c>
      <c r="F212" s="3">
        <f>IFERROR(__xludf.DUMMYFUNCTION("""COMPUTED_VALUE"""),0.0)</f>
        <v>0</v>
      </c>
    </row>
    <row r="213">
      <c r="A213" s="7">
        <f>IFERROR(__xludf.DUMMYFUNCTION("""COMPUTED_VALUE"""),36873.645833333336)</f>
        <v>36873.64583</v>
      </c>
      <c r="B213" s="3">
        <f>IFERROR(__xludf.DUMMYFUNCTION("""COMPUTED_VALUE"""),1333.8)</f>
        <v>1333.8</v>
      </c>
      <c r="C213" s="3">
        <f>IFERROR(__xludf.DUMMYFUNCTION("""COMPUTED_VALUE"""),1360.8)</f>
        <v>1360.8</v>
      </c>
      <c r="D213" s="3">
        <f>IFERROR(__xludf.DUMMYFUNCTION("""COMPUTED_VALUE"""),1333.8)</f>
        <v>1333.8</v>
      </c>
      <c r="E213" s="3">
        <f>IFERROR(__xludf.DUMMYFUNCTION("""COMPUTED_VALUE"""),1354.3)</f>
        <v>1354.3</v>
      </c>
      <c r="F213" s="3">
        <f>IFERROR(__xludf.DUMMYFUNCTION("""COMPUTED_VALUE"""),0.0)</f>
        <v>0</v>
      </c>
    </row>
    <row r="214">
      <c r="A214" s="7">
        <f>IFERROR(__xludf.DUMMYFUNCTION("""COMPUTED_VALUE"""),36874.645833333336)</f>
        <v>36874.64583</v>
      </c>
      <c r="B214" s="3">
        <f>IFERROR(__xludf.DUMMYFUNCTION("""COMPUTED_VALUE"""),1354.45)</f>
        <v>1354.45</v>
      </c>
      <c r="C214" s="3">
        <f>IFERROR(__xludf.DUMMYFUNCTION("""COMPUTED_VALUE"""),1369.5)</f>
        <v>1369.5</v>
      </c>
      <c r="D214" s="3">
        <f>IFERROR(__xludf.DUMMYFUNCTION("""COMPUTED_VALUE"""),1346.15)</f>
        <v>1346.15</v>
      </c>
      <c r="E214" s="3">
        <f>IFERROR(__xludf.DUMMYFUNCTION("""COMPUTED_VALUE"""),1349.35)</f>
        <v>1349.35</v>
      </c>
      <c r="F214" s="3">
        <f>IFERROR(__xludf.DUMMYFUNCTION("""COMPUTED_VALUE"""),0.0)</f>
        <v>0</v>
      </c>
    </row>
    <row r="215">
      <c r="A215" s="7">
        <f>IFERROR(__xludf.DUMMYFUNCTION("""COMPUTED_VALUE"""),36875.645833333336)</f>
        <v>36875.64583</v>
      </c>
      <c r="B215" s="3">
        <f>IFERROR(__xludf.DUMMYFUNCTION("""COMPUTED_VALUE"""),1349.25)</f>
        <v>1349.25</v>
      </c>
      <c r="C215" s="3">
        <f>IFERROR(__xludf.DUMMYFUNCTION("""COMPUTED_VALUE"""),1349.25)</f>
        <v>1349.25</v>
      </c>
      <c r="D215" s="3">
        <f>IFERROR(__xludf.DUMMYFUNCTION("""COMPUTED_VALUE"""),1308.15)</f>
        <v>1308.15</v>
      </c>
      <c r="E215" s="3">
        <f>IFERROR(__xludf.DUMMYFUNCTION("""COMPUTED_VALUE"""),1312.6)</f>
        <v>1312.6</v>
      </c>
      <c r="F215" s="3">
        <f>IFERROR(__xludf.DUMMYFUNCTION("""COMPUTED_VALUE"""),0.0)</f>
        <v>0</v>
      </c>
    </row>
    <row r="216">
      <c r="A216" s="7">
        <f>IFERROR(__xludf.DUMMYFUNCTION("""COMPUTED_VALUE"""),36878.645833333336)</f>
        <v>36878.64583</v>
      </c>
      <c r="B216" s="3">
        <f>IFERROR(__xludf.DUMMYFUNCTION("""COMPUTED_VALUE"""),1310.15)</f>
        <v>1310.15</v>
      </c>
      <c r="C216" s="3">
        <f>IFERROR(__xludf.DUMMYFUNCTION("""COMPUTED_VALUE"""),1321.65)</f>
        <v>1321.65</v>
      </c>
      <c r="D216" s="3">
        <f>IFERROR(__xludf.DUMMYFUNCTION("""COMPUTED_VALUE"""),1297.2)</f>
        <v>1297.2</v>
      </c>
      <c r="E216" s="3">
        <f>IFERROR(__xludf.DUMMYFUNCTION("""COMPUTED_VALUE"""),1317.6)</f>
        <v>1317.6</v>
      </c>
      <c r="F216" s="3">
        <f>IFERROR(__xludf.DUMMYFUNCTION("""COMPUTED_VALUE"""),0.0)</f>
        <v>0</v>
      </c>
    </row>
    <row r="217">
      <c r="A217" s="7">
        <f>IFERROR(__xludf.DUMMYFUNCTION("""COMPUTED_VALUE"""),36879.645833333336)</f>
        <v>36879.64583</v>
      </c>
      <c r="B217" s="3">
        <f>IFERROR(__xludf.DUMMYFUNCTION("""COMPUTED_VALUE"""),1317.75)</f>
        <v>1317.75</v>
      </c>
      <c r="C217" s="3">
        <f>IFERROR(__xludf.DUMMYFUNCTION("""COMPUTED_VALUE"""),1325.6)</f>
        <v>1325.6</v>
      </c>
      <c r="D217" s="3">
        <f>IFERROR(__xludf.DUMMYFUNCTION("""COMPUTED_VALUE"""),1307.0)</f>
        <v>1307</v>
      </c>
      <c r="E217" s="3">
        <f>IFERROR(__xludf.DUMMYFUNCTION("""COMPUTED_VALUE"""),1310.5)</f>
        <v>1310.5</v>
      </c>
      <c r="F217" s="3">
        <f>IFERROR(__xludf.DUMMYFUNCTION("""COMPUTED_VALUE"""),0.0)</f>
        <v>0</v>
      </c>
    </row>
    <row r="218">
      <c r="A218" s="7">
        <f>IFERROR(__xludf.DUMMYFUNCTION("""COMPUTED_VALUE"""),36880.645833333336)</f>
        <v>36880.64583</v>
      </c>
      <c r="B218" s="3">
        <f>IFERROR(__xludf.DUMMYFUNCTION("""COMPUTED_VALUE"""),1312.8)</f>
        <v>1312.8</v>
      </c>
      <c r="C218" s="3">
        <f>IFERROR(__xludf.DUMMYFUNCTION("""COMPUTED_VALUE"""),1313.4)</f>
        <v>1313.4</v>
      </c>
      <c r="D218" s="3">
        <f>IFERROR(__xludf.DUMMYFUNCTION("""COMPUTED_VALUE"""),1285.45)</f>
        <v>1285.45</v>
      </c>
      <c r="E218" s="3">
        <f>IFERROR(__xludf.DUMMYFUNCTION("""COMPUTED_VALUE"""),1295.25)</f>
        <v>1295.25</v>
      </c>
      <c r="F218" s="3">
        <f>IFERROR(__xludf.DUMMYFUNCTION("""COMPUTED_VALUE"""),0.0)</f>
        <v>0</v>
      </c>
    </row>
    <row r="219">
      <c r="A219" s="7">
        <f>IFERROR(__xludf.DUMMYFUNCTION("""COMPUTED_VALUE"""),36881.645833333336)</f>
        <v>36881.64583</v>
      </c>
      <c r="B219" s="3">
        <f>IFERROR(__xludf.DUMMYFUNCTION("""COMPUTED_VALUE"""),1294.25)</f>
        <v>1294.25</v>
      </c>
      <c r="C219" s="3">
        <f>IFERROR(__xludf.DUMMYFUNCTION("""COMPUTED_VALUE"""),1294.25)</f>
        <v>1294.25</v>
      </c>
      <c r="D219" s="3">
        <f>IFERROR(__xludf.DUMMYFUNCTION("""COMPUTED_VALUE"""),1257.1)</f>
        <v>1257.1</v>
      </c>
      <c r="E219" s="3">
        <f>IFERROR(__xludf.DUMMYFUNCTION("""COMPUTED_VALUE"""),1277.4)</f>
        <v>1277.4</v>
      </c>
      <c r="F219" s="3">
        <f>IFERROR(__xludf.DUMMYFUNCTION("""COMPUTED_VALUE"""),0.0)</f>
        <v>0</v>
      </c>
    </row>
    <row r="220">
      <c r="A220" s="7">
        <f>IFERROR(__xludf.DUMMYFUNCTION("""COMPUTED_VALUE"""),36882.645833333336)</f>
        <v>36882.64583</v>
      </c>
      <c r="B220" s="3">
        <f>IFERROR(__xludf.DUMMYFUNCTION("""COMPUTED_VALUE"""),1278.95)</f>
        <v>1278.95</v>
      </c>
      <c r="C220" s="3">
        <f>IFERROR(__xludf.DUMMYFUNCTION("""COMPUTED_VALUE"""),1292.8)</f>
        <v>1292.8</v>
      </c>
      <c r="D220" s="3">
        <f>IFERROR(__xludf.DUMMYFUNCTION("""COMPUTED_VALUE"""),1237.3)</f>
        <v>1237.3</v>
      </c>
      <c r="E220" s="3">
        <f>IFERROR(__xludf.DUMMYFUNCTION("""COMPUTED_VALUE"""),1242.0)</f>
        <v>1242</v>
      </c>
      <c r="F220" s="3">
        <f>IFERROR(__xludf.DUMMYFUNCTION("""COMPUTED_VALUE"""),0.0)</f>
        <v>0</v>
      </c>
    </row>
    <row r="221">
      <c r="A221" s="7">
        <f>IFERROR(__xludf.DUMMYFUNCTION("""COMPUTED_VALUE"""),36886.645833333336)</f>
        <v>36886.64583</v>
      </c>
      <c r="B221" s="3">
        <f>IFERROR(__xludf.DUMMYFUNCTION("""COMPUTED_VALUE"""),1242.05)</f>
        <v>1242.05</v>
      </c>
      <c r="C221" s="3">
        <f>IFERROR(__xludf.DUMMYFUNCTION("""COMPUTED_VALUE"""),1248.5)</f>
        <v>1248.5</v>
      </c>
      <c r="D221" s="3">
        <f>IFERROR(__xludf.DUMMYFUNCTION("""COMPUTED_VALUE"""),1207.95)</f>
        <v>1207.95</v>
      </c>
      <c r="E221" s="3">
        <f>IFERROR(__xludf.DUMMYFUNCTION("""COMPUTED_VALUE"""),1212.0)</f>
        <v>1212</v>
      </c>
      <c r="F221" s="3">
        <f>IFERROR(__xludf.DUMMYFUNCTION("""COMPUTED_VALUE"""),0.0)</f>
        <v>0</v>
      </c>
    </row>
    <row r="222">
      <c r="A222" s="7">
        <f>IFERROR(__xludf.DUMMYFUNCTION("""COMPUTED_VALUE"""),36887.645833333336)</f>
        <v>36887.64583</v>
      </c>
      <c r="B222" s="3">
        <f>IFERROR(__xludf.DUMMYFUNCTION("""COMPUTED_VALUE"""),1212.15)</f>
        <v>1212.15</v>
      </c>
      <c r="C222" s="3">
        <f>IFERROR(__xludf.DUMMYFUNCTION("""COMPUTED_VALUE"""),1239.0)</f>
        <v>1239</v>
      </c>
      <c r="D222" s="3">
        <f>IFERROR(__xludf.DUMMYFUNCTION("""COMPUTED_VALUE"""),1208.75)</f>
        <v>1208.75</v>
      </c>
      <c r="E222" s="3">
        <f>IFERROR(__xludf.DUMMYFUNCTION("""COMPUTED_VALUE"""),1228.3)</f>
        <v>1228.3</v>
      </c>
      <c r="F222" s="3">
        <f>IFERROR(__xludf.DUMMYFUNCTION("""COMPUTED_VALUE"""),0.0)</f>
        <v>0</v>
      </c>
    </row>
    <row r="223">
      <c r="A223" s="7">
        <f>IFERROR(__xludf.DUMMYFUNCTION("""COMPUTED_VALUE"""),36888.645833333336)</f>
        <v>36888.64583</v>
      </c>
      <c r="B223" s="3">
        <f>IFERROR(__xludf.DUMMYFUNCTION("""COMPUTED_VALUE"""),1229.35)</f>
        <v>1229.35</v>
      </c>
      <c r="C223" s="3">
        <f>IFERROR(__xludf.DUMMYFUNCTION("""COMPUTED_VALUE"""),1253.6)</f>
        <v>1253.6</v>
      </c>
      <c r="D223" s="3">
        <f>IFERROR(__xludf.DUMMYFUNCTION("""COMPUTED_VALUE"""),1229.35)</f>
        <v>1229.35</v>
      </c>
      <c r="E223" s="3">
        <f>IFERROR(__xludf.DUMMYFUNCTION("""COMPUTED_VALUE"""),1248.95)</f>
        <v>1248.95</v>
      </c>
      <c r="F223" s="3">
        <f>IFERROR(__xludf.DUMMYFUNCTION("""COMPUTED_VALUE"""),0.0)</f>
        <v>0</v>
      </c>
    </row>
    <row r="224">
      <c r="A224" s="7">
        <f>IFERROR(__xludf.DUMMYFUNCTION("""COMPUTED_VALUE"""),36889.645833333336)</f>
        <v>36889.64583</v>
      </c>
      <c r="B224" s="3">
        <f>IFERROR(__xludf.DUMMYFUNCTION("""COMPUTED_VALUE"""),1249.0)</f>
        <v>1249</v>
      </c>
      <c r="C224" s="3">
        <f>IFERROR(__xludf.DUMMYFUNCTION("""COMPUTED_VALUE"""),1265.9)</f>
        <v>1265.9</v>
      </c>
      <c r="D224" s="3">
        <f>IFERROR(__xludf.DUMMYFUNCTION("""COMPUTED_VALUE"""),1242.25)</f>
        <v>1242.25</v>
      </c>
      <c r="E224" s="3">
        <f>IFERROR(__xludf.DUMMYFUNCTION("""COMPUTED_VALUE"""),1263.55)</f>
        <v>1263.55</v>
      </c>
      <c r="F224" s="3">
        <f>IFERROR(__xludf.DUMMYFUNCTION("""COMPUTED_VALUE"""),0.0)</f>
        <v>0</v>
      </c>
    </row>
    <row r="225">
      <c r="A225" s="7">
        <f>IFERROR(__xludf.DUMMYFUNCTION("""COMPUTED_VALUE"""),36923.645833333336)</f>
        <v>36923.64583</v>
      </c>
      <c r="B225" s="3">
        <f>IFERROR(__xludf.DUMMYFUNCTION("""COMPUTED_VALUE"""),1371.5)</f>
        <v>1371.5</v>
      </c>
      <c r="C225" s="3">
        <f>IFERROR(__xludf.DUMMYFUNCTION("""COMPUTED_VALUE"""),1373.5)</f>
        <v>1373.5</v>
      </c>
      <c r="D225" s="3">
        <f>IFERROR(__xludf.DUMMYFUNCTION("""COMPUTED_VALUE"""),1340.95)</f>
        <v>1340.95</v>
      </c>
      <c r="E225" s="3">
        <f>IFERROR(__xludf.DUMMYFUNCTION("""COMPUTED_VALUE"""),1359.15)</f>
        <v>1359.15</v>
      </c>
      <c r="F225" s="3">
        <f>IFERROR(__xludf.DUMMYFUNCTION("""COMPUTED_VALUE"""),0.0)</f>
        <v>0</v>
      </c>
    </row>
    <row r="226">
      <c r="A226" s="7">
        <f>IFERROR(__xludf.DUMMYFUNCTION("""COMPUTED_VALUE"""),36924.645833333336)</f>
        <v>36924.64583</v>
      </c>
      <c r="B226" s="3">
        <f>IFERROR(__xludf.DUMMYFUNCTION("""COMPUTED_VALUE"""),1359.1)</f>
        <v>1359.1</v>
      </c>
      <c r="C226" s="3">
        <f>IFERROR(__xludf.DUMMYFUNCTION("""COMPUTED_VALUE"""),1384.9)</f>
        <v>1384.9</v>
      </c>
      <c r="D226" s="3">
        <f>IFERROR(__xludf.DUMMYFUNCTION("""COMPUTED_VALUE"""),1355.3)</f>
        <v>1355.3</v>
      </c>
      <c r="E226" s="3">
        <f>IFERROR(__xludf.DUMMYFUNCTION("""COMPUTED_VALUE"""),1378.85)</f>
        <v>1378.85</v>
      </c>
      <c r="F226" s="3">
        <f>IFERROR(__xludf.DUMMYFUNCTION("""COMPUTED_VALUE"""),0.0)</f>
        <v>0</v>
      </c>
    </row>
    <row r="227">
      <c r="A227" s="7">
        <f>IFERROR(__xludf.DUMMYFUNCTION("""COMPUTED_VALUE"""),36927.645833333336)</f>
        <v>36927.64583</v>
      </c>
      <c r="B227" s="3">
        <f>IFERROR(__xludf.DUMMYFUNCTION("""COMPUTED_VALUE"""),1378.8)</f>
        <v>1378.8</v>
      </c>
      <c r="C227" s="3">
        <f>IFERROR(__xludf.DUMMYFUNCTION("""COMPUTED_VALUE"""),1392.15)</f>
        <v>1392.15</v>
      </c>
      <c r="D227" s="3">
        <f>IFERROR(__xludf.DUMMYFUNCTION("""COMPUTED_VALUE"""),1373.45)</f>
        <v>1373.45</v>
      </c>
      <c r="E227" s="3">
        <f>IFERROR(__xludf.DUMMYFUNCTION("""COMPUTED_VALUE"""),1382.6)</f>
        <v>1382.6</v>
      </c>
      <c r="F227" s="3">
        <f>IFERROR(__xludf.DUMMYFUNCTION("""COMPUTED_VALUE"""),0.0)</f>
        <v>0</v>
      </c>
    </row>
    <row r="228">
      <c r="A228" s="7">
        <f>IFERROR(__xludf.DUMMYFUNCTION("""COMPUTED_VALUE"""),36928.645833333336)</f>
        <v>36928.64583</v>
      </c>
      <c r="B228" s="3">
        <f>IFERROR(__xludf.DUMMYFUNCTION("""COMPUTED_VALUE"""),1382.7)</f>
        <v>1382.7</v>
      </c>
      <c r="C228" s="3">
        <f>IFERROR(__xludf.DUMMYFUNCTION("""COMPUTED_VALUE"""),1395.4)</f>
        <v>1395.4</v>
      </c>
      <c r="D228" s="3">
        <f>IFERROR(__xludf.DUMMYFUNCTION("""COMPUTED_VALUE"""),1382.7)</f>
        <v>1382.7</v>
      </c>
      <c r="E228" s="3">
        <f>IFERROR(__xludf.DUMMYFUNCTION("""COMPUTED_VALUE"""),1387.1)</f>
        <v>1387.1</v>
      </c>
      <c r="F228" s="3">
        <f>IFERROR(__xludf.DUMMYFUNCTION("""COMPUTED_VALUE"""),0.0)</f>
        <v>0</v>
      </c>
    </row>
    <row r="229">
      <c r="A229" s="7">
        <f>IFERROR(__xludf.DUMMYFUNCTION("""COMPUTED_VALUE"""),36929.645833333336)</f>
        <v>36929.64583</v>
      </c>
      <c r="B229" s="3">
        <f>IFERROR(__xludf.DUMMYFUNCTION("""COMPUTED_VALUE"""),1387.3)</f>
        <v>1387.3</v>
      </c>
      <c r="C229" s="3">
        <f>IFERROR(__xludf.DUMMYFUNCTION("""COMPUTED_VALUE"""),1391.85)</f>
        <v>1391.85</v>
      </c>
      <c r="D229" s="3">
        <f>IFERROR(__xludf.DUMMYFUNCTION("""COMPUTED_VALUE"""),1368.05)</f>
        <v>1368.05</v>
      </c>
      <c r="E229" s="3">
        <f>IFERROR(__xludf.DUMMYFUNCTION("""COMPUTED_VALUE"""),1370.8)</f>
        <v>1370.8</v>
      </c>
      <c r="F229" s="3">
        <f>IFERROR(__xludf.DUMMYFUNCTION("""COMPUTED_VALUE"""),0.0)</f>
        <v>0</v>
      </c>
    </row>
    <row r="230">
      <c r="A230" s="7">
        <f>IFERROR(__xludf.DUMMYFUNCTION("""COMPUTED_VALUE"""),36930.645833333336)</f>
        <v>36930.64583</v>
      </c>
      <c r="B230" s="3">
        <f>IFERROR(__xludf.DUMMYFUNCTION("""COMPUTED_VALUE"""),1370.65)</f>
        <v>1370.65</v>
      </c>
      <c r="C230" s="3">
        <f>IFERROR(__xludf.DUMMYFUNCTION("""COMPUTED_VALUE"""),1396.8)</f>
        <v>1396.8</v>
      </c>
      <c r="D230" s="3">
        <f>IFERROR(__xludf.DUMMYFUNCTION("""COMPUTED_VALUE"""),1365.05)</f>
        <v>1365.05</v>
      </c>
      <c r="E230" s="3">
        <f>IFERROR(__xludf.DUMMYFUNCTION("""COMPUTED_VALUE"""),1395.5)</f>
        <v>1395.5</v>
      </c>
      <c r="F230" s="3">
        <f>IFERROR(__xludf.DUMMYFUNCTION("""COMPUTED_VALUE"""),0.0)</f>
        <v>0</v>
      </c>
    </row>
    <row r="231">
      <c r="A231" s="7">
        <f>IFERROR(__xludf.DUMMYFUNCTION("""COMPUTED_VALUE"""),36931.645833333336)</f>
        <v>36931.64583</v>
      </c>
      <c r="B231" s="3">
        <f>IFERROR(__xludf.DUMMYFUNCTION("""COMPUTED_VALUE"""),1395.55)</f>
        <v>1395.55</v>
      </c>
      <c r="C231" s="3">
        <f>IFERROR(__xludf.DUMMYFUNCTION("""COMPUTED_VALUE"""),1416.3)</f>
        <v>1416.3</v>
      </c>
      <c r="D231" s="3">
        <f>IFERROR(__xludf.DUMMYFUNCTION("""COMPUTED_VALUE"""),1395.55)</f>
        <v>1395.55</v>
      </c>
      <c r="E231" s="3">
        <f>IFERROR(__xludf.DUMMYFUNCTION("""COMPUTED_VALUE"""),1405.7)</f>
        <v>1405.7</v>
      </c>
      <c r="F231" s="3">
        <f>IFERROR(__xludf.DUMMYFUNCTION("""COMPUTED_VALUE"""),0.0)</f>
        <v>0</v>
      </c>
    </row>
    <row r="232">
      <c r="A232" s="7">
        <f>IFERROR(__xludf.DUMMYFUNCTION("""COMPUTED_VALUE"""),36934.645833333336)</f>
        <v>36934.64583</v>
      </c>
      <c r="B232" s="3">
        <f>IFERROR(__xludf.DUMMYFUNCTION("""COMPUTED_VALUE"""),1405.7)</f>
        <v>1405.7</v>
      </c>
      <c r="C232" s="3">
        <f>IFERROR(__xludf.DUMMYFUNCTION("""COMPUTED_VALUE"""),1416.45)</f>
        <v>1416.45</v>
      </c>
      <c r="D232" s="3">
        <f>IFERROR(__xludf.DUMMYFUNCTION("""COMPUTED_VALUE"""),1397.6)</f>
        <v>1397.6</v>
      </c>
      <c r="E232" s="3">
        <f>IFERROR(__xludf.DUMMYFUNCTION("""COMPUTED_VALUE"""),1402.2)</f>
        <v>1402.2</v>
      </c>
      <c r="F232" s="3">
        <f>IFERROR(__xludf.DUMMYFUNCTION("""COMPUTED_VALUE"""),0.0)</f>
        <v>0</v>
      </c>
    </row>
    <row r="233">
      <c r="A233" s="7">
        <f>IFERROR(__xludf.DUMMYFUNCTION("""COMPUTED_VALUE"""),36935.645833333336)</f>
        <v>36935.64583</v>
      </c>
      <c r="B233" s="3">
        <f>IFERROR(__xludf.DUMMYFUNCTION("""COMPUTED_VALUE"""),1402.2)</f>
        <v>1402.2</v>
      </c>
      <c r="C233" s="3">
        <f>IFERROR(__xludf.DUMMYFUNCTION("""COMPUTED_VALUE"""),1412.7)</f>
        <v>1412.7</v>
      </c>
      <c r="D233" s="3">
        <f>IFERROR(__xludf.DUMMYFUNCTION("""COMPUTED_VALUE"""),1386.65)</f>
        <v>1386.65</v>
      </c>
      <c r="E233" s="3">
        <f>IFERROR(__xludf.DUMMYFUNCTION("""COMPUTED_VALUE"""),1391.2)</f>
        <v>1391.2</v>
      </c>
      <c r="F233" s="3">
        <f>IFERROR(__xludf.DUMMYFUNCTION("""COMPUTED_VALUE"""),0.0)</f>
        <v>0</v>
      </c>
    </row>
    <row r="234">
      <c r="A234" s="7">
        <f>IFERROR(__xludf.DUMMYFUNCTION("""COMPUTED_VALUE"""),36936.645833333336)</f>
        <v>36936.64583</v>
      </c>
      <c r="B234" s="3">
        <f>IFERROR(__xludf.DUMMYFUNCTION("""COMPUTED_VALUE"""),1393.15)</f>
        <v>1393.15</v>
      </c>
      <c r="C234" s="3">
        <f>IFERROR(__xludf.DUMMYFUNCTION("""COMPUTED_VALUE"""),1396.35)</f>
        <v>1396.35</v>
      </c>
      <c r="D234" s="3">
        <f>IFERROR(__xludf.DUMMYFUNCTION("""COMPUTED_VALUE"""),1380.65)</f>
        <v>1380.65</v>
      </c>
      <c r="E234" s="3">
        <f>IFERROR(__xludf.DUMMYFUNCTION("""COMPUTED_VALUE"""),1393.35)</f>
        <v>1393.35</v>
      </c>
      <c r="F234" s="3">
        <f>IFERROR(__xludf.DUMMYFUNCTION("""COMPUTED_VALUE"""),0.0)</f>
        <v>0</v>
      </c>
    </row>
    <row r="235">
      <c r="A235" s="7">
        <f>IFERROR(__xludf.DUMMYFUNCTION("""COMPUTED_VALUE"""),36937.645833333336)</f>
        <v>36937.64583</v>
      </c>
      <c r="B235" s="3">
        <f>IFERROR(__xludf.DUMMYFUNCTION("""COMPUTED_VALUE"""),1393.35)</f>
        <v>1393.35</v>
      </c>
      <c r="C235" s="3">
        <f>IFERROR(__xludf.DUMMYFUNCTION("""COMPUTED_VALUE"""),1421.0)</f>
        <v>1421</v>
      </c>
      <c r="D235" s="3">
        <f>IFERROR(__xludf.DUMMYFUNCTION("""COMPUTED_VALUE"""),1393.35)</f>
        <v>1393.35</v>
      </c>
      <c r="E235" s="3">
        <f>IFERROR(__xludf.DUMMYFUNCTION("""COMPUTED_VALUE"""),1416.7)</f>
        <v>1416.7</v>
      </c>
      <c r="F235" s="3">
        <f>IFERROR(__xludf.DUMMYFUNCTION("""COMPUTED_VALUE"""),0.0)</f>
        <v>0</v>
      </c>
    </row>
    <row r="236">
      <c r="A236" s="7">
        <f>IFERROR(__xludf.DUMMYFUNCTION("""COMPUTED_VALUE"""),36938.645833333336)</f>
        <v>36938.64583</v>
      </c>
      <c r="B236" s="3">
        <f>IFERROR(__xludf.DUMMYFUNCTION("""COMPUTED_VALUE"""),1415.85)</f>
        <v>1415.85</v>
      </c>
      <c r="C236" s="3">
        <f>IFERROR(__xludf.DUMMYFUNCTION("""COMPUTED_VALUE"""),1422.95)</f>
        <v>1422.95</v>
      </c>
      <c r="D236" s="3">
        <f>IFERROR(__xludf.DUMMYFUNCTION("""COMPUTED_VALUE"""),1376.15)</f>
        <v>1376.15</v>
      </c>
      <c r="E236" s="3">
        <f>IFERROR(__xludf.DUMMYFUNCTION("""COMPUTED_VALUE"""),1381.35)</f>
        <v>1381.35</v>
      </c>
      <c r="F236" s="3">
        <f>IFERROR(__xludf.DUMMYFUNCTION("""COMPUTED_VALUE"""),0.0)</f>
        <v>0</v>
      </c>
    </row>
    <row r="237">
      <c r="A237" s="7">
        <f>IFERROR(__xludf.DUMMYFUNCTION("""COMPUTED_VALUE"""),36941.645833333336)</f>
        <v>36941.64583</v>
      </c>
      <c r="B237" s="3">
        <f>IFERROR(__xludf.DUMMYFUNCTION("""COMPUTED_VALUE"""),1381.4)</f>
        <v>1381.4</v>
      </c>
      <c r="C237" s="3">
        <f>IFERROR(__xludf.DUMMYFUNCTION("""COMPUTED_VALUE"""),1392.05)</f>
        <v>1392.05</v>
      </c>
      <c r="D237" s="3">
        <f>IFERROR(__xludf.DUMMYFUNCTION("""COMPUTED_VALUE"""),1369.45)</f>
        <v>1369.45</v>
      </c>
      <c r="E237" s="3">
        <f>IFERROR(__xludf.DUMMYFUNCTION("""COMPUTED_VALUE"""),1384.8)</f>
        <v>1384.8</v>
      </c>
      <c r="F237" s="3">
        <f>IFERROR(__xludf.DUMMYFUNCTION("""COMPUTED_VALUE"""),0.0)</f>
        <v>0</v>
      </c>
    </row>
    <row r="238">
      <c r="A238" s="7">
        <f>IFERROR(__xludf.DUMMYFUNCTION("""COMPUTED_VALUE"""),36942.645833333336)</f>
        <v>36942.64583</v>
      </c>
      <c r="B238" s="3">
        <f>IFERROR(__xludf.DUMMYFUNCTION("""COMPUTED_VALUE"""),1384.85)</f>
        <v>1384.85</v>
      </c>
      <c r="C238" s="3">
        <f>IFERROR(__xludf.DUMMYFUNCTION("""COMPUTED_VALUE"""),1392.8)</f>
        <v>1392.8</v>
      </c>
      <c r="D238" s="3">
        <f>IFERROR(__xludf.DUMMYFUNCTION("""COMPUTED_VALUE"""),1380.4)</f>
        <v>1380.4</v>
      </c>
      <c r="E238" s="3">
        <f>IFERROR(__xludf.DUMMYFUNCTION("""COMPUTED_VALUE"""),1383.85)</f>
        <v>1383.85</v>
      </c>
      <c r="F238" s="3">
        <f>IFERROR(__xludf.DUMMYFUNCTION("""COMPUTED_VALUE"""),0.0)</f>
        <v>0</v>
      </c>
    </row>
    <row r="239">
      <c r="A239" s="7">
        <f>IFERROR(__xludf.DUMMYFUNCTION("""COMPUTED_VALUE"""),36943.645833333336)</f>
        <v>36943.64583</v>
      </c>
      <c r="B239" s="3">
        <f>IFERROR(__xludf.DUMMYFUNCTION("""COMPUTED_VALUE"""),1383.9)</f>
        <v>1383.9</v>
      </c>
      <c r="C239" s="3">
        <f>IFERROR(__xludf.DUMMYFUNCTION("""COMPUTED_VALUE"""),1389.55)</f>
        <v>1389.55</v>
      </c>
      <c r="D239" s="3">
        <f>IFERROR(__xludf.DUMMYFUNCTION("""COMPUTED_VALUE"""),1364.25)</f>
        <v>1364.25</v>
      </c>
      <c r="E239" s="3">
        <f>IFERROR(__xludf.DUMMYFUNCTION("""COMPUTED_VALUE"""),1370.1)</f>
        <v>1370.1</v>
      </c>
      <c r="F239" s="3">
        <f>IFERROR(__xludf.DUMMYFUNCTION("""COMPUTED_VALUE"""),0.0)</f>
        <v>0</v>
      </c>
    </row>
    <row r="240">
      <c r="A240" s="7">
        <f>IFERROR(__xludf.DUMMYFUNCTION("""COMPUTED_VALUE"""),36944.645833333336)</f>
        <v>36944.64583</v>
      </c>
      <c r="B240" s="3">
        <f>IFERROR(__xludf.DUMMYFUNCTION("""COMPUTED_VALUE"""),1370.05)</f>
        <v>1370.05</v>
      </c>
      <c r="C240" s="3">
        <f>IFERROR(__xludf.DUMMYFUNCTION("""COMPUTED_VALUE"""),1370.05)</f>
        <v>1370.05</v>
      </c>
      <c r="D240" s="3">
        <f>IFERROR(__xludf.DUMMYFUNCTION("""COMPUTED_VALUE"""),1335.65)</f>
        <v>1335.65</v>
      </c>
      <c r="E240" s="3">
        <f>IFERROR(__xludf.DUMMYFUNCTION("""COMPUTED_VALUE"""),1355.1)</f>
        <v>1355.1</v>
      </c>
      <c r="F240" s="3">
        <f>IFERROR(__xludf.DUMMYFUNCTION("""COMPUTED_VALUE"""),0.0)</f>
        <v>0</v>
      </c>
    </row>
    <row r="241">
      <c r="A241" s="7">
        <f>IFERROR(__xludf.DUMMYFUNCTION("""COMPUTED_VALUE"""),36945.645833333336)</f>
        <v>36945.64583</v>
      </c>
      <c r="B241" s="3">
        <f>IFERROR(__xludf.DUMMYFUNCTION("""COMPUTED_VALUE"""),1355.1)</f>
        <v>1355.1</v>
      </c>
      <c r="C241" s="3">
        <f>IFERROR(__xludf.DUMMYFUNCTION("""COMPUTED_VALUE"""),1362.8)</f>
        <v>1362.8</v>
      </c>
      <c r="D241" s="3">
        <f>IFERROR(__xludf.DUMMYFUNCTION("""COMPUTED_VALUE"""),1314.1)</f>
        <v>1314.1</v>
      </c>
      <c r="E241" s="3">
        <f>IFERROR(__xludf.DUMMYFUNCTION("""COMPUTED_VALUE"""),1320.45)</f>
        <v>1320.45</v>
      </c>
      <c r="F241" s="3">
        <f>IFERROR(__xludf.DUMMYFUNCTION("""COMPUTED_VALUE"""),0.0)</f>
        <v>0</v>
      </c>
    </row>
    <row r="242">
      <c r="A242" s="7">
        <f>IFERROR(__xludf.DUMMYFUNCTION("""COMPUTED_VALUE"""),36948.645833333336)</f>
        <v>36948.64583</v>
      </c>
      <c r="B242" s="3">
        <f>IFERROR(__xludf.DUMMYFUNCTION("""COMPUTED_VALUE"""),1320.9)</f>
        <v>1320.9</v>
      </c>
      <c r="C242" s="3">
        <f>IFERROR(__xludf.DUMMYFUNCTION("""COMPUTED_VALUE"""),1325.2)</f>
        <v>1325.2</v>
      </c>
      <c r="D242" s="3">
        <f>IFERROR(__xludf.DUMMYFUNCTION("""COMPUTED_VALUE"""),1299.05)</f>
        <v>1299.05</v>
      </c>
      <c r="E242" s="3">
        <f>IFERROR(__xludf.DUMMYFUNCTION("""COMPUTED_VALUE"""),1312.4)</f>
        <v>1312.4</v>
      </c>
      <c r="F242" s="3">
        <f>IFERROR(__xludf.DUMMYFUNCTION("""COMPUTED_VALUE"""),0.0)</f>
        <v>0</v>
      </c>
    </row>
    <row r="243">
      <c r="A243" s="7">
        <f>IFERROR(__xludf.DUMMYFUNCTION("""COMPUTED_VALUE"""),36949.645833333336)</f>
        <v>36949.64583</v>
      </c>
      <c r="B243" s="3">
        <f>IFERROR(__xludf.DUMMYFUNCTION("""COMPUTED_VALUE"""),1312.45)</f>
        <v>1312.45</v>
      </c>
      <c r="C243" s="3">
        <f>IFERROR(__xludf.DUMMYFUNCTION("""COMPUTED_VALUE"""),1324.0)</f>
        <v>1324</v>
      </c>
      <c r="D243" s="3">
        <f>IFERROR(__xludf.DUMMYFUNCTION("""COMPUTED_VALUE"""),1281.9)</f>
        <v>1281.9</v>
      </c>
      <c r="E243" s="3">
        <f>IFERROR(__xludf.DUMMYFUNCTION("""COMPUTED_VALUE"""),1295.55)</f>
        <v>1295.55</v>
      </c>
      <c r="F243" s="3">
        <f>IFERROR(__xludf.DUMMYFUNCTION("""COMPUTED_VALUE"""),0.0)</f>
        <v>0</v>
      </c>
    </row>
    <row r="244">
      <c r="A244" s="7">
        <f>IFERROR(__xludf.DUMMYFUNCTION("""COMPUTED_VALUE"""),36950.645833333336)</f>
        <v>36950.64583</v>
      </c>
      <c r="B244" s="3">
        <f>IFERROR(__xludf.DUMMYFUNCTION("""COMPUTED_VALUE"""),1295.3)</f>
        <v>1295.3</v>
      </c>
      <c r="C244" s="3">
        <f>IFERROR(__xludf.DUMMYFUNCTION("""COMPUTED_VALUE"""),1362.25)</f>
        <v>1362.25</v>
      </c>
      <c r="D244" s="3">
        <f>IFERROR(__xludf.DUMMYFUNCTION("""COMPUTED_VALUE"""),1294.6)</f>
        <v>1294.6</v>
      </c>
      <c r="E244" s="3">
        <f>IFERROR(__xludf.DUMMYFUNCTION("""COMPUTED_VALUE"""),1351.4)</f>
        <v>1351.4</v>
      </c>
      <c r="F244" s="3">
        <f>IFERROR(__xludf.DUMMYFUNCTION("""COMPUTED_VALUE"""),0.0)</f>
        <v>0</v>
      </c>
    </row>
    <row r="245">
      <c r="A245" s="7">
        <f>IFERROR(__xludf.DUMMYFUNCTION("""COMPUTED_VALUE"""),36951.645833333336)</f>
        <v>36951.64583</v>
      </c>
      <c r="B245" s="3">
        <f>IFERROR(__xludf.DUMMYFUNCTION("""COMPUTED_VALUE"""),1351.75)</f>
        <v>1351.75</v>
      </c>
      <c r="C245" s="3">
        <f>IFERROR(__xludf.DUMMYFUNCTION("""COMPUTED_VALUE"""),1399.55)</f>
        <v>1399.55</v>
      </c>
      <c r="D245" s="3">
        <f>IFERROR(__xludf.DUMMYFUNCTION("""COMPUTED_VALUE"""),1345.05)</f>
        <v>1345.05</v>
      </c>
      <c r="E245" s="3">
        <f>IFERROR(__xludf.DUMMYFUNCTION("""COMPUTED_VALUE"""),1358.05)</f>
        <v>1358.05</v>
      </c>
      <c r="F245" s="3">
        <f>IFERROR(__xludf.DUMMYFUNCTION("""COMPUTED_VALUE"""),0.0)</f>
        <v>0</v>
      </c>
    </row>
    <row r="246">
      <c r="A246" s="7">
        <f>IFERROR(__xludf.DUMMYFUNCTION("""COMPUTED_VALUE"""),36952.645833333336)</f>
        <v>36952.64583</v>
      </c>
      <c r="B246" s="3">
        <f>IFERROR(__xludf.DUMMYFUNCTION("""COMPUTED_VALUE"""),1360.25)</f>
        <v>1360.25</v>
      </c>
      <c r="C246" s="3">
        <f>IFERROR(__xludf.DUMMYFUNCTION("""COMPUTED_VALUE"""),1386.75)</f>
        <v>1386.75</v>
      </c>
      <c r="D246" s="3">
        <f>IFERROR(__xludf.DUMMYFUNCTION("""COMPUTED_VALUE"""),1301.8)</f>
        <v>1301.8</v>
      </c>
      <c r="E246" s="3">
        <f>IFERROR(__xludf.DUMMYFUNCTION("""COMPUTED_VALUE"""),1306.35)</f>
        <v>1306.35</v>
      </c>
      <c r="F246" s="3">
        <f>IFERROR(__xludf.DUMMYFUNCTION("""COMPUTED_VALUE"""),0.0)</f>
        <v>0</v>
      </c>
    </row>
    <row r="247">
      <c r="A247" s="7">
        <f>IFERROR(__xludf.DUMMYFUNCTION("""COMPUTED_VALUE"""),36955.645833333336)</f>
        <v>36955.64583</v>
      </c>
      <c r="B247" s="3">
        <f>IFERROR(__xludf.DUMMYFUNCTION("""COMPUTED_VALUE"""),1304.85)</f>
        <v>1304.85</v>
      </c>
      <c r="C247" s="3">
        <f>IFERROR(__xludf.DUMMYFUNCTION("""COMPUTED_VALUE"""),1316.45)</f>
        <v>1316.45</v>
      </c>
      <c r="D247" s="3">
        <f>IFERROR(__xludf.DUMMYFUNCTION("""COMPUTED_VALUE"""),1259.1)</f>
        <v>1259.1</v>
      </c>
      <c r="E247" s="3">
        <f>IFERROR(__xludf.DUMMYFUNCTION("""COMPUTED_VALUE"""),1271.45)</f>
        <v>1271.45</v>
      </c>
      <c r="F247" s="3">
        <f>IFERROR(__xludf.DUMMYFUNCTION("""COMPUTED_VALUE"""),0.0)</f>
        <v>0</v>
      </c>
    </row>
    <row r="248">
      <c r="A248" s="7">
        <f>IFERROR(__xludf.DUMMYFUNCTION("""COMPUTED_VALUE"""),36957.645833333336)</f>
        <v>36957.64583</v>
      </c>
      <c r="B248" s="3">
        <f>IFERROR(__xludf.DUMMYFUNCTION("""COMPUTED_VALUE"""),1272.8)</f>
        <v>1272.8</v>
      </c>
      <c r="C248" s="3">
        <f>IFERROR(__xludf.DUMMYFUNCTION("""COMPUTED_VALUE"""),1311.1)</f>
        <v>1311.1</v>
      </c>
      <c r="D248" s="3">
        <f>IFERROR(__xludf.DUMMYFUNCTION("""COMPUTED_VALUE"""),1249.45)</f>
        <v>1249.45</v>
      </c>
      <c r="E248" s="3">
        <f>IFERROR(__xludf.DUMMYFUNCTION("""COMPUTED_VALUE"""),1290.5)</f>
        <v>1290.5</v>
      </c>
      <c r="F248" s="3">
        <f>IFERROR(__xludf.DUMMYFUNCTION("""COMPUTED_VALUE"""),0.0)</f>
        <v>0</v>
      </c>
    </row>
    <row r="249">
      <c r="A249" s="7">
        <f>IFERROR(__xludf.DUMMYFUNCTION("""COMPUTED_VALUE"""),36958.645833333336)</f>
        <v>36958.64583</v>
      </c>
      <c r="B249" s="3">
        <f>IFERROR(__xludf.DUMMYFUNCTION("""COMPUTED_VALUE"""),1290.85)</f>
        <v>1290.85</v>
      </c>
      <c r="C249" s="3">
        <f>IFERROR(__xludf.DUMMYFUNCTION("""COMPUTED_VALUE"""),1307.95)</f>
        <v>1307.95</v>
      </c>
      <c r="D249" s="3">
        <f>IFERROR(__xludf.DUMMYFUNCTION("""COMPUTED_VALUE"""),1279.3)</f>
        <v>1279.3</v>
      </c>
      <c r="E249" s="3">
        <f>IFERROR(__xludf.DUMMYFUNCTION("""COMPUTED_VALUE"""),1292.85)</f>
        <v>1292.85</v>
      </c>
      <c r="F249" s="3">
        <f>IFERROR(__xludf.DUMMYFUNCTION("""COMPUTED_VALUE"""),0.0)</f>
        <v>0</v>
      </c>
    </row>
    <row r="250">
      <c r="A250" s="7">
        <f>IFERROR(__xludf.DUMMYFUNCTION("""COMPUTED_VALUE"""),36959.645833333336)</f>
        <v>36959.64583</v>
      </c>
      <c r="B250" s="3">
        <f>IFERROR(__xludf.DUMMYFUNCTION("""COMPUTED_VALUE"""),1292.7)</f>
        <v>1292.7</v>
      </c>
      <c r="C250" s="3">
        <f>IFERROR(__xludf.DUMMYFUNCTION("""COMPUTED_VALUE"""),1292.7)</f>
        <v>1292.7</v>
      </c>
      <c r="D250" s="3">
        <f>IFERROR(__xludf.DUMMYFUNCTION("""COMPUTED_VALUE"""),1219.35)</f>
        <v>1219.35</v>
      </c>
      <c r="E250" s="3">
        <f>IFERROR(__xludf.DUMMYFUNCTION("""COMPUTED_VALUE"""),1254.75)</f>
        <v>1254.75</v>
      </c>
      <c r="F250" s="3">
        <f>IFERROR(__xludf.DUMMYFUNCTION("""COMPUTED_VALUE"""),0.0)</f>
        <v>0</v>
      </c>
    </row>
    <row r="251">
      <c r="A251" s="7">
        <f>IFERROR(__xludf.DUMMYFUNCTION("""COMPUTED_VALUE"""),36962.645833333336)</f>
        <v>36962.64583</v>
      </c>
      <c r="B251" s="3">
        <f>IFERROR(__xludf.DUMMYFUNCTION("""COMPUTED_VALUE"""),1253.25)</f>
        <v>1253.25</v>
      </c>
      <c r="C251" s="3">
        <f>IFERROR(__xludf.DUMMYFUNCTION("""COMPUTED_VALUE"""),1253.25)</f>
        <v>1253.25</v>
      </c>
      <c r="D251" s="3">
        <f>IFERROR(__xludf.DUMMYFUNCTION("""COMPUTED_VALUE"""),1193.95)</f>
        <v>1193.95</v>
      </c>
      <c r="E251" s="3">
        <f>IFERROR(__xludf.DUMMYFUNCTION("""COMPUTED_VALUE"""),1197.95)</f>
        <v>1197.95</v>
      </c>
      <c r="F251" s="3">
        <f>IFERROR(__xludf.DUMMYFUNCTION("""COMPUTED_VALUE"""),0.0)</f>
        <v>0</v>
      </c>
    </row>
    <row r="252">
      <c r="A252" s="7">
        <f>IFERROR(__xludf.DUMMYFUNCTION("""COMPUTED_VALUE"""),36963.645833333336)</f>
        <v>36963.64583</v>
      </c>
      <c r="B252" s="3">
        <f>IFERROR(__xludf.DUMMYFUNCTION("""COMPUTED_VALUE"""),1197.85)</f>
        <v>1197.85</v>
      </c>
      <c r="C252" s="3">
        <f>IFERROR(__xludf.DUMMYFUNCTION("""COMPUTED_VALUE"""),1201.15)</f>
        <v>1201.15</v>
      </c>
      <c r="D252" s="3">
        <f>IFERROR(__xludf.DUMMYFUNCTION("""COMPUTED_VALUE"""),1098.75)</f>
        <v>1098.75</v>
      </c>
      <c r="E252" s="3">
        <f>IFERROR(__xludf.DUMMYFUNCTION("""COMPUTED_VALUE"""),1124.7)</f>
        <v>1124.7</v>
      </c>
      <c r="F252" s="3">
        <f>IFERROR(__xludf.DUMMYFUNCTION("""COMPUTED_VALUE"""),0.0)</f>
        <v>0</v>
      </c>
    </row>
    <row r="253">
      <c r="A253" s="7">
        <f>IFERROR(__xludf.DUMMYFUNCTION("""COMPUTED_VALUE"""),36964.645833333336)</f>
        <v>36964.64583</v>
      </c>
      <c r="B253" s="3">
        <f>IFERROR(__xludf.DUMMYFUNCTION("""COMPUTED_VALUE"""),1125.15)</f>
        <v>1125.15</v>
      </c>
      <c r="C253" s="3">
        <f>IFERROR(__xludf.DUMMYFUNCTION("""COMPUTED_VALUE"""),1200.25)</f>
        <v>1200.25</v>
      </c>
      <c r="D253" s="3">
        <f>IFERROR(__xludf.DUMMYFUNCTION("""COMPUTED_VALUE"""),1114.6)</f>
        <v>1114.6</v>
      </c>
      <c r="E253" s="3">
        <f>IFERROR(__xludf.DUMMYFUNCTION("""COMPUTED_VALUE"""),1194.2)</f>
        <v>1194.2</v>
      </c>
      <c r="F253" s="3">
        <f>IFERROR(__xludf.DUMMYFUNCTION("""COMPUTED_VALUE"""),0.0)</f>
        <v>0</v>
      </c>
    </row>
    <row r="254">
      <c r="A254" s="7">
        <f>IFERROR(__xludf.DUMMYFUNCTION("""COMPUTED_VALUE"""),36965.645833333336)</f>
        <v>36965.64583</v>
      </c>
      <c r="B254" s="3">
        <f>IFERROR(__xludf.DUMMYFUNCTION("""COMPUTED_VALUE"""),1191.6)</f>
        <v>1191.6</v>
      </c>
      <c r="C254" s="3">
        <f>IFERROR(__xludf.DUMMYFUNCTION("""COMPUTED_VALUE"""),1219.7)</f>
        <v>1219.7</v>
      </c>
      <c r="D254" s="3">
        <f>IFERROR(__xludf.DUMMYFUNCTION("""COMPUTED_VALUE"""),1170.7)</f>
        <v>1170.7</v>
      </c>
      <c r="E254" s="3">
        <f>IFERROR(__xludf.DUMMYFUNCTION("""COMPUTED_VALUE"""),1217.15)</f>
        <v>1217.15</v>
      </c>
      <c r="F254" s="3">
        <f>IFERROR(__xludf.DUMMYFUNCTION("""COMPUTED_VALUE"""),0.0)</f>
        <v>0</v>
      </c>
    </row>
    <row r="255">
      <c r="A255" s="7">
        <f>IFERROR(__xludf.DUMMYFUNCTION("""COMPUTED_VALUE"""),36966.645833333336)</f>
        <v>36966.64583</v>
      </c>
      <c r="B255" s="3">
        <f>IFERROR(__xludf.DUMMYFUNCTION("""COMPUTED_VALUE"""),1216.9)</f>
        <v>1216.9</v>
      </c>
      <c r="C255" s="3">
        <f>IFERROR(__xludf.DUMMYFUNCTION("""COMPUTED_VALUE"""),1233.4)</f>
        <v>1233.4</v>
      </c>
      <c r="D255" s="3">
        <f>IFERROR(__xludf.DUMMYFUNCTION("""COMPUTED_VALUE"""),1179.6)</f>
        <v>1179.6</v>
      </c>
      <c r="E255" s="3">
        <f>IFERROR(__xludf.DUMMYFUNCTION("""COMPUTED_VALUE"""),1193.55)</f>
        <v>1193.55</v>
      </c>
      <c r="F255" s="3">
        <f>IFERROR(__xludf.DUMMYFUNCTION("""COMPUTED_VALUE"""),0.0)</f>
        <v>0</v>
      </c>
    </row>
    <row r="256">
      <c r="A256" s="7">
        <f>IFERROR(__xludf.DUMMYFUNCTION("""COMPUTED_VALUE"""),36969.645833333336)</f>
        <v>36969.64583</v>
      </c>
      <c r="B256" s="3">
        <f>IFERROR(__xludf.DUMMYFUNCTION("""COMPUTED_VALUE"""),1192.85)</f>
        <v>1192.85</v>
      </c>
      <c r="C256" s="3">
        <f>IFERROR(__xludf.DUMMYFUNCTION("""COMPUTED_VALUE"""),1201.7)</f>
        <v>1201.7</v>
      </c>
      <c r="D256" s="3">
        <f>IFERROR(__xludf.DUMMYFUNCTION("""COMPUTED_VALUE"""),1173.15)</f>
        <v>1173.15</v>
      </c>
      <c r="E256" s="3">
        <f>IFERROR(__xludf.DUMMYFUNCTION("""COMPUTED_VALUE"""),1186.7)</f>
        <v>1186.7</v>
      </c>
      <c r="F256" s="3">
        <f>IFERROR(__xludf.DUMMYFUNCTION("""COMPUTED_VALUE"""),0.0)</f>
        <v>0</v>
      </c>
    </row>
    <row r="257">
      <c r="A257" s="7">
        <f>IFERROR(__xludf.DUMMYFUNCTION("""COMPUTED_VALUE"""),36970.645833333336)</f>
        <v>36970.64583</v>
      </c>
      <c r="B257" s="3">
        <f>IFERROR(__xludf.DUMMYFUNCTION("""COMPUTED_VALUE"""),1186.8)</f>
        <v>1186.8</v>
      </c>
      <c r="C257" s="3">
        <f>IFERROR(__xludf.DUMMYFUNCTION("""COMPUTED_VALUE"""),1193.35)</f>
        <v>1193.35</v>
      </c>
      <c r="D257" s="3">
        <f>IFERROR(__xludf.DUMMYFUNCTION("""COMPUTED_VALUE"""),1162.35)</f>
        <v>1162.35</v>
      </c>
      <c r="E257" s="3">
        <f>IFERROR(__xludf.DUMMYFUNCTION("""COMPUTED_VALUE"""),1170.95)</f>
        <v>1170.95</v>
      </c>
      <c r="F257" s="3">
        <f>IFERROR(__xludf.DUMMYFUNCTION("""COMPUTED_VALUE"""),0.0)</f>
        <v>0</v>
      </c>
    </row>
    <row r="258">
      <c r="A258" s="7">
        <f>IFERROR(__xludf.DUMMYFUNCTION("""COMPUTED_VALUE"""),36971.645833333336)</f>
        <v>36971.64583</v>
      </c>
      <c r="B258" s="3">
        <f>IFERROR(__xludf.DUMMYFUNCTION("""COMPUTED_VALUE"""),1168.8)</f>
        <v>1168.8</v>
      </c>
      <c r="C258" s="3">
        <f>IFERROR(__xludf.DUMMYFUNCTION("""COMPUTED_VALUE"""),1212.2)</f>
        <v>1212.2</v>
      </c>
      <c r="D258" s="3">
        <f>IFERROR(__xludf.DUMMYFUNCTION("""COMPUTED_VALUE"""),1156.15)</f>
        <v>1156.15</v>
      </c>
      <c r="E258" s="3">
        <f>IFERROR(__xludf.DUMMYFUNCTION("""COMPUTED_VALUE"""),1207.1)</f>
        <v>1207.1</v>
      </c>
      <c r="F258" s="3">
        <f>IFERROR(__xludf.DUMMYFUNCTION("""COMPUTED_VALUE"""),0.0)</f>
        <v>0</v>
      </c>
    </row>
    <row r="259">
      <c r="A259" s="7">
        <f>IFERROR(__xludf.DUMMYFUNCTION("""COMPUTED_VALUE"""),36972.645833333336)</f>
        <v>36972.64583</v>
      </c>
      <c r="B259" s="3">
        <f>IFERROR(__xludf.DUMMYFUNCTION("""COMPUTED_VALUE"""),1206.45)</f>
        <v>1206.45</v>
      </c>
      <c r="C259" s="3">
        <f>IFERROR(__xludf.DUMMYFUNCTION("""COMPUTED_VALUE"""),1218.35)</f>
        <v>1218.35</v>
      </c>
      <c r="D259" s="3">
        <f>IFERROR(__xludf.DUMMYFUNCTION("""COMPUTED_VALUE"""),1184.95)</f>
        <v>1184.95</v>
      </c>
      <c r="E259" s="3">
        <f>IFERROR(__xludf.DUMMYFUNCTION("""COMPUTED_VALUE"""),1187.55)</f>
        <v>1187.55</v>
      </c>
      <c r="F259" s="3">
        <f>IFERROR(__xludf.DUMMYFUNCTION("""COMPUTED_VALUE"""),0.0)</f>
        <v>0</v>
      </c>
    </row>
    <row r="260">
      <c r="A260" s="7">
        <f>IFERROR(__xludf.DUMMYFUNCTION("""COMPUTED_VALUE"""),36973.645833333336)</f>
        <v>36973.64583</v>
      </c>
      <c r="B260" s="3">
        <f>IFERROR(__xludf.DUMMYFUNCTION("""COMPUTED_VALUE"""),1187.6)</f>
        <v>1187.6</v>
      </c>
      <c r="C260" s="3">
        <f>IFERROR(__xludf.DUMMYFUNCTION("""COMPUTED_VALUE"""),1196.55)</f>
        <v>1196.55</v>
      </c>
      <c r="D260" s="3">
        <f>IFERROR(__xludf.DUMMYFUNCTION("""COMPUTED_VALUE"""),1139.65)</f>
        <v>1139.65</v>
      </c>
      <c r="E260" s="3">
        <f>IFERROR(__xludf.DUMMYFUNCTION("""COMPUTED_VALUE"""),1161.3)</f>
        <v>1161.3</v>
      </c>
      <c r="F260" s="3">
        <f>IFERROR(__xludf.DUMMYFUNCTION("""COMPUTED_VALUE"""),0.0)</f>
        <v>0</v>
      </c>
    </row>
    <row r="261">
      <c r="A261" s="7">
        <f>IFERROR(__xludf.DUMMYFUNCTION("""COMPUTED_VALUE"""),36976.645833333336)</f>
        <v>36976.64583</v>
      </c>
      <c r="B261" s="3">
        <f>IFERROR(__xludf.DUMMYFUNCTION("""COMPUTED_VALUE"""),1159.85)</f>
        <v>1159.85</v>
      </c>
      <c r="C261" s="3">
        <f>IFERROR(__xludf.DUMMYFUNCTION("""COMPUTED_VALUE"""),1165.65)</f>
        <v>1165.65</v>
      </c>
      <c r="D261" s="3">
        <f>IFERROR(__xludf.DUMMYFUNCTION("""COMPUTED_VALUE"""),1147.5)</f>
        <v>1147.5</v>
      </c>
      <c r="E261" s="3">
        <f>IFERROR(__xludf.DUMMYFUNCTION("""COMPUTED_VALUE"""),1161.5)</f>
        <v>1161.5</v>
      </c>
      <c r="F261" s="3">
        <f>IFERROR(__xludf.DUMMYFUNCTION("""COMPUTED_VALUE"""),0.0)</f>
        <v>0</v>
      </c>
    </row>
    <row r="262">
      <c r="A262" s="7">
        <f>IFERROR(__xludf.DUMMYFUNCTION("""COMPUTED_VALUE"""),36977.645833333336)</f>
        <v>36977.64583</v>
      </c>
      <c r="B262" s="3">
        <f>IFERROR(__xludf.DUMMYFUNCTION("""COMPUTED_VALUE"""),1161.6)</f>
        <v>1161.6</v>
      </c>
      <c r="C262" s="3">
        <f>IFERROR(__xludf.DUMMYFUNCTION("""COMPUTED_VALUE"""),1182.7)</f>
        <v>1182.7</v>
      </c>
      <c r="D262" s="3">
        <f>IFERROR(__xludf.DUMMYFUNCTION("""COMPUTED_VALUE"""),1157.25)</f>
        <v>1157.25</v>
      </c>
      <c r="E262" s="3">
        <f>IFERROR(__xludf.DUMMYFUNCTION("""COMPUTED_VALUE"""),1177.75)</f>
        <v>1177.75</v>
      </c>
      <c r="F262" s="3">
        <f>IFERROR(__xludf.DUMMYFUNCTION("""COMPUTED_VALUE"""),0.0)</f>
        <v>0</v>
      </c>
    </row>
    <row r="263">
      <c r="A263" s="7">
        <f>IFERROR(__xludf.DUMMYFUNCTION("""COMPUTED_VALUE"""),36978.645833333336)</f>
        <v>36978.64583</v>
      </c>
      <c r="B263" s="3">
        <f>IFERROR(__xludf.DUMMYFUNCTION("""COMPUTED_VALUE"""),1177.55)</f>
        <v>1177.55</v>
      </c>
      <c r="C263" s="3">
        <f>IFERROR(__xludf.DUMMYFUNCTION("""COMPUTED_VALUE"""),1209.6)</f>
        <v>1209.6</v>
      </c>
      <c r="D263" s="3">
        <f>IFERROR(__xludf.DUMMYFUNCTION("""COMPUTED_VALUE"""),1177.55)</f>
        <v>1177.55</v>
      </c>
      <c r="E263" s="3">
        <f>IFERROR(__xludf.DUMMYFUNCTION("""COMPUTED_VALUE"""),1206.2)</f>
        <v>1206.2</v>
      </c>
      <c r="F263" s="3">
        <f>IFERROR(__xludf.DUMMYFUNCTION("""COMPUTED_VALUE"""),0.0)</f>
        <v>0</v>
      </c>
    </row>
    <row r="264">
      <c r="A264" s="7">
        <f>IFERROR(__xludf.DUMMYFUNCTION("""COMPUTED_VALUE"""),36979.645833333336)</f>
        <v>36979.64583</v>
      </c>
      <c r="B264" s="3">
        <f>IFERROR(__xludf.DUMMYFUNCTION("""COMPUTED_VALUE"""),1204.9)</f>
        <v>1204.9</v>
      </c>
      <c r="C264" s="3">
        <f>IFERROR(__xludf.DUMMYFUNCTION("""COMPUTED_VALUE"""),1210.1)</f>
        <v>1210.1</v>
      </c>
      <c r="D264" s="3">
        <f>IFERROR(__xludf.DUMMYFUNCTION("""COMPUTED_VALUE"""),1185.0)</f>
        <v>1185</v>
      </c>
      <c r="E264" s="3">
        <f>IFERROR(__xludf.DUMMYFUNCTION("""COMPUTED_VALUE"""),1195.1)</f>
        <v>1195.1</v>
      </c>
      <c r="F264" s="3">
        <f>IFERROR(__xludf.DUMMYFUNCTION("""COMPUTED_VALUE"""),0.0)</f>
        <v>0</v>
      </c>
    </row>
    <row r="265">
      <c r="A265" s="7">
        <f>IFERROR(__xludf.DUMMYFUNCTION("""COMPUTED_VALUE"""),36980.645833333336)</f>
        <v>36980.64583</v>
      </c>
      <c r="B265" s="3">
        <f>IFERROR(__xludf.DUMMYFUNCTION("""COMPUTED_VALUE"""),1195.05)</f>
        <v>1195.05</v>
      </c>
      <c r="C265" s="3">
        <f>IFERROR(__xludf.DUMMYFUNCTION("""COMPUTED_VALUE"""),1195.25)</f>
        <v>1195.25</v>
      </c>
      <c r="D265" s="3">
        <f>IFERROR(__xludf.DUMMYFUNCTION("""COMPUTED_VALUE"""),1144.65)</f>
        <v>1144.65</v>
      </c>
      <c r="E265" s="3">
        <f>IFERROR(__xludf.DUMMYFUNCTION("""COMPUTED_VALUE"""),1148.2)</f>
        <v>1148.2</v>
      </c>
      <c r="F265" s="3">
        <f>IFERROR(__xludf.DUMMYFUNCTION("""COMPUTED_VALUE"""),0.0)</f>
        <v>0</v>
      </c>
    </row>
    <row r="266">
      <c r="A266" s="7">
        <f>IFERROR(__xludf.DUMMYFUNCTION("""COMPUTED_VALUE"""),36983.645833333336)</f>
        <v>36983.64583</v>
      </c>
      <c r="B266" s="3">
        <f>IFERROR(__xludf.DUMMYFUNCTION("""COMPUTED_VALUE"""),1148.1)</f>
        <v>1148.1</v>
      </c>
      <c r="C266" s="3">
        <f>IFERROR(__xludf.DUMMYFUNCTION("""COMPUTED_VALUE"""),1148.1)</f>
        <v>1148.1</v>
      </c>
      <c r="D266" s="3">
        <f>IFERROR(__xludf.DUMMYFUNCTION("""COMPUTED_VALUE"""),1094.35)</f>
        <v>1094.35</v>
      </c>
      <c r="E266" s="3">
        <f>IFERROR(__xludf.DUMMYFUNCTION("""COMPUTED_VALUE"""),1138.1)</f>
        <v>1138.1</v>
      </c>
      <c r="F266" s="3">
        <f>IFERROR(__xludf.DUMMYFUNCTION("""COMPUTED_VALUE"""),0.0)</f>
        <v>0</v>
      </c>
    </row>
    <row r="267">
      <c r="A267" s="7">
        <f>IFERROR(__xludf.DUMMYFUNCTION("""COMPUTED_VALUE"""),36984.645833333336)</f>
        <v>36984.64583</v>
      </c>
      <c r="B267" s="3">
        <f>IFERROR(__xludf.DUMMYFUNCTION("""COMPUTED_VALUE"""),1136.65)</f>
        <v>1136.65</v>
      </c>
      <c r="C267" s="3">
        <f>IFERROR(__xludf.DUMMYFUNCTION("""COMPUTED_VALUE"""),1153.1)</f>
        <v>1153.1</v>
      </c>
      <c r="D267" s="3">
        <f>IFERROR(__xludf.DUMMYFUNCTION("""COMPUTED_VALUE"""),1128.1)</f>
        <v>1128.1</v>
      </c>
      <c r="E267" s="3">
        <f>IFERROR(__xludf.DUMMYFUNCTION("""COMPUTED_VALUE"""),1149.25)</f>
        <v>1149.25</v>
      </c>
      <c r="F267" s="3">
        <f>IFERROR(__xludf.DUMMYFUNCTION("""COMPUTED_VALUE"""),0.0)</f>
        <v>0</v>
      </c>
    </row>
    <row r="268">
      <c r="A268" s="7">
        <f>IFERROR(__xludf.DUMMYFUNCTION("""COMPUTED_VALUE"""),36985.645833333336)</f>
        <v>36985.64583</v>
      </c>
      <c r="B268" s="3">
        <f>IFERROR(__xludf.DUMMYFUNCTION("""COMPUTED_VALUE"""),1146.1)</f>
        <v>1146.1</v>
      </c>
      <c r="C268" s="3">
        <f>IFERROR(__xludf.DUMMYFUNCTION("""COMPUTED_VALUE"""),1146.15)</f>
        <v>1146.15</v>
      </c>
      <c r="D268" s="3">
        <f>IFERROR(__xludf.DUMMYFUNCTION("""COMPUTED_VALUE"""),1120.35)</f>
        <v>1120.35</v>
      </c>
      <c r="E268" s="3">
        <f>IFERROR(__xludf.DUMMYFUNCTION("""COMPUTED_VALUE"""),1136.65)</f>
        <v>1136.65</v>
      </c>
      <c r="F268" s="3">
        <f>IFERROR(__xludf.DUMMYFUNCTION("""COMPUTED_VALUE"""),0.0)</f>
        <v>0</v>
      </c>
    </row>
    <row r="269">
      <c r="A269" s="7">
        <f>IFERROR(__xludf.DUMMYFUNCTION("""COMPUTED_VALUE"""),36987.645833333336)</f>
        <v>36987.64583</v>
      </c>
      <c r="B269" s="3">
        <f>IFERROR(__xludf.DUMMYFUNCTION("""COMPUTED_VALUE"""),1137.55)</f>
        <v>1137.55</v>
      </c>
      <c r="C269" s="3">
        <f>IFERROR(__xludf.DUMMYFUNCTION("""COMPUTED_VALUE"""),1171.85)</f>
        <v>1171.85</v>
      </c>
      <c r="D269" s="3">
        <f>IFERROR(__xludf.DUMMYFUNCTION("""COMPUTED_VALUE"""),1133.05)</f>
        <v>1133.05</v>
      </c>
      <c r="E269" s="3">
        <f>IFERROR(__xludf.DUMMYFUNCTION("""COMPUTED_VALUE"""),1139.6)</f>
        <v>1139.6</v>
      </c>
      <c r="F269" s="3">
        <f>IFERROR(__xludf.DUMMYFUNCTION("""COMPUTED_VALUE"""),0.0)</f>
        <v>0</v>
      </c>
    </row>
    <row r="270">
      <c r="A270" s="7">
        <f>IFERROR(__xludf.DUMMYFUNCTION("""COMPUTED_VALUE"""),36990.645833333336)</f>
        <v>36990.64583</v>
      </c>
      <c r="B270" s="3">
        <f>IFERROR(__xludf.DUMMYFUNCTION("""COMPUTED_VALUE"""),1137.6)</f>
        <v>1137.6</v>
      </c>
      <c r="C270" s="3">
        <f>IFERROR(__xludf.DUMMYFUNCTION("""COMPUTED_VALUE"""),1138.55)</f>
        <v>1138.55</v>
      </c>
      <c r="D270" s="3">
        <f>IFERROR(__xludf.DUMMYFUNCTION("""COMPUTED_VALUE"""),1116.1)</f>
        <v>1116.1</v>
      </c>
      <c r="E270" s="3">
        <f>IFERROR(__xludf.DUMMYFUNCTION("""COMPUTED_VALUE"""),1128.35)</f>
        <v>1128.35</v>
      </c>
      <c r="F270" s="3">
        <f>IFERROR(__xludf.DUMMYFUNCTION("""COMPUTED_VALUE"""),0.0)</f>
        <v>0</v>
      </c>
    </row>
    <row r="271">
      <c r="A271" s="7">
        <f>IFERROR(__xludf.DUMMYFUNCTION("""COMPUTED_VALUE"""),36991.645833333336)</f>
        <v>36991.64583</v>
      </c>
      <c r="B271" s="3">
        <f>IFERROR(__xludf.DUMMYFUNCTION("""COMPUTED_VALUE"""),1129.1)</f>
        <v>1129.1</v>
      </c>
      <c r="C271" s="3">
        <f>IFERROR(__xludf.DUMMYFUNCTION("""COMPUTED_VALUE"""),1129.75)</f>
        <v>1129.75</v>
      </c>
      <c r="D271" s="3">
        <f>IFERROR(__xludf.DUMMYFUNCTION("""COMPUTED_VALUE"""),1093.05)</f>
        <v>1093.05</v>
      </c>
      <c r="E271" s="3">
        <f>IFERROR(__xludf.DUMMYFUNCTION("""COMPUTED_VALUE"""),1103.05)</f>
        <v>1103.05</v>
      </c>
      <c r="F271" s="3">
        <f>IFERROR(__xludf.DUMMYFUNCTION("""COMPUTED_VALUE"""),0.0)</f>
        <v>0</v>
      </c>
    </row>
    <row r="272">
      <c r="A272" s="7">
        <f>IFERROR(__xludf.DUMMYFUNCTION("""COMPUTED_VALUE"""),36992.645833333336)</f>
        <v>36992.64583</v>
      </c>
      <c r="B272" s="3">
        <f>IFERROR(__xludf.DUMMYFUNCTION("""COMPUTED_VALUE"""),1104.9)</f>
        <v>1104.9</v>
      </c>
      <c r="C272" s="3">
        <f>IFERROR(__xludf.DUMMYFUNCTION("""COMPUTED_VALUE"""),1116.85)</f>
        <v>1116.85</v>
      </c>
      <c r="D272" s="3">
        <f>IFERROR(__xludf.DUMMYFUNCTION("""COMPUTED_VALUE"""),1056.1)</f>
        <v>1056.1</v>
      </c>
      <c r="E272" s="3">
        <f>IFERROR(__xludf.DUMMYFUNCTION("""COMPUTED_VALUE"""),1066.8)</f>
        <v>1066.8</v>
      </c>
      <c r="F272" s="3">
        <f>IFERROR(__xludf.DUMMYFUNCTION("""COMPUTED_VALUE"""),0.0)</f>
        <v>0</v>
      </c>
    </row>
    <row r="273">
      <c r="A273" s="7">
        <f>IFERROR(__xludf.DUMMYFUNCTION("""COMPUTED_VALUE"""),36993.645833333336)</f>
        <v>36993.64583</v>
      </c>
      <c r="B273" s="3">
        <f>IFERROR(__xludf.DUMMYFUNCTION("""COMPUTED_VALUE"""),1066.75)</f>
        <v>1066.75</v>
      </c>
      <c r="C273" s="3">
        <f>IFERROR(__xludf.DUMMYFUNCTION("""COMPUTED_VALUE"""),1066.75)</f>
        <v>1066.75</v>
      </c>
      <c r="D273" s="3">
        <f>IFERROR(__xludf.DUMMYFUNCTION("""COMPUTED_VALUE"""),1001.8)</f>
        <v>1001.8</v>
      </c>
      <c r="E273" s="3">
        <f>IFERROR(__xludf.DUMMYFUNCTION("""COMPUTED_VALUE"""),1024.9)</f>
        <v>1024.9</v>
      </c>
      <c r="F273" s="3">
        <f>IFERROR(__xludf.DUMMYFUNCTION("""COMPUTED_VALUE"""),0.0)</f>
        <v>0</v>
      </c>
    </row>
    <row r="274">
      <c r="A274" s="7">
        <f>IFERROR(__xludf.DUMMYFUNCTION("""COMPUTED_VALUE"""),36997.645833333336)</f>
        <v>36997.64583</v>
      </c>
      <c r="B274" s="3">
        <f>IFERROR(__xludf.DUMMYFUNCTION("""COMPUTED_VALUE"""),1024.0)</f>
        <v>1024</v>
      </c>
      <c r="C274" s="3">
        <f>IFERROR(__xludf.DUMMYFUNCTION("""COMPUTED_VALUE"""),1049.4)</f>
        <v>1049.4</v>
      </c>
      <c r="D274" s="3">
        <f>IFERROR(__xludf.DUMMYFUNCTION("""COMPUTED_VALUE"""),1000.1)</f>
        <v>1000.1</v>
      </c>
      <c r="E274" s="3">
        <f>IFERROR(__xludf.DUMMYFUNCTION("""COMPUTED_VALUE"""),1044.6)</f>
        <v>1044.6</v>
      </c>
      <c r="F274" s="3">
        <f>IFERROR(__xludf.DUMMYFUNCTION("""COMPUTED_VALUE"""),0.0)</f>
        <v>0</v>
      </c>
    </row>
    <row r="275">
      <c r="A275" s="7">
        <f>IFERROR(__xludf.DUMMYFUNCTION("""COMPUTED_VALUE"""),36998.645833333336)</f>
        <v>36998.64583</v>
      </c>
      <c r="B275" s="3">
        <f>IFERROR(__xludf.DUMMYFUNCTION("""COMPUTED_VALUE"""),1044.85)</f>
        <v>1044.85</v>
      </c>
      <c r="C275" s="3">
        <f>IFERROR(__xludf.DUMMYFUNCTION("""COMPUTED_VALUE"""),1072.9)</f>
        <v>1072.9</v>
      </c>
      <c r="D275" s="3">
        <f>IFERROR(__xludf.DUMMYFUNCTION("""COMPUTED_VALUE"""),1037.7)</f>
        <v>1037.7</v>
      </c>
      <c r="E275" s="3">
        <f>IFERROR(__xludf.DUMMYFUNCTION("""COMPUTED_VALUE"""),1067.0)</f>
        <v>1067</v>
      </c>
      <c r="F275" s="3">
        <f>IFERROR(__xludf.DUMMYFUNCTION("""COMPUTED_VALUE"""),0.0)</f>
        <v>0</v>
      </c>
    </row>
    <row r="276">
      <c r="A276" s="7">
        <f>IFERROR(__xludf.DUMMYFUNCTION("""COMPUTED_VALUE"""),36999.645833333336)</f>
        <v>36999.64583</v>
      </c>
      <c r="B276" s="3">
        <f>IFERROR(__xludf.DUMMYFUNCTION("""COMPUTED_VALUE"""),1066.5)</f>
        <v>1066.5</v>
      </c>
      <c r="C276" s="3">
        <f>IFERROR(__xludf.DUMMYFUNCTION("""COMPUTED_VALUE"""),1106.3)</f>
        <v>1106.3</v>
      </c>
      <c r="D276" s="3">
        <f>IFERROR(__xludf.DUMMYFUNCTION("""COMPUTED_VALUE"""),1063.05)</f>
        <v>1063.05</v>
      </c>
      <c r="E276" s="3">
        <f>IFERROR(__xludf.DUMMYFUNCTION("""COMPUTED_VALUE"""),1103.4)</f>
        <v>1103.4</v>
      </c>
      <c r="F276" s="3">
        <f>IFERROR(__xludf.DUMMYFUNCTION("""COMPUTED_VALUE"""),0.0)</f>
        <v>0</v>
      </c>
    </row>
    <row r="277">
      <c r="A277" s="7">
        <f>IFERROR(__xludf.DUMMYFUNCTION("""COMPUTED_VALUE"""),37000.645833333336)</f>
        <v>37000.64583</v>
      </c>
      <c r="B277" s="3">
        <f>IFERROR(__xludf.DUMMYFUNCTION("""COMPUTED_VALUE"""),1103.6)</f>
        <v>1103.6</v>
      </c>
      <c r="C277" s="3">
        <f>IFERROR(__xludf.DUMMYFUNCTION("""COMPUTED_VALUE"""),1159.3)</f>
        <v>1159.3</v>
      </c>
      <c r="D277" s="3">
        <f>IFERROR(__xludf.DUMMYFUNCTION("""COMPUTED_VALUE"""),1103.6)</f>
        <v>1103.6</v>
      </c>
      <c r="E277" s="3">
        <f>IFERROR(__xludf.DUMMYFUNCTION("""COMPUTED_VALUE"""),1144.45)</f>
        <v>1144.45</v>
      </c>
      <c r="F277" s="3">
        <f>IFERROR(__xludf.DUMMYFUNCTION("""COMPUTED_VALUE"""),0.0)</f>
        <v>0</v>
      </c>
    </row>
    <row r="278">
      <c r="A278" s="7">
        <f>IFERROR(__xludf.DUMMYFUNCTION("""COMPUTED_VALUE"""),37001.645833333336)</f>
        <v>37001.64583</v>
      </c>
      <c r="B278" s="3">
        <f>IFERROR(__xludf.DUMMYFUNCTION("""COMPUTED_VALUE"""),1145.75)</f>
        <v>1145.75</v>
      </c>
      <c r="C278" s="3">
        <f>IFERROR(__xludf.DUMMYFUNCTION("""COMPUTED_VALUE"""),1156.45)</f>
        <v>1156.45</v>
      </c>
      <c r="D278" s="3">
        <f>IFERROR(__xludf.DUMMYFUNCTION("""COMPUTED_VALUE"""),1120.6)</f>
        <v>1120.6</v>
      </c>
      <c r="E278" s="3">
        <f>IFERROR(__xludf.DUMMYFUNCTION("""COMPUTED_VALUE"""),1144.0)</f>
        <v>1144</v>
      </c>
      <c r="F278" s="3">
        <f>IFERROR(__xludf.DUMMYFUNCTION("""COMPUTED_VALUE"""),0.0)</f>
        <v>0</v>
      </c>
    </row>
    <row r="279">
      <c r="A279" s="7">
        <f>IFERROR(__xludf.DUMMYFUNCTION("""COMPUTED_VALUE"""),37004.645833333336)</f>
        <v>37004.64583</v>
      </c>
      <c r="B279" s="3">
        <f>IFERROR(__xludf.DUMMYFUNCTION("""COMPUTED_VALUE"""),1144.05)</f>
        <v>1144.05</v>
      </c>
      <c r="C279" s="3">
        <f>IFERROR(__xludf.DUMMYFUNCTION("""COMPUTED_VALUE"""),1162.05)</f>
        <v>1162.05</v>
      </c>
      <c r="D279" s="3">
        <f>IFERROR(__xludf.DUMMYFUNCTION("""COMPUTED_VALUE"""),1137.3)</f>
        <v>1137.3</v>
      </c>
      <c r="E279" s="3">
        <f>IFERROR(__xludf.DUMMYFUNCTION("""COMPUTED_VALUE"""),1149.75)</f>
        <v>1149.75</v>
      </c>
      <c r="F279" s="3">
        <f>IFERROR(__xludf.DUMMYFUNCTION("""COMPUTED_VALUE"""),0.0)</f>
        <v>0</v>
      </c>
    </row>
    <row r="280">
      <c r="A280" s="7">
        <f>IFERROR(__xludf.DUMMYFUNCTION("""COMPUTED_VALUE"""),37005.645833333336)</f>
        <v>37005.64583</v>
      </c>
      <c r="B280" s="3">
        <f>IFERROR(__xludf.DUMMYFUNCTION("""COMPUTED_VALUE"""),1149.6)</f>
        <v>1149.6</v>
      </c>
      <c r="C280" s="3">
        <f>IFERROR(__xludf.DUMMYFUNCTION("""COMPUTED_VALUE"""),1149.6)</f>
        <v>1149.6</v>
      </c>
      <c r="D280" s="3">
        <f>IFERROR(__xludf.DUMMYFUNCTION("""COMPUTED_VALUE"""),1128.4)</f>
        <v>1128.4</v>
      </c>
      <c r="E280" s="3">
        <f>IFERROR(__xludf.DUMMYFUNCTION("""COMPUTED_VALUE"""),1146.3)</f>
        <v>1146.3</v>
      </c>
      <c r="F280" s="3">
        <f>IFERROR(__xludf.DUMMYFUNCTION("""COMPUTED_VALUE"""),0.0)</f>
        <v>0</v>
      </c>
    </row>
    <row r="281">
      <c r="A281" s="7">
        <f>IFERROR(__xludf.DUMMYFUNCTION("""COMPUTED_VALUE"""),37006.645833333336)</f>
        <v>37006.64583</v>
      </c>
      <c r="B281" s="3">
        <f>IFERROR(__xludf.DUMMYFUNCTION("""COMPUTED_VALUE"""),1146.5)</f>
        <v>1146.5</v>
      </c>
      <c r="C281" s="3">
        <f>IFERROR(__xludf.DUMMYFUNCTION("""COMPUTED_VALUE"""),1162.85)</f>
        <v>1162.85</v>
      </c>
      <c r="D281" s="3">
        <f>IFERROR(__xludf.DUMMYFUNCTION("""COMPUTED_VALUE"""),1142.3)</f>
        <v>1142.3</v>
      </c>
      <c r="E281" s="3">
        <f>IFERROR(__xludf.DUMMYFUNCTION("""COMPUTED_VALUE"""),1155.35)</f>
        <v>1155.35</v>
      </c>
      <c r="F281" s="3">
        <f>IFERROR(__xludf.DUMMYFUNCTION("""COMPUTED_VALUE"""),0.0)</f>
        <v>0</v>
      </c>
    </row>
    <row r="282">
      <c r="A282" s="7">
        <f>IFERROR(__xludf.DUMMYFUNCTION("""COMPUTED_VALUE"""),37007.645833333336)</f>
        <v>37007.64583</v>
      </c>
      <c r="B282" s="3">
        <f>IFERROR(__xludf.DUMMYFUNCTION("""COMPUTED_VALUE"""),1155.4)</f>
        <v>1155.4</v>
      </c>
      <c r="C282" s="3">
        <f>IFERROR(__xludf.DUMMYFUNCTION("""COMPUTED_VALUE"""),1170.2)</f>
        <v>1170.2</v>
      </c>
      <c r="D282" s="3">
        <f>IFERROR(__xludf.DUMMYFUNCTION("""COMPUTED_VALUE"""),1138.85)</f>
        <v>1138.85</v>
      </c>
      <c r="E282" s="3">
        <f>IFERROR(__xludf.DUMMYFUNCTION("""COMPUTED_VALUE"""),1143.75)</f>
        <v>1143.75</v>
      </c>
      <c r="F282" s="3">
        <f>IFERROR(__xludf.DUMMYFUNCTION("""COMPUTED_VALUE"""),0.0)</f>
        <v>0</v>
      </c>
    </row>
    <row r="283">
      <c r="A283" s="7">
        <f>IFERROR(__xludf.DUMMYFUNCTION("""COMPUTED_VALUE"""),37008.645833333336)</f>
        <v>37008.64583</v>
      </c>
      <c r="B283" s="3">
        <f>IFERROR(__xludf.DUMMYFUNCTION("""COMPUTED_VALUE"""),1143.65)</f>
        <v>1143.65</v>
      </c>
      <c r="C283" s="3">
        <f>IFERROR(__xludf.DUMMYFUNCTION("""COMPUTED_VALUE"""),1143.65)</f>
        <v>1143.65</v>
      </c>
      <c r="D283" s="3">
        <f>IFERROR(__xludf.DUMMYFUNCTION("""COMPUTED_VALUE"""),1078.1)</f>
        <v>1078.1</v>
      </c>
      <c r="E283" s="3">
        <f>IFERROR(__xludf.DUMMYFUNCTION("""COMPUTED_VALUE"""),1101.3)</f>
        <v>1101.3</v>
      </c>
      <c r="F283" s="3">
        <f>IFERROR(__xludf.DUMMYFUNCTION("""COMPUTED_VALUE"""),0.0)</f>
        <v>0</v>
      </c>
    </row>
    <row r="284">
      <c r="A284" s="7">
        <f>IFERROR(__xludf.DUMMYFUNCTION("""COMPUTED_VALUE"""),37011.645833333336)</f>
        <v>37011.64583</v>
      </c>
      <c r="B284" s="3">
        <f>IFERROR(__xludf.DUMMYFUNCTION("""COMPUTED_VALUE"""),1101.45)</f>
        <v>1101.45</v>
      </c>
      <c r="C284" s="3">
        <f>IFERROR(__xludf.DUMMYFUNCTION("""COMPUTED_VALUE"""),1127.9)</f>
        <v>1127.9</v>
      </c>
      <c r="D284" s="3">
        <f>IFERROR(__xludf.DUMMYFUNCTION("""COMPUTED_VALUE"""),1101.45)</f>
        <v>1101.45</v>
      </c>
      <c r="E284" s="3">
        <f>IFERROR(__xludf.DUMMYFUNCTION("""COMPUTED_VALUE"""),1125.25)</f>
        <v>1125.25</v>
      </c>
      <c r="F284" s="3">
        <f>IFERROR(__xludf.DUMMYFUNCTION("""COMPUTED_VALUE"""),0.0)</f>
        <v>0</v>
      </c>
    </row>
    <row r="285">
      <c r="A285" s="7">
        <f>IFERROR(__xludf.DUMMYFUNCTION("""COMPUTED_VALUE"""),37013.645833333336)</f>
        <v>37013.64583</v>
      </c>
      <c r="B285" s="3">
        <f>IFERROR(__xludf.DUMMYFUNCTION("""COMPUTED_VALUE"""),1125.45)</f>
        <v>1125.45</v>
      </c>
      <c r="C285" s="3">
        <f>IFERROR(__xludf.DUMMYFUNCTION("""COMPUTED_VALUE"""),1150.65)</f>
        <v>1150.65</v>
      </c>
      <c r="D285" s="3">
        <f>IFERROR(__xludf.DUMMYFUNCTION("""COMPUTED_VALUE"""),1125.25)</f>
        <v>1125.25</v>
      </c>
      <c r="E285" s="3">
        <f>IFERROR(__xludf.DUMMYFUNCTION("""COMPUTED_VALUE"""),1137.2)</f>
        <v>1137.2</v>
      </c>
      <c r="F285" s="3">
        <f>IFERROR(__xludf.DUMMYFUNCTION("""COMPUTED_VALUE"""),0.0)</f>
        <v>0</v>
      </c>
    </row>
    <row r="286">
      <c r="A286" s="7">
        <f>IFERROR(__xludf.DUMMYFUNCTION("""COMPUTED_VALUE"""),37014.645833333336)</f>
        <v>37014.64583</v>
      </c>
      <c r="B286" s="3">
        <f>IFERROR(__xludf.DUMMYFUNCTION("""COMPUTED_VALUE"""),1137.15)</f>
        <v>1137.15</v>
      </c>
      <c r="C286" s="3">
        <f>IFERROR(__xludf.DUMMYFUNCTION("""COMPUTED_VALUE"""),1139.85)</f>
        <v>1139.85</v>
      </c>
      <c r="D286" s="3">
        <f>IFERROR(__xludf.DUMMYFUNCTION("""COMPUTED_VALUE"""),1117.7)</f>
        <v>1117.7</v>
      </c>
      <c r="E286" s="3">
        <f>IFERROR(__xludf.DUMMYFUNCTION("""COMPUTED_VALUE"""),1122.05)</f>
        <v>1122.05</v>
      </c>
      <c r="F286" s="3">
        <f>IFERROR(__xludf.DUMMYFUNCTION("""COMPUTED_VALUE"""),0.0)</f>
        <v>0</v>
      </c>
    </row>
    <row r="287">
      <c r="A287" s="7">
        <f>IFERROR(__xludf.DUMMYFUNCTION("""COMPUTED_VALUE"""),37015.645833333336)</f>
        <v>37015.64583</v>
      </c>
      <c r="B287" s="3">
        <f>IFERROR(__xludf.DUMMYFUNCTION("""COMPUTED_VALUE"""),1121.45)</f>
        <v>1121.45</v>
      </c>
      <c r="C287" s="3">
        <f>IFERROR(__xludf.DUMMYFUNCTION("""COMPUTED_VALUE"""),1131.95)</f>
        <v>1131.95</v>
      </c>
      <c r="D287" s="3">
        <f>IFERROR(__xludf.DUMMYFUNCTION("""COMPUTED_VALUE"""),1113.65)</f>
        <v>1113.65</v>
      </c>
      <c r="E287" s="3">
        <f>IFERROR(__xludf.DUMMYFUNCTION("""COMPUTED_VALUE"""),1130.05)</f>
        <v>1130.05</v>
      </c>
      <c r="F287" s="3">
        <f>IFERROR(__xludf.DUMMYFUNCTION("""COMPUTED_VALUE"""),0.0)</f>
        <v>0</v>
      </c>
    </row>
    <row r="288">
      <c r="A288" s="7">
        <f>IFERROR(__xludf.DUMMYFUNCTION("""COMPUTED_VALUE"""),37018.645833333336)</f>
        <v>37018.64583</v>
      </c>
      <c r="B288" s="3">
        <f>IFERROR(__xludf.DUMMYFUNCTION("""COMPUTED_VALUE"""),1130.05)</f>
        <v>1130.05</v>
      </c>
      <c r="C288" s="3">
        <f>IFERROR(__xludf.DUMMYFUNCTION("""COMPUTED_VALUE"""),1145.4)</f>
        <v>1145.4</v>
      </c>
      <c r="D288" s="3">
        <f>IFERROR(__xludf.DUMMYFUNCTION("""COMPUTED_VALUE"""),1130.05)</f>
        <v>1130.05</v>
      </c>
      <c r="E288" s="3">
        <f>IFERROR(__xludf.DUMMYFUNCTION("""COMPUTED_VALUE"""),1139.2)</f>
        <v>1139.2</v>
      </c>
      <c r="F288" s="3">
        <f>IFERROR(__xludf.DUMMYFUNCTION("""COMPUTED_VALUE"""),0.0)</f>
        <v>0</v>
      </c>
    </row>
    <row r="289">
      <c r="A289" s="7">
        <f>IFERROR(__xludf.DUMMYFUNCTION("""COMPUTED_VALUE"""),37019.645833333336)</f>
        <v>37019.64583</v>
      </c>
      <c r="B289" s="3">
        <f>IFERROR(__xludf.DUMMYFUNCTION("""COMPUTED_VALUE"""),1139.25)</f>
        <v>1139.25</v>
      </c>
      <c r="C289" s="3">
        <f>IFERROR(__xludf.DUMMYFUNCTION("""COMPUTED_VALUE"""),1151.95)</f>
        <v>1151.95</v>
      </c>
      <c r="D289" s="3">
        <f>IFERROR(__xludf.DUMMYFUNCTION("""COMPUTED_VALUE"""),1138.2)</f>
        <v>1138.2</v>
      </c>
      <c r="E289" s="3">
        <f>IFERROR(__xludf.DUMMYFUNCTION("""COMPUTED_VALUE"""),1148.95)</f>
        <v>1148.95</v>
      </c>
      <c r="F289" s="3">
        <f>IFERROR(__xludf.DUMMYFUNCTION("""COMPUTED_VALUE"""),0.0)</f>
        <v>0</v>
      </c>
    </row>
    <row r="290">
      <c r="A290" s="7">
        <f>IFERROR(__xludf.DUMMYFUNCTION("""COMPUTED_VALUE"""),37020.645833333336)</f>
        <v>37020.64583</v>
      </c>
      <c r="B290" s="3">
        <f>IFERROR(__xludf.DUMMYFUNCTION("""COMPUTED_VALUE"""),1149.9)</f>
        <v>1149.9</v>
      </c>
      <c r="C290" s="3">
        <f>IFERROR(__xludf.DUMMYFUNCTION("""COMPUTED_VALUE"""),1164.3)</f>
        <v>1164.3</v>
      </c>
      <c r="D290" s="3">
        <f>IFERROR(__xludf.DUMMYFUNCTION("""COMPUTED_VALUE"""),1145.25)</f>
        <v>1145.25</v>
      </c>
      <c r="E290" s="3">
        <f>IFERROR(__xludf.DUMMYFUNCTION("""COMPUTED_VALUE"""),1149.25)</f>
        <v>1149.25</v>
      </c>
      <c r="F290" s="3">
        <f>IFERROR(__xludf.DUMMYFUNCTION("""COMPUTED_VALUE"""),0.0)</f>
        <v>0</v>
      </c>
    </row>
    <row r="291">
      <c r="A291" s="7">
        <f>IFERROR(__xludf.DUMMYFUNCTION("""COMPUTED_VALUE"""),37021.645833333336)</f>
        <v>37021.64583</v>
      </c>
      <c r="B291" s="3">
        <f>IFERROR(__xludf.DUMMYFUNCTION("""COMPUTED_VALUE"""),1149.1)</f>
        <v>1149.1</v>
      </c>
      <c r="C291" s="3">
        <f>IFERROR(__xludf.DUMMYFUNCTION("""COMPUTED_VALUE"""),1151.6)</f>
        <v>1151.6</v>
      </c>
      <c r="D291" s="3">
        <f>IFERROR(__xludf.DUMMYFUNCTION("""COMPUTED_VALUE"""),1139.25)</f>
        <v>1139.25</v>
      </c>
      <c r="E291" s="3">
        <f>IFERROR(__xludf.DUMMYFUNCTION("""COMPUTED_VALUE"""),1144.95)</f>
        <v>1144.95</v>
      </c>
      <c r="F291" s="3">
        <f>IFERROR(__xludf.DUMMYFUNCTION("""COMPUTED_VALUE"""),0.0)</f>
        <v>0</v>
      </c>
    </row>
    <row r="292">
      <c r="A292" s="7">
        <f>IFERROR(__xludf.DUMMYFUNCTION("""COMPUTED_VALUE"""),37022.645833333336)</f>
        <v>37022.64583</v>
      </c>
      <c r="B292" s="3">
        <f>IFERROR(__xludf.DUMMYFUNCTION("""COMPUTED_VALUE"""),1144.1)</f>
        <v>1144.1</v>
      </c>
      <c r="C292" s="3">
        <f>IFERROR(__xludf.DUMMYFUNCTION("""COMPUTED_VALUE"""),1146.85)</f>
        <v>1146.85</v>
      </c>
      <c r="D292" s="3">
        <f>IFERROR(__xludf.DUMMYFUNCTION("""COMPUTED_VALUE"""),1136.9)</f>
        <v>1136.9</v>
      </c>
      <c r="E292" s="3">
        <f>IFERROR(__xludf.DUMMYFUNCTION("""COMPUTED_VALUE"""),1140.5)</f>
        <v>1140.5</v>
      </c>
      <c r="F292" s="3">
        <f>IFERROR(__xludf.DUMMYFUNCTION("""COMPUTED_VALUE"""),0.0)</f>
        <v>0</v>
      </c>
    </row>
    <row r="293">
      <c r="A293" s="7">
        <f>IFERROR(__xludf.DUMMYFUNCTION("""COMPUTED_VALUE"""),37025.645833333336)</f>
        <v>37025.64583</v>
      </c>
      <c r="B293" s="3">
        <f>IFERROR(__xludf.DUMMYFUNCTION("""COMPUTED_VALUE"""),1140.45)</f>
        <v>1140.45</v>
      </c>
      <c r="C293" s="3">
        <f>IFERROR(__xludf.DUMMYFUNCTION("""COMPUTED_VALUE"""),1146.25)</f>
        <v>1146.25</v>
      </c>
      <c r="D293" s="3">
        <f>IFERROR(__xludf.DUMMYFUNCTION("""COMPUTED_VALUE"""),1134.05)</f>
        <v>1134.05</v>
      </c>
      <c r="E293" s="3">
        <f>IFERROR(__xludf.DUMMYFUNCTION("""COMPUTED_VALUE"""),1140.8)</f>
        <v>1140.8</v>
      </c>
      <c r="F293" s="3">
        <f>IFERROR(__xludf.DUMMYFUNCTION("""COMPUTED_VALUE"""),0.0)</f>
        <v>0</v>
      </c>
    </row>
    <row r="294">
      <c r="A294" s="7">
        <f>IFERROR(__xludf.DUMMYFUNCTION("""COMPUTED_VALUE"""),37026.645833333336)</f>
        <v>37026.64583</v>
      </c>
      <c r="B294" s="3">
        <f>IFERROR(__xludf.DUMMYFUNCTION("""COMPUTED_VALUE"""),1140.75)</f>
        <v>1140.75</v>
      </c>
      <c r="C294" s="3">
        <f>IFERROR(__xludf.DUMMYFUNCTION("""COMPUTED_VALUE"""),1147.75)</f>
        <v>1147.75</v>
      </c>
      <c r="D294" s="3">
        <f>IFERROR(__xludf.DUMMYFUNCTION("""COMPUTED_VALUE"""),1096.25)</f>
        <v>1096.25</v>
      </c>
      <c r="E294" s="3">
        <f>IFERROR(__xludf.DUMMYFUNCTION("""COMPUTED_VALUE"""),1145.3)</f>
        <v>1145.3</v>
      </c>
      <c r="F294" s="3">
        <f>IFERROR(__xludf.DUMMYFUNCTION("""COMPUTED_VALUE"""),0.0)</f>
        <v>0</v>
      </c>
    </row>
    <row r="295">
      <c r="A295" s="7">
        <f>IFERROR(__xludf.DUMMYFUNCTION("""COMPUTED_VALUE"""),37027.645833333336)</f>
        <v>37027.64583</v>
      </c>
      <c r="B295" s="3">
        <f>IFERROR(__xludf.DUMMYFUNCTION("""COMPUTED_VALUE"""),1147.1)</f>
        <v>1147.1</v>
      </c>
      <c r="C295" s="3">
        <f>IFERROR(__xludf.DUMMYFUNCTION("""COMPUTED_VALUE"""),1163.15)</f>
        <v>1163.15</v>
      </c>
      <c r="D295" s="3">
        <f>IFERROR(__xludf.DUMMYFUNCTION("""COMPUTED_VALUE"""),1146.05)</f>
        <v>1146.05</v>
      </c>
      <c r="E295" s="3">
        <f>IFERROR(__xludf.DUMMYFUNCTION("""COMPUTED_VALUE"""),1151.15)</f>
        <v>1151.15</v>
      </c>
      <c r="F295" s="3">
        <f>IFERROR(__xludf.DUMMYFUNCTION("""COMPUTED_VALUE"""),0.0)</f>
        <v>0</v>
      </c>
    </row>
    <row r="296">
      <c r="A296" s="7">
        <f>IFERROR(__xludf.DUMMYFUNCTION("""COMPUTED_VALUE"""),37028.645833333336)</f>
        <v>37028.64583</v>
      </c>
      <c r="B296" s="3">
        <f>IFERROR(__xludf.DUMMYFUNCTION("""COMPUTED_VALUE"""),1151.2)</f>
        <v>1151.2</v>
      </c>
      <c r="C296" s="3">
        <f>IFERROR(__xludf.DUMMYFUNCTION("""COMPUTED_VALUE"""),1179.0)</f>
        <v>1179</v>
      </c>
      <c r="D296" s="3">
        <f>IFERROR(__xludf.DUMMYFUNCTION("""COMPUTED_VALUE"""),1150.6)</f>
        <v>1150.6</v>
      </c>
      <c r="E296" s="3">
        <f>IFERROR(__xludf.DUMMYFUNCTION("""COMPUTED_VALUE"""),1174.95)</f>
        <v>1174.95</v>
      </c>
      <c r="F296" s="3">
        <f>IFERROR(__xludf.DUMMYFUNCTION("""COMPUTED_VALUE"""),0.0)</f>
        <v>0</v>
      </c>
    </row>
    <row r="297">
      <c r="A297" s="7">
        <f>IFERROR(__xludf.DUMMYFUNCTION("""COMPUTED_VALUE"""),37029.645833333336)</f>
        <v>37029.64583</v>
      </c>
      <c r="B297" s="3">
        <f>IFERROR(__xludf.DUMMYFUNCTION("""COMPUTED_VALUE"""),1175.0)</f>
        <v>1175</v>
      </c>
      <c r="C297" s="3">
        <f>IFERROR(__xludf.DUMMYFUNCTION("""COMPUTED_VALUE"""),1187.65)</f>
        <v>1187.65</v>
      </c>
      <c r="D297" s="3">
        <f>IFERROR(__xludf.DUMMYFUNCTION("""COMPUTED_VALUE"""),1169.2)</f>
        <v>1169.2</v>
      </c>
      <c r="E297" s="3">
        <f>IFERROR(__xludf.DUMMYFUNCTION("""COMPUTED_VALUE"""),1172.8)</f>
        <v>1172.8</v>
      </c>
      <c r="F297" s="3">
        <f>IFERROR(__xludf.DUMMYFUNCTION("""COMPUTED_VALUE"""),0.0)</f>
        <v>0</v>
      </c>
    </row>
    <row r="298">
      <c r="A298" s="7">
        <f>IFERROR(__xludf.DUMMYFUNCTION("""COMPUTED_VALUE"""),37032.645833333336)</f>
        <v>37032.64583</v>
      </c>
      <c r="B298" s="3">
        <f>IFERROR(__xludf.DUMMYFUNCTION("""COMPUTED_VALUE"""),1172.95)</f>
        <v>1172.95</v>
      </c>
      <c r="C298" s="3">
        <f>IFERROR(__xludf.DUMMYFUNCTION("""COMPUTED_VALUE"""),1182.65)</f>
        <v>1182.65</v>
      </c>
      <c r="D298" s="3">
        <f>IFERROR(__xludf.DUMMYFUNCTION("""COMPUTED_VALUE"""),1166.7)</f>
        <v>1166.7</v>
      </c>
      <c r="E298" s="3">
        <f>IFERROR(__xludf.DUMMYFUNCTION("""COMPUTED_VALUE"""),1169.45)</f>
        <v>1169.45</v>
      </c>
      <c r="F298" s="3">
        <f>IFERROR(__xludf.DUMMYFUNCTION("""COMPUTED_VALUE"""),0.0)</f>
        <v>0</v>
      </c>
    </row>
    <row r="299">
      <c r="A299" s="7">
        <f>IFERROR(__xludf.DUMMYFUNCTION("""COMPUTED_VALUE"""),37033.645833333336)</f>
        <v>37033.64583</v>
      </c>
      <c r="B299" s="3">
        <f>IFERROR(__xludf.DUMMYFUNCTION("""COMPUTED_VALUE"""),1169.5)</f>
        <v>1169.5</v>
      </c>
      <c r="C299" s="3">
        <f>IFERROR(__xludf.DUMMYFUNCTION("""COMPUTED_VALUE"""),1176.2)</f>
        <v>1176.2</v>
      </c>
      <c r="D299" s="3">
        <f>IFERROR(__xludf.DUMMYFUNCTION("""COMPUTED_VALUE"""),1165.65)</f>
        <v>1165.65</v>
      </c>
      <c r="E299" s="3">
        <f>IFERROR(__xludf.DUMMYFUNCTION("""COMPUTED_VALUE"""),1168.1)</f>
        <v>1168.1</v>
      </c>
      <c r="F299" s="3">
        <f>IFERROR(__xludf.DUMMYFUNCTION("""COMPUTED_VALUE"""),0.0)</f>
        <v>0</v>
      </c>
    </row>
    <row r="300">
      <c r="A300" s="7">
        <f>IFERROR(__xludf.DUMMYFUNCTION("""COMPUTED_VALUE"""),37034.645833333336)</f>
        <v>37034.64583</v>
      </c>
      <c r="B300" s="3">
        <f>IFERROR(__xludf.DUMMYFUNCTION("""COMPUTED_VALUE"""),1168.25)</f>
        <v>1168.25</v>
      </c>
      <c r="C300" s="3">
        <f>IFERROR(__xludf.DUMMYFUNCTION("""COMPUTED_VALUE"""),1181.8)</f>
        <v>1181.8</v>
      </c>
      <c r="D300" s="3">
        <f>IFERROR(__xludf.DUMMYFUNCTION("""COMPUTED_VALUE"""),1167.0)</f>
        <v>1167</v>
      </c>
      <c r="E300" s="3">
        <f>IFERROR(__xludf.DUMMYFUNCTION("""COMPUTED_VALUE"""),1179.1)</f>
        <v>1179.1</v>
      </c>
      <c r="F300" s="3">
        <f>IFERROR(__xludf.DUMMYFUNCTION("""COMPUTED_VALUE"""),0.0)</f>
        <v>0</v>
      </c>
    </row>
    <row r="301">
      <c r="A301" s="7">
        <f>IFERROR(__xludf.DUMMYFUNCTION("""COMPUTED_VALUE"""),37035.645833333336)</f>
        <v>37035.64583</v>
      </c>
      <c r="B301" s="3">
        <f>IFERROR(__xludf.DUMMYFUNCTION("""COMPUTED_VALUE"""),1179.1)</f>
        <v>1179.1</v>
      </c>
      <c r="C301" s="3">
        <f>IFERROR(__xludf.DUMMYFUNCTION("""COMPUTED_VALUE"""),1190.15)</f>
        <v>1190.15</v>
      </c>
      <c r="D301" s="3">
        <f>IFERROR(__xludf.DUMMYFUNCTION("""COMPUTED_VALUE"""),1177.55)</f>
        <v>1177.55</v>
      </c>
      <c r="E301" s="3">
        <f>IFERROR(__xludf.DUMMYFUNCTION("""COMPUTED_VALUE"""),1181.85)</f>
        <v>1181.85</v>
      </c>
      <c r="F301" s="3">
        <f>IFERROR(__xludf.DUMMYFUNCTION("""COMPUTED_VALUE"""),0.0)</f>
        <v>0</v>
      </c>
    </row>
    <row r="302">
      <c r="A302" s="7">
        <f>IFERROR(__xludf.DUMMYFUNCTION("""COMPUTED_VALUE"""),37036.645833333336)</f>
        <v>37036.64583</v>
      </c>
      <c r="B302" s="3">
        <f>IFERROR(__xludf.DUMMYFUNCTION("""COMPUTED_VALUE"""),1181.95)</f>
        <v>1181.95</v>
      </c>
      <c r="C302" s="3">
        <f>IFERROR(__xludf.DUMMYFUNCTION("""COMPUTED_VALUE"""),1188.5)</f>
        <v>1188.5</v>
      </c>
      <c r="D302" s="3">
        <f>IFERROR(__xludf.DUMMYFUNCTION("""COMPUTED_VALUE"""),1171.35)</f>
        <v>1171.35</v>
      </c>
      <c r="E302" s="3">
        <f>IFERROR(__xludf.DUMMYFUNCTION("""COMPUTED_VALUE"""),1174.9)</f>
        <v>1174.9</v>
      </c>
      <c r="F302" s="3">
        <f>IFERROR(__xludf.DUMMYFUNCTION("""COMPUTED_VALUE"""),0.0)</f>
        <v>0</v>
      </c>
    </row>
    <row r="303">
      <c r="A303" s="7">
        <f>IFERROR(__xludf.DUMMYFUNCTION("""COMPUTED_VALUE"""),37039.645833333336)</f>
        <v>37039.64583</v>
      </c>
      <c r="B303" s="3">
        <f>IFERROR(__xludf.DUMMYFUNCTION("""COMPUTED_VALUE"""),1174.95)</f>
        <v>1174.95</v>
      </c>
      <c r="C303" s="3">
        <f>IFERROR(__xludf.DUMMYFUNCTION("""COMPUTED_VALUE"""),1194.5)</f>
        <v>1194.5</v>
      </c>
      <c r="D303" s="3">
        <f>IFERROR(__xludf.DUMMYFUNCTION("""COMPUTED_VALUE"""),1174.45)</f>
        <v>1174.45</v>
      </c>
      <c r="E303" s="3">
        <f>IFERROR(__xludf.DUMMYFUNCTION("""COMPUTED_VALUE"""),1193.2)</f>
        <v>1193.2</v>
      </c>
      <c r="F303" s="3">
        <f>IFERROR(__xludf.DUMMYFUNCTION("""COMPUTED_VALUE"""),0.0)</f>
        <v>0</v>
      </c>
    </row>
    <row r="304">
      <c r="A304" s="7">
        <f>IFERROR(__xludf.DUMMYFUNCTION("""COMPUTED_VALUE"""),37040.645833333336)</f>
        <v>37040.64583</v>
      </c>
      <c r="B304" s="3">
        <f>IFERROR(__xludf.DUMMYFUNCTION("""COMPUTED_VALUE"""),1193.25)</f>
        <v>1193.25</v>
      </c>
      <c r="C304" s="3">
        <f>IFERROR(__xludf.DUMMYFUNCTION("""COMPUTED_VALUE"""),1202.05)</f>
        <v>1202.05</v>
      </c>
      <c r="D304" s="3">
        <f>IFERROR(__xludf.DUMMYFUNCTION("""COMPUTED_VALUE"""),1193.25)</f>
        <v>1193.25</v>
      </c>
      <c r="E304" s="3">
        <f>IFERROR(__xludf.DUMMYFUNCTION("""COMPUTED_VALUE"""),1198.45)</f>
        <v>1198.45</v>
      </c>
      <c r="F304" s="3">
        <f>IFERROR(__xludf.DUMMYFUNCTION("""COMPUTED_VALUE"""),0.0)</f>
        <v>0</v>
      </c>
    </row>
    <row r="305">
      <c r="A305" s="7">
        <f>IFERROR(__xludf.DUMMYFUNCTION("""COMPUTED_VALUE"""),37041.645833333336)</f>
        <v>37041.64583</v>
      </c>
      <c r="B305" s="3">
        <f>IFERROR(__xludf.DUMMYFUNCTION("""COMPUTED_VALUE"""),1199.5)</f>
        <v>1199.5</v>
      </c>
      <c r="C305" s="3">
        <f>IFERROR(__xludf.DUMMYFUNCTION("""COMPUTED_VALUE"""),1207.0)</f>
        <v>1207</v>
      </c>
      <c r="D305" s="3">
        <f>IFERROR(__xludf.DUMMYFUNCTION("""COMPUTED_VALUE"""),1173.75)</f>
        <v>1173.75</v>
      </c>
      <c r="E305" s="3">
        <f>IFERROR(__xludf.DUMMYFUNCTION("""COMPUTED_VALUE"""),1177.55)</f>
        <v>1177.55</v>
      </c>
      <c r="F305" s="3">
        <f>IFERROR(__xludf.DUMMYFUNCTION("""COMPUTED_VALUE"""),0.0)</f>
        <v>0</v>
      </c>
    </row>
    <row r="306">
      <c r="A306" s="7">
        <f>IFERROR(__xludf.DUMMYFUNCTION("""COMPUTED_VALUE"""),37042.645833333336)</f>
        <v>37042.64583</v>
      </c>
      <c r="B306" s="3">
        <f>IFERROR(__xludf.DUMMYFUNCTION("""COMPUTED_VALUE"""),1177.5)</f>
        <v>1177.5</v>
      </c>
      <c r="C306" s="3">
        <f>IFERROR(__xludf.DUMMYFUNCTION("""COMPUTED_VALUE"""),1177.5)</f>
        <v>1177.5</v>
      </c>
      <c r="D306" s="3">
        <f>IFERROR(__xludf.DUMMYFUNCTION("""COMPUTED_VALUE"""),1154.9)</f>
        <v>1154.9</v>
      </c>
      <c r="E306" s="3">
        <f>IFERROR(__xludf.DUMMYFUNCTION("""COMPUTED_VALUE"""),1167.9)</f>
        <v>1167.9</v>
      </c>
      <c r="F306" s="3">
        <f>IFERROR(__xludf.DUMMYFUNCTION("""COMPUTED_VALUE"""),0.0)</f>
        <v>0</v>
      </c>
    </row>
    <row r="307">
      <c r="A307" s="7">
        <f>IFERROR(__xludf.DUMMYFUNCTION("""COMPUTED_VALUE"""),37043.645833333336)</f>
        <v>37043.64583</v>
      </c>
      <c r="B307" s="3">
        <f>IFERROR(__xludf.DUMMYFUNCTION("""COMPUTED_VALUE"""),1168.1)</f>
        <v>1168.1</v>
      </c>
      <c r="C307" s="3">
        <f>IFERROR(__xludf.DUMMYFUNCTION("""COMPUTED_VALUE"""),1175.8)</f>
        <v>1175.8</v>
      </c>
      <c r="D307" s="3">
        <f>IFERROR(__xludf.DUMMYFUNCTION("""COMPUTED_VALUE"""),1146.9)</f>
        <v>1146.9</v>
      </c>
      <c r="E307" s="3">
        <f>IFERROR(__xludf.DUMMYFUNCTION("""COMPUTED_VALUE"""),1148.05)</f>
        <v>1148.05</v>
      </c>
      <c r="F307" s="3">
        <f>IFERROR(__xludf.DUMMYFUNCTION("""COMPUTED_VALUE"""),0.0)</f>
        <v>0</v>
      </c>
    </row>
    <row r="308">
      <c r="A308" s="7">
        <f>IFERROR(__xludf.DUMMYFUNCTION("""COMPUTED_VALUE"""),37046.645833333336)</f>
        <v>37046.64583</v>
      </c>
      <c r="B308" s="3">
        <f>IFERROR(__xludf.DUMMYFUNCTION("""COMPUTED_VALUE"""),1148.0)</f>
        <v>1148</v>
      </c>
      <c r="C308" s="3">
        <f>IFERROR(__xludf.DUMMYFUNCTION("""COMPUTED_VALUE"""),1154.45)</f>
        <v>1154.45</v>
      </c>
      <c r="D308" s="3">
        <f>IFERROR(__xludf.DUMMYFUNCTION("""COMPUTED_VALUE"""),1125.35)</f>
        <v>1125.35</v>
      </c>
      <c r="E308" s="3">
        <f>IFERROR(__xludf.DUMMYFUNCTION("""COMPUTED_VALUE"""),1127.2)</f>
        <v>1127.2</v>
      </c>
      <c r="F308" s="3">
        <f>IFERROR(__xludf.DUMMYFUNCTION("""COMPUTED_VALUE"""),0.0)</f>
        <v>0</v>
      </c>
    </row>
    <row r="309">
      <c r="A309" s="7">
        <f>IFERROR(__xludf.DUMMYFUNCTION("""COMPUTED_VALUE"""),37047.645833333336)</f>
        <v>37047.64583</v>
      </c>
      <c r="B309" s="3">
        <f>IFERROR(__xludf.DUMMYFUNCTION("""COMPUTED_VALUE"""),1127.15)</f>
        <v>1127.15</v>
      </c>
      <c r="C309" s="3">
        <f>IFERROR(__xludf.DUMMYFUNCTION("""COMPUTED_VALUE"""),1130.65)</f>
        <v>1130.65</v>
      </c>
      <c r="D309" s="3">
        <f>IFERROR(__xludf.DUMMYFUNCTION("""COMPUTED_VALUE"""),1106.8)</f>
        <v>1106.8</v>
      </c>
      <c r="E309" s="3">
        <f>IFERROR(__xludf.DUMMYFUNCTION("""COMPUTED_VALUE"""),1115.6)</f>
        <v>1115.6</v>
      </c>
      <c r="F309" s="3">
        <f>IFERROR(__xludf.DUMMYFUNCTION("""COMPUTED_VALUE"""),0.0)</f>
        <v>0</v>
      </c>
    </row>
    <row r="310">
      <c r="A310" s="7">
        <f>IFERROR(__xludf.DUMMYFUNCTION("""COMPUTED_VALUE"""),37048.645833333336)</f>
        <v>37048.64583</v>
      </c>
      <c r="B310" s="3">
        <f>IFERROR(__xludf.DUMMYFUNCTION("""COMPUTED_VALUE"""),1117.5)</f>
        <v>1117.5</v>
      </c>
      <c r="C310" s="3">
        <f>IFERROR(__xludf.DUMMYFUNCTION("""COMPUTED_VALUE"""),1132.95)</f>
        <v>1132.95</v>
      </c>
      <c r="D310" s="3">
        <f>IFERROR(__xludf.DUMMYFUNCTION("""COMPUTED_VALUE"""),1114.0)</f>
        <v>1114</v>
      </c>
      <c r="E310" s="3">
        <f>IFERROR(__xludf.DUMMYFUNCTION("""COMPUTED_VALUE"""),1115.7)</f>
        <v>1115.7</v>
      </c>
      <c r="F310" s="3">
        <f>IFERROR(__xludf.DUMMYFUNCTION("""COMPUTED_VALUE"""),0.0)</f>
        <v>0</v>
      </c>
    </row>
    <row r="311">
      <c r="A311" s="7">
        <f>IFERROR(__xludf.DUMMYFUNCTION("""COMPUTED_VALUE"""),37049.645833333336)</f>
        <v>37049.64583</v>
      </c>
      <c r="B311" s="3">
        <f>IFERROR(__xludf.DUMMYFUNCTION("""COMPUTED_VALUE"""),1115.05)</f>
        <v>1115.05</v>
      </c>
      <c r="C311" s="3">
        <f>IFERROR(__xludf.DUMMYFUNCTION("""COMPUTED_VALUE"""),1116.1)</f>
        <v>1116.1</v>
      </c>
      <c r="D311" s="3">
        <f>IFERROR(__xludf.DUMMYFUNCTION("""COMPUTED_VALUE"""),1095.45)</f>
        <v>1095.45</v>
      </c>
      <c r="E311" s="3">
        <f>IFERROR(__xludf.DUMMYFUNCTION("""COMPUTED_VALUE"""),1112.35)</f>
        <v>1112.35</v>
      </c>
      <c r="F311" s="3">
        <f>IFERROR(__xludf.DUMMYFUNCTION("""COMPUTED_VALUE"""),0.0)</f>
        <v>0</v>
      </c>
    </row>
    <row r="312">
      <c r="A312" s="7">
        <f>IFERROR(__xludf.DUMMYFUNCTION("""COMPUTED_VALUE"""),37050.645833333336)</f>
        <v>37050.64583</v>
      </c>
      <c r="B312" s="3">
        <f>IFERROR(__xludf.DUMMYFUNCTION("""COMPUTED_VALUE"""),1112.45)</f>
        <v>1112.45</v>
      </c>
      <c r="C312" s="3">
        <f>IFERROR(__xludf.DUMMYFUNCTION("""COMPUTED_VALUE"""),1128.9)</f>
        <v>1128.9</v>
      </c>
      <c r="D312" s="3">
        <f>IFERROR(__xludf.DUMMYFUNCTION("""COMPUTED_VALUE"""),1112.45)</f>
        <v>1112.45</v>
      </c>
      <c r="E312" s="3">
        <f>IFERROR(__xludf.DUMMYFUNCTION("""COMPUTED_VALUE"""),1126.6)</f>
        <v>1126.6</v>
      </c>
      <c r="F312" s="3">
        <f>IFERROR(__xludf.DUMMYFUNCTION("""COMPUTED_VALUE"""),0.0)</f>
        <v>0</v>
      </c>
    </row>
    <row r="313">
      <c r="A313" s="7">
        <f>IFERROR(__xludf.DUMMYFUNCTION("""COMPUTED_VALUE"""),37053.645833333336)</f>
        <v>37053.64583</v>
      </c>
      <c r="B313" s="3">
        <f>IFERROR(__xludf.DUMMYFUNCTION("""COMPUTED_VALUE"""),1126.55)</f>
        <v>1126.55</v>
      </c>
      <c r="C313" s="3">
        <f>IFERROR(__xludf.DUMMYFUNCTION("""COMPUTED_VALUE"""),1134.8)</f>
        <v>1134.8</v>
      </c>
      <c r="D313" s="3">
        <f>IFERROR(__xludf.DUMMYFUNCTION("""COMPUTED_VALUE"""),1122.35)</f>
        <v>1122.35</v>
      </c>
      <c r="E313" s="3">
        <f>IFERROR(__xludf.DUMMYFUNCTION("""COMPUTED_VALUE"""),1131.1)</f>
        <v>1131.1</v>
      </c>
      <c r="F313" s="3">
        <f>IFERROR(__xludf.DUMMYFUNCTION("""COMPUTED_VALUE"""),0.0)</f>
        <v>0</v>
      </c>
    </row>
    <row r="314">
      <c r="A314" s="7">
        <f>IFERROR(__xludf.DUMMYFUNCTION("""COMPUTED_VALUE"""),37054.645833333336)</f>
        <v>37054.64583</v>
      </c>
      <c r="B314" s="3">
        <f>IFERROR(__xludf.DUMMYFUNCTION("""COMPUTED_VALUE"""),1131.05)</f>
        <v>1131.05</v>
      </c>
      <c r="C314" s="3">
        <f>IFERROR(__xludf.DUMMYFUNCTION("""COMPUTED_VALUE"""),1133.3)</f>
        <v>1133.3</v>
      </c>
      <c r="D314" s="3">
        <f>IFERROR(__xludf.DUMMYFUNCTION("""COMPUTED_VALUE"""),1121.8)</f>
        <v>1121.8</v>
      </c>
      <c r="E314" s="3">
        <f>IFERROR(__xludf.DUMMYFUNCTION("""COMPUTED_VALUE"""),1127.15)</f>
        <v>1127.15</v>
      </c>
      <c r="F314" s="3">
        <f>IFERROR(__xludf.DUMMYFUNCTION("""COMPUTED_VALUE"""),0.0)</f>
        <v>0</v>
      </c>
    </row>
    <row r="315">
      <c r="A315" s="7">
        <f>IFERROR(__xludf.DUMMYFUNCTION("""COMPUTED_VALUE"""),37055.645833333336)</f>
        <v>37055.64583</v>
      </c>
      <c r="B315" s="3">
        <f>IFERROR(__xludf.DUMMYFUNCTION("""COMPUTED_VALUE"""),1127.1)</f>
        <v>1127.1</v>
      </c>
      <c r="C315" s="3">
        <f>IFERROR(__xludf.DUMMYFUNCTION("""COMPUTED_VALUE"""),1132.95)</f>
        <v>1132.95</v>
      </c>
      <c r="D315" s="3">
        <f>IFERROR(__xludf.DUMMYFUNCTION("""COMPUTED_VALUE"""),1126.9)</f>
        <v>1126.9</v>
      </c>
      <c r="E315" s="3">
        <f>IFERROR(__xludf.DUMMYFUNCTION("""COMPUTED_VALUE"""),1129.0)</f>
        <v>1129</v>
      </c>
      <c r="F315" s="3">
        <f>IFERROR(__xludf.DUMMYFUNCTION("""COMPUTED_VALUE"""),0.0)</f>
        <v>0</v>
      </c>
    </row>
    <row r="316">
      <c r="A316" s="7">
        <f>IFERROR(__xludf.DUMMYFUNCTION("""COMPUTED_VALUE"""),37056.645833333336)</f>
        <v>37056.64583</v>
      </c>
      <c r="B316" s="3">
        <f>IFERROR(__xludf.DUMMYFUNCTION("""COMPUTED_VALUE"""),1128.95)</f>
        <v>1128.95</v>
      </c>
      <c r="C316" s="3">
        <f>IFERROR(__xludf.DUMMYFUNCTION("""COMPUTED_VALUE"""),1128.95)</f>
        <v>1128.95</v>
      </c>
      <c r="D316" s="3">
        <f>IFERROR(__xludf.DUMMYFUNCTION("""COMPUTED_VALUE"""),1110.15)</f>
        <v>1110.15</v>
      </c>
      <c r="E316" s="3">
        <f>IFERROR(__xludf.DUMMYFUNCTION("""COMPUTED_VALUE"""),1112.75)</f>
        <v>1112.75</v>
      </c>
      <c r="F316" s="3">
        <f>IFERROR(__xludf.DUMMYFUNCTION("""COMPUTED_VALUE"""),0.0)</f>
        <v>0</v>
      </c>
    </row>
    <row r="317">
      <c r="A317" s="7">
        <f>IFERROR(__xludf.DUMMYFUNCTION("""COMPUTED_VALUE"""),37057.645833333336)</f>
        <v>37057.64583</v>
      </c>
      <c r="B317" s="3">
        <f>IFERROR(__xludf.DUMMYFUNCTION("""COMPUTED_VALUE"""),1112.7)</f>
        <v>1112.7</v>
      </c>
      <c r="C317" s="3">
        <f>IFERROR(__xludf.DUMMYFUNCTION("""COMPUTED_VALUE"""),1112.7)</f>
        <v>1112.7</v>
      </c>
      <c r="D317" s="3">
        <f>IFERROR(__xludf.DUMMYFUNCTION("""COMPUTED_VALUE"""),1084.2)</f>
        <v>1084.2</v>
      </c>
      <c r="E317" s="3">
        <f>IFERROR(__xludf.DUMMYFUNCTION("""COMPUTED_VALUE"""),1087.75)</f>
        <v>1087.75</v>
      </c>
      <c r="F317" s="3">
        <f>IFERROR(__xludf.DUMMYFUNCTION("""COMPUTED_VALUE"""),0.0)</f>
        <v>0</v>
      </c>
    </row>
    <row r="318">
      <c r="A318" s="7">
        <f>IFERROR(__xludf.DUMMYFUNCTION("""COMPUTED_VALUE"""),37060.645833333336)</f>
        <v>37060.64583</v>
      </c>
      <c r="B318" s="3">
        <f>IFERROR(__xludf.DUMMYFUNCTION("""COMPUTED_VALUE"""),1087.75)</f>
        <v>1087.75</v>
      </c>
      <c r="C318" s="3">
        <f>IFERROR(__xludf.DUMMYFUNCTION("""COMPUTED_VALUE"""),1087.75)</f>
        <v>1087.75</v>
      </c>
      <c r="D318" s="3">
        <f>IFERROR(__xludf.DUMMYFUNCTION("""COMPUTED_VALUE"""),1064.4)</f>
        <v>1064.4</v>
      </c>
      <c r="E318" s="3">
        <f>IFERROR(__xludf.DUMMYFUNCTION("""COMPUTED_VALUE"""),1078.3)</f>
        <v>1078.3</v>
      </c>
      <c r="F318" s="3">
        <f>IFERROR(__xludf.DUMMYFUNCTION("""COMPUTED_VALUE"""),0.0)</f>
        <v>0</v>
      </c>
    </row>
    <row r="319">
      <c r="A319" s="7">
        <f>IFERROR(__xludf.DUMMYFUNCTION("""COMPUTED_VALUE"""),37061.645833333336)</f>
        <v>37061.64583</v>
      </c>
      <c r="B319" s="3">
        <f>IFERROR(__xludf.DUMMYFUNCTION("""COMPUTED_VALUE"""),1078.25)</f>
        <v>1078.25</v>
      </c>
      <c r="C319" s="3">
        <f>IFERROR(__xludf.DUMMYFUNCTION("""COMPUTED_VALUE"""),1099.7)</f>
        <v>1099.7</v>
      </c>
      <c r="D319" s="3">
        <f>IFERROR(__xludf.DUMMYFUNCTION("""COMPUTED_VALUE"""),1075.45)</f>
        <v>1075.45</v>
      </c>
      <c r="E319" s="3">
        <f>IFERROR(__xludf.DUMMYFUNCTION("""COMPUTED_VALUE"""),1096.65)</f>
        <v>1096.65</v>
      </c>
      <c r="F319" s="3">
        <f>IFERROR(__xludf.DUMMYFUNCTION("""COMPUTED_VALUE"""),0.0)</f>
        <v>0</v>
      </c>
    </row>
    <row r="320">
      <c r="A320" s="7">
        <f>IFERROR(__xludf.DUMMYFUNCTION("""COMPUTED_VALUE"""),37062.645833333336)</f>
        <v>37062.64583</v>
      </c>
      <c r="B320" s="3">
        <f>IFERROR(__xludf.DUMMYFUNCTION("""COMPUTED_VALUE"""),1096.35)</f>
        <v>1096.35</v>
      </c>
      <c r="C320" s="3">
        <f>IFERROR(__xludf.DUMMYFUNCTION("""COMPUTED_VALUE"""),1100.55)</f>
        <v>1100.55</v>
      </c>
      <c r="D320" s="3">
        <f>IFERROR(__xludf.DUMMYFUNCTION("""COMPUTED_VALUE"""),1084.7)</f>
        <v>1084.7</v>
      </c>
      <c r="E320" s="3">
        <f>IFERROR(__xludf.DUMMYFUNCTION("""COMPUTED_VALUE"""),1097.6)</f>
        <v>1097.6</v>
      </c>
      <c r="F320" s="3">
        <f>IFERROR(__xludf.DUMMYFUNCTION("""COMPUTED_VALUE"""),0.0)</f>
        <v>0</v>
      </c>
    </row>
    <row r="321">
      <c r="A321" s="7">
        <f>IFERROR(__xludf.DUMMYFUNCTION("""COMPUTED_VALUE"""),37063.645833333336)</f>
        <v>37063.64583</v>
      </c>
      <c r="B321" s="3">
        <f>IFERROR(__xludf.DUMMYFUNCTION("""COMPUTED_VALUE"""),1097.9)</f>
        <v>1097.9</v>
      </c>
      <c r="C321" s="3">
        <f>IFERROR(__xludf.DUMMYFUNCTION("""COMPUTED_VALUE"""),1102.45)</f>
        <v>1102.45</v>
      </c>
      <c r="D321" s="3">
        <f>IFERROR(__xludf.DUMMYFUNCTION("""COMPUTED_VALUE"""),1090.25)</f>
        <v>1090.25</v>
      </c>
      <c r="E321" s="3">
        <f>IFERROR(__xludf.DUMMYFUNCTION("""COMPUTED_VALUE"""),1095.2)</f>
        <v>1095.2</v>
      </c>
      <c r="F321" s="3">
        <f>IFERROR(__xludf.DUMMYFUNCTION("""COMPUTED_VALUE"""),0.0)</f>
        <v>0</v>
      </c>
    </row>
    <row r="322">
      <c r="A322" s="7">
        <f>IFERROR(__xludf.DUMMYFUNCTION("""COMPUTED_VALUE"""),37064.645833333336)</f>
        <v>37064.64583</v>
      </c>
      <c r="B322" s="3">
        <f>IFERROR(__xludf.DUMMYFUNCTION("""COMPUTED_VALUE"""),1095.85)</f>
        <v>1095.85</v>
      </c>
      <c r="C322" s="3">
        <f>IFERROR(__xludf.DUMMYFUNCTION("""COMPUTED_VALUE"""),1097.8)</f>
        <v>1097.8</v>
      </c>
      <c r="D322" s="3">
        <f>IFERROR(__xludf.DUMMYFUNCTION("""COMPUTED_VALUE"""),1081.3)</f>
        <v>1081.3</v>
      </c>
      <c r="E322" s="3">
        <f>IFERROR(__xludf.DUMMYFUNCTION("""COMPUTED_VALUE"""),1087.65)</f>
        <v>1087.65</v>
      </c>
      <c r="F322" s="3">
        <f>IFERROR(__xludf.DUMMYFUNCTION("""COMPUTED_VALUE"""),0.0)</f>
        <v>0</v>
      </c>
    </row>
    <row r="323">
      <c r="A323" s="7">
        <f>IFERROR(__xludf.DUMMYFUNCTION("""COMPUTED_VALUE"""),37067.645833333336)</f>
        <v>37067.64583</v>
      </c>
      <c r="B323" s="3">
        <f>IFERROR(__xludf.DUMMYFUNCTION("""COMPUTED_VALUE"""),1087.1)</f>
        <v>1087.1</v>
      </c>
      <c r="C323" s="3">
        <f>IFERROR(__xludf.DUMMYFUNCTION("""COMPUTED_VALUE"""),1087.1)</f>
        <v>1087.1</v>
      </c>
      <c r="D323" s="3">
        <f>IFERROR(__xludf.DUMMYFUNCTION("""COMPUTED_VALUE"""),1064.4)</f>
        <v>1064.4</v>
      </c>
      <c r="E323" s="3">
        <f>IFERROR(__xludf.DUMMYFUNCTION("""COMPUTED_VALUE"""),1067.0)</f>
        <v>1067</v>
      </c>
      <c r="F323" s="3">
        <f>IFERROR(__xludf.DUMMYFUNCTION("""COMPUTED_VALUE"""),0.0)</f>
        <v>0</v>
      </c>
    </row>
    <row r="324">
      <c r="A324" s="7">
        <f>IFERROR(__xludf.DUMMYFUNCTION("""COMPUTED_VALUE"""),37068.645833333336)</f>
        <v>37068.64583</v>
      </c>
      <c r="B324" s="3">
        <f>IFERROR(__xludf.DUMMYFUNCTION("""COMPUTED_VALUE"""),1066.4)</f>
        <v>1066.4</v>
      </c>
      <c r="C324" s="3">
        <f>IFERROR(__xludf.DUMMYFUNCTION("""COMPUTED_VALUE"""),1099.8)</f>
        <v>1099.8</v>
      </c>
      <c r="D324" s="3">
        <f>IFERROR(__xludf.DUMMYFUNCTION("""COMPUTED_VALUE"""),1060.05)</f>
        <v>1060.05</v>
      </c>
      <c r="E324" s="3">
        <f>IFERROR(__xludf.DUMMYFUNCTION("""COMPUTED_VALUE"""),1096.6)</f>
        <v>1096.6</v>
      </c>
      <c r="F324" s="3">
        <f>IFERROR(__xludf.DUMMYFUNCTION("""COMPUTED_VALUE"""),0.0)</f>
        <v>0</v>
      </c>
    </row>
    <row r="325">
      <c r="A325" s="7">
        <f>IFERROR(__xludf.DUMMYFUNCTION("""COMPUTED_VALUE"""),37069.645833333336)</f>
        <v>37069.64583</v>
      </c>
      <c r="B325" s="3">
        <f>IFERROR(__xludf.DUMMYFUNCTION("""COMPUTED_VALUE"""),1096.6)</f>
        <v>1096.6</v>
      </c>
      <c r="C325" s="3">
        <f>IFERROR(__xludf.DUMMYFUNCTION("""COMPUTED_VALUE"""),1102.8)</f>
        <v>1102.8</v>
      </c>
      <c r="D325" s="3">
        <f>IFERROR(__xludf.DUMMYFUNCTION("""COMPUTED_VALUE"""),1086.75)</f>
        <v>1086.75</v>
      </c>
      <c r="E325" s="3">
        <f>IFERROR(__xludf.DUMMYFUNCTION("""COMPUTED_VALUE"""),1096.1)</f>
        <v>1096.1</v>
      </c>
      <c r="F325" s="3">
        <f>IFERROR(__xludf.DUMMYFUNCTION("""COMPUTED_VALUE"""),0.0)</f>
        <v>0</v>
      </c>
    </row>
    <row r="326">
      <c r="A326" s="7">
        <f>IFERROR(__xludf.DUMMYFUNCTION("""COMPUTED_VALUE"""),37070.645833333336)</f>
        <v>37070.64583</v>
      </c>
      <c r="B326" s="3">
        <f>IFERROR(__xludf.DUMMYFUNCTION("""COMPUTED_VALUE"""),1095.85)</f>
        <v>1095.85</v>
      </c>
      <c r="C326" s="3">
        <f>IFERROR(__xludf.DUMMYFUNCTION("""COMPUTED_VALUE"""),1101.0)</f>
        <v>1101</v>
      </c>
      <c r="D326" s="3">
        <f>IFERROR(__xludf.DUMMYFUNCTION("""COMPUTED_VALUE"""),1090.2)</f>
        <v>1090.2</v>
      </c>
      <c r="E326" s="3">
        <f>IFERROR(__xludf.DUMMYFUNCTION("""COMPUTED_VALUE"""),1094.0)</f>
        <v>1094</v>
      </c>
      <c r="F326" s="3">
        <f>IFERROR(__xludf.DUMMYFUNCTION("""COMPUTED_VALUE"""),0.0)</f>
        <v>0</v>
      </c>
    </row>
    <row r="327">
      <c r="A327" s="7">
        <f>IFERROR(__xludf.DUMMYFUNCTION("""COMPUTED_VALUE"""),37071.645833333336)</f>
        <v>37071.64583</v>
      </c>
      <c r="B327" s="3">
        <f>IFERROR(__xludf.DUMMYFUNCTION("""COMPUTED_VALUE"""),1094.05)</f>
        <v>1094.05</v>
      </c>
      <c r="C327" s="3">
        <f>IFERROR(__xludf.DUMMYFUNCTION("""COMPUTED_VALUE"""),1114.35)</f>
        <v>1114.35</v>
      </c>
      <c r="D327" s="3">
        <f>IFERROR(__xludf.DUMMYFUNCTION("""COMPUTED_VALUE"""),1091.05)</f>
        <v>1091.05</v>
      </c>
      <c r="E327" s="3">
        <f>IFERROR(__xludf.DUMMYFUNCTION("""COMPUTED_VALUE"""),1107.9)</f>
        <v>1107.9</v>
      </c>
      <c r="F327" s="3">
        <f>IFERROR(__xludf.DUMMYFUNCTION("""COMPUTED_VALUE"""),0.0)</f>
        <v>0</v>
      </c>
    </row>
    <row r="328">
      <c r="A328" s="7">
        <f>IFERROR(__xludf.DUMMYFUNCTION("""COMPUTED_VALUE"""),37074.645833333336)</f>
        <v>37074.64583</v>
      </c>
      <c r="B328" s="3">
        <f>IFERROR(__xludf.DUMMYFUNCTION("""COMPUTED_VALUE"""),1108.35)</f>
        <v>1108.35</v>
      </c>
      <c r="C328" s="3">
        <f>IFERROR(__xludf.DUMMYFUNCTION("""COMPUTED_VALUE"""),1119.55)</f>
        <v>1119.55</v>
      </c>
      <c r="D328" s="3">
        <f>IFERROR(__xludf.DUMMYFUNCTION("""COMPUTED_VALUE"""),1097.95)</f>
        <v>1097.95</v>
      </c>
      <c r="E328" s="3">
        <f>IFERROR(__xludf.DUMMYFUNCTION("""COMPUTED_VALUE"""),1100.75)</f>
        <v>1100.75</v>
      </c>
      <c r="F328" s="3">
        <f>IFERROR(__xludf.DUMMYFUNCTION("""COMPUTED_VALUE"""),0.0)</f>
        <v>0</v>
      </c>
    </row>
    <row r="329">
      <c r="A329" s="7">
        <f>IFERROR(__xludf.DUMMYFUNCTION("""COMPUTED_VALUE"""),37075.645833333336)</f>
        <v>37075.64583</v>
      </c>
      <c r="B329" s="3">
        <f>IFERROR(__xludf.DUMMYFUNCTION("""COMPUTED_VALUE"""),1097.4)</f>
        <v>1097.4</v>
      </c>
      <c r="C329" s="3">
        <f>IFERROR(__xludf.DUMMYFUNCTION("""COMPUTED_VALUE"""),1097.4)</f>
        <v>1097.4</v>
      </c>
      <c r="D329" s="3">
        <f>IFERROR(__xludf.DUMMYFUNCTION("""COMPUTED_VALUE"""),1066.05)</f>
        <v>1066.05</v>
      </c>
      <c r="E329" s="3">
        <f>IFERROR(__xludf.DUMMYFUNCTION("""COMPUTED_VALUE"""),1069.8)</f>
        <v>1069.8</v>
      </c>
      <c r="F329" s="3">
        <f>IFERROR(__xludf.DUMMYFUNCTION("""COMPUTED_VALUE"""),0.0)</f>
        <v>0</v>
      </c>
    </row>
    <row r="330">
      <c r="A330" s="7">
        <f>IFERROR(__xludf.DUMMYFUNCTION("""COMPUTED_VALUE"""),37076.645833333336)</f>
        <v>37076.64583</v>
      </c>
      <c r="B330" s="3">
        <f>IFERROR(__xludf.DUMMYFUNCTION("""COMPUTED_VALUE"""),1068.05)</f>
        <v>1068.05</v>
      </c>
      <c r="C330" s="3">
        <f>IFERROR(__xludf.DUMMYFUNCTION("""COMPUTED_VALUE"""),1074.6)</f>
        <v>1074.6</v>
      </c>
      <c r="D330" s="3">
        <f>IFERROR(__xludf.DUMMYFUNCTION("""COMPUTED_VALUE"""),1062.2)</f>
        <v>1062.2</v>
      </c>
      <c r="E330" s="3">
        <f>IFERROR(__xludf.DUMMYFUNCTION("""COMPUTED_VALUE"""),1067.95)</f>
        <v>1067.95</v>
      </c>
      <c r="F330" s="3">
        <f>IFERROR(__xludf.DUMMYFUNCTION("""COMPUTED_VALUE"""),0.0)</f>
        <v>0</v>
      </c>
    </row>
    <row r="331">
      <c r="A331" s="7">
        <f>IFERROR(__xludf.DUMMYFUNCTION("""COMPUTED_VALUE"""),37077.645833333336)</f>
        <v>37077.64583</v>
      </c>
      <c r="B331" s="3">
        <f>IFERROR(__xludf.DUMMYFUNCTION("""COMPUTED_VALUE"""),1068.35)</f>
        <v>1068.35</v>
      </c>
      <c r="C331" s="3">
        <f>IFERROR(__xludf.DUMMYFUNCTION("""COMPUTED_VALUE"""),1079.35)</f>
        <v>1079.35</v>
      </c>
      <c r="D331" s="3">
        <f>IFERROR(__xludf.DUMMYFUNCTION("""COMPUTED_VALUE"""),1066.95)</f>
        <v>1066.95</v>
      </c>
      <c r="E331" s="3">
        <f>IFERROR(__xludf.DUMMYFUNCTION("""COMPUTED_VALUE"""),1069.75)</f>
        <v>1069.75</v>
      </c>
      <c r="F331" s="3">
        <f>IFERROR(__xludf.DUMMYFUNCTION("""COMPUTED_VALUE"""),0.0)</f>
        <v>0</v>
      </c>
    </row>
    <row r="332">
      <c r="A332" s="7">
        <f>IFERROR(__xludf.DUMMYFUNCTION("""COMPUTED_VALUE"""),37078.645833333336)</f>
        <v>37078.64583</v>
      </c>
      <c r="B332" s="3">
        <f>IFERROR(__xludf.DUMMYFUNCTION("""COMPUTED_VALUE"""),1069.15)</f>
        <v>1069.15</v>
      </c>
      <c r="C332" s="3">
        <f>IFERROR(__xludf.DUMMYFUNCTION("""COMPUTED_VALUE"""),1069.15)</f>
        <v>1069.15</v>
      </c>
      <c r="D332" s="3">
        <f>IFERROR(__xludf.DUMMYFUNCTION("""COMPUTED_VALUE"""),1059.6)</f>
        <v>1059.6</v>
      </c>
      <c r="E332" s="3">
        <f>IFERROR(__xludf.DUMMYFUNCTION("""COMPUTED_VALUE"""),1065.1)</f>
        <v>1065.1</v>
      </c>
      <c r="F332" s="3">
        <f>IFERROR(__xludf.DUMMYFUNCTION("""COMPUTED_VALUE"""),0.0)</f>
        <v>0</v>
      </c>
    </row>
    <row r="333">
      <c r="A333" s="7">
        <f>IFERROR(__xludf.DUMMYFUNCTION("""COMPUTED_VALUE"""),37081.645833333336)</f>
        <v>37081.64583</v>
      </c>
      <c r="B333" s="3">
        <f>IFERROR(__xludf.DUMMYFUNCTION("""COMPUTED_VALUE"""),1064.8)</f>
        <v>1064.8</v>
      </c>
      <c r="C333" s="3">
        <f>IFERROR(__xludf.DUMMYFUNCTION("""COMPUTED_VALUE"""),1064.8)</f>
        <v>1064.8</v>
      </c>
      <c r="D333" s="3">
        <f>IFERROR(__xludf.DUMMYFUNCTION("""COMPUTED_VALUE"""),1052.1)</f>
        <v>1052.1</v>
      </c>
      <c r="E333" s="3">
        <f>IFERROR(__xludf.DUMMYFUNCTION("""COMPUTED_VALUE"""),1059.5)</f>
        <v>1059.5</v>
      </c>
      <c r="F333" s="3">
        <f>IFERROR(__xludf.DUMMYFUNCTION("""COMPUTED_VALUE"""),0.0)</f>
        <v>0</v>
      </c>
    </row>
    <row r="334">
      <c r="A334" s="7">
        <f>IFERROR(__xludf.DUMMYFUNCTION("""COMPUTED_VALUE"""),37082.645833333336)</f>
        <v>37082.64583</v>
      </c>
      <c r="B334" s="3">
        <f>IFERROR(__xludf.DUMMYFUNCTION("""COMPUTED_VALUE"""),1059.95)</f>
        <v>1059.95</v>
      </c>
      <c r="C334" s="3">
        <f>IFERROR(__xludf.DUMMYFUNCTION("""COMPUTED_VALUE"""),1078.1)</f>
        <v>1078.1</v>
      </c>
      <c r="D334" s="3">
        <f>IFERROR(__xludf.DUMMYFUNCTION("""COMPUTED_VALUE"""),1059.25)</f>
        <v>1059.25</v>
      </c>
      <c r="E334" s="3">
        <f>IFERROR(__xludf.DUMMYFUNCTION("""COMPUTED_VALUE"""),1072.05)</f>
        <v>1072.05</v>
      </c>
      <c r="F334" s="3">
        <f>IFERROR(__xludf.DUMMYFUNCTION("""COMPUTED_VALUE"""),0.0)</f>
        <v>0</v>
      </c>
    </row>
    <row r="335">
      <c r="A335" s="7">
        <f>IFERROR(__xludf.DUMMYFUNCTION("""COMPUTED_VALUE"""),37083.645833333336)</f>
        <v>37083.64583</v>
      </c>
      <c r="B335" s="3">
        <f>IFERROR(__xludf.DUMMYFUNCTION("""COMPUTED_VALUE"""),1072.15)</f>
        <v>1072.15</v>
      </c>
      <c r="C335" s="3">
        <f>IFERROR(__xludf.DUMMYFUNCTION("""COMPUTED_VALUE"""),1088.5)</f>
        <v>1088.5</v>
      </c>
      <c r="D335" s="3">
        <f>IFERROR(__xludf.DUMMYFUNCTION("""COMPUTED_VALUE"""),1068.35)</f>
        <v>1068.35</v>
      </c>
      <c r="E335" s="3">
        <f>IFERROR(__xludf.DUMMYFUNCTION("""COMPUTED_VALUE"""),1083.65)</f>
        <v>1083.65</v>
      </c>
      <c r="F335" s="3">
        <f>IFERROR(__xludf.DUMMYFUNCTION("""COMPUTED_VALUE"""),0.0)</f>
        <v>0</v>
      </c>
    </row>
    <row r="336">
      <c r="A336" s="7">
        <f>IFERROR(__xludf.DUMMYFUNCTION("""COMPUTED_VALUE"""),37084.645833333336)</f>
        <v>37084.64583</v>
      </c>
      <c r="B336" s="3">
        <f>IFERROR(__xludf.DUMMYFUNCTION("""COMPUTED_VALUE"""),1083.8)</f>
        <v>1083.8</v>
      </c>
      <c r="C336" s="3">
        <f>IFERROR(__xludf.DUMMYFUNCTION("""COMPUTED_VALUE"""),1109.0)</f>
        <v>1109</v>
      </c>
      <c r="D336" s="3">
        <f>IFERROR(__xludf.DUMMYFUNCTION("""COMPUTED_VALUE"""),1083.8)</f>
        <v>1083.8</v>
      </c>
      <c r="E336" s="3">
        <f>IFERROR(__xludf.DUMMYFUNCTION("""COMPUTED_VALUE"""),1105.5)</f>
        <v>1105.5</v>
      </c>
      <c r="F336" s="3">
        <f>IFERROR(__xludf.DUMMYFUNCTION("""COMPUTED_VALUE"""),0.0)</f>
        <v>0</v>
      </c>
    </row>
    <row r="337">
      <c r="A337" s="7">
        <f>IFERROR(__xludf.DUMMYFUNCTION("""COMPUTED_VALUE"""),37085.645833333336)</f>
        <v>37085.64583</v>
      </c>
      <c r="B337" s="3">
        <f>IFERROR(__xludf.DUMMYFUNCTION("""COMPUTED_VALUE"""),1105.7)</f>
        <v>1105.7</v>
      </c>
      <c r="C337" s="3">
        <f>IFERROR(__xludf.DUMMYFUNCTION("""COMPUTED_VALUE"""),1127.15)</f>
        <v>1127.15</v>
      </c>
      <c r="D337" s="3">
        <f>IFERROR(__xludf.DUMMYFUNCTION("""COMPUTED_VALUE"""),1103.3)</f>
        <v>1103.3</v>
      </c>
      <c r="E337" s="3">
        <f>IFERROR(__xludf.DUMMYFUNCTION("""COMPUTED_VALUE"""),1110.45)</f>
        <v>1110.45</v>
      </c>
      <c r="F337" s="3">
        <f>IFERROR(__xludf.DUMMYFUNCTION("""COMPUTED_VALUE"""),0.0)</f>
        <v>0</v>
      </c>
    </row>
    <row r="338">
      <c r="A338" s="7">
        <f>IFERROR(__xludf.DUMMYFUNCTION("""COMPUTED_VALUE"""),37088.645833333336)</f>
        <v>37088.64583</v>
      </c>
      <c r="B338" s="3">
        <f>IFERROR(__xludf.DUMMYFUNCTION("""COMPUTED_VALUE"""),1110.35)</f>
        <v>1110.35</v>
      </c>
      <c r="C338" s="3">
        <f>IFERROR(__xludf.DUMMYFUNCTION("""COMPUTED_VALUE"""),1116.7)</f>
        <v>1116.7</v>
      </c>
      <c r="D338" s="3">
        <f>IFERROR(__xludf.DUMMYFUNCTION("""COMPUTED_VALUE"""),1102.45)</f>
        <v>1102.45</v>
      </c>
      <c r="E338" s="3">
        <f>IFERROR(__xludf.DUMMYFUNCTION("""COMPUTED_VALUE"""),1105.55)</f>
        <v>1105.55</v>
      </c>
      <c r="F338" s="3">
        <f>IFERROR(__xludf.DUMMYFUNCTION("""COMPUTED_VALUE"""),0.0)</f>
        <v>0</v>
      </c>
    </row>
    <row r="339">
      <c r="A339" s="7">
        <f>IFERROR(__xludf.DUMMYFUNCTION("""COMPUTED_VALUE"""),37089.645833333336)</f>
        <v>37089.64583</v>
      </c>
      <c r="B339" s="3">
        <f>IFERROR(__xludf.DUMMYFUNCTION("""COMPUTED_VALUE"""),1103.55)</f>
        <v>1103.55</v>
      </c>
      <c r="C339" s="3">
        <f>IFERROR(__xludf.DUMMYFUNCTION("""COMPUTED_VALUE"""),1106.05)</f>
        <v>1106.05</v>
      </c>
      <c r="D339" s="3">
        <f>IFERROR(__xludf.DUMMYFUNCTION("""COMPUTED_VALUE"""),1092.5)</f>
        <v>1092.5</v>
      </c>
      <c r="E339" s="3">
        <f>IFERROR(__xludf.DUMMYFUNCTION("""COMPUTED_VALUE"""),1103.1)</f>
        <v>1103.1</v>
      </c>
      <c r="F339" s="3">
        <f>IFERROR(__xludf.DUMMYFUNCTION("""COMPUTED_VALUE"""),0.0)</f>
        <v>0</v>
      </c>
    </row>
    <row r="340">
      <c r="A340" s="7">
        <f>IFERROR(__xludf.DUMMYFUNCTION("""COMPUTED_VALUE"""),37090.645833333336)</f>
        <v>37090.64583</v>
      </c>
      <c r="B340" s="3">
        <f>IFERROR(__xludf.DUMMYFUNCTION("""COMPUTED_VALUE"""),1103.1)</f>
        <v>1103.1</v>
      </c>
      <c r="C340" s="3">
        <f>IFERROR(__xludf.DUMMYFUNCTION("""COMPUTED_VALUE"""),1108.45)</f>
        <v>1108.45</v>
      </c>
      <c r="D340" s="3">
        <f>IFERROR(__xludf.DUMMYFUNCTION("""COMPUTED_VALUE"""),1088.1)</f>
        <v>1088.1</v>
      </c>
      <c r="E340" s="3">
        <f>IFERROR(__xludf.DUMMYFUNCTION("""COMPUTED_VALUE"""),1091.95)</f>
        <v>1091.95</v>
      </c>
      <c r="F340" s="3">
        <f>IFERROR(__xludf.DUMMYFUNCTION("""COMPUTED_VALUE"""),0.0)</f>
        <v>0</v>
      </c>
    </row>
    <row r="341">
      <c r="A341" s="7">
        <f>IFERROR(__xludf.DUMMYFUNCTION("""COMPUTED_VALUE"""),37091.645833333336)</f>
        <v>37091.64583</v>
      </c>
      <c r="B341" s="3">
        <f>IFERROR(__xludf.DUMMYFUNCTION("""COMPUTED_VALUE"""),1091.35)</f>
        <v>1091.35</v>
      </c>
      <c r="C341" s="3">
        <f>IFERROR(__xludf.DUMMYFUNCTION("""COMPUTED_VALUE"""),1091.35)</f>
        <v>1091.35</v>
      </c>
      <c r="D341" s="3">
        <f>IFERROR(__xludf.DUMMYFUNCTION("""COMPUTED_VALUE"""),1079.55)</f>
        <v>1079.55</v>
      </c>
      <c r="E341" s="3">
        <f>IFERROR(__xludf.DUMMYFUNCTION("""COMPUTED_VALUE"""),1085.9)</f>
        <v>1085.9</v>
      </c>
      <c r="F341" s="3">
        <f>IFERROR(__xludf.DUMMYFUNCTION("""COMPUTED_VALUE"""),0.0)</f>
        <v>0</v>
      </c>
    </row>
    <row r="342">
      <c r="A342" s="7">
        <f>IFERROR(__xludf.DUMMYFUNCTION("""COMPUTED_VALUE"""),37092.645833333336)</f>
        <v>37092.64583</v>
      </c>
      <c r="B342" s="3">
        <f>IFERROR(__xludf.DUMMYFUNCTION("""COMPUTED_VALUE"""),1085.95)</f>
        <v>1085.95</v>
      </c>
      <c r="C342" s="3">
        <f>IFERROR(__xludf.DUMMYFUNCTION("""COMPUTED_VALUE"""),1089.95)</f>
        <v>1089.95</v>
      </c>
      <c r="D342" s="3">
        <f>IFERROR(__xludf.DUMMYFUNCTION("""COMPUTED_VALUE"""),1072.75)</f>
        <v>1072.75</v>
      </c>
      <c r="E342" s="3">
        <f>IFERROR(__xludf.DUMMYFUNCTION("""COMPUTED_VALUE"""),1077.7)</f>
        <v>1077.7</v>
      </c>
      <c r="F342" s="3">
        <f>IFERROR(__xludf.DUMMYFUNCTION("""COMPUTED_VALUE"""),0.0)</f>
        <v>0</v>
      </c>
    </row>
    <row r="343">
      <c r="A343" s="7">
        <f>IFERROR(__xludf.DUMMYFUNCTION("""COMPUTED_VALUE"""),37095.645833333336)</f>
        <v>37095.64583</v>
      </c>
      <c r="B343" s="3">
        <f>IFERROR(__xludf.DUMMYFUNCTION("""COMPUTED_VALUE"""),1076.15)</f>
        <v>1076.15</v>
      </c>
      <c r="C343" s="3">
        <f>IFERROR(__xludf.DUMMYFUNCTION("""COMPUTED_VALUE"""),1076.15)</f>
        <v>1076.15</v>
      </c>
      <c r="D343" s="3">
        <f>IFERROR(__xludf.DUMMYFUNCTION("""COMPUTED_VALUE"""),1063.4)</f>
        <v>1063.4</v>
      </c>
      <c r="E343" s="3">
        <f>IFERROR(__xludf.DUMMYFUNCTION("""COMPUTED_VALUE"""),1070.65)</f>
        <v>1070.65</v>
      </c>
      <c r="F343" s="3">
        <f>IFERROR(__xludf.DUMMYFUNCTION("""COMPUTED_VALUE"""),0.0)</f>
        <v>0</v>
      </c>
    </row>
    <row r="344">
      <c r="A344" s="7">
        <f>IFERROR(__xludf.DUMMYFUNCTION("""COMPUTED_VALUE"""),37096.645833333336)</f>
        <v>37096.64583</v>
      </c>
      <c r="B344" s="3">
        <f>IFERROR(__xludf.DUMMYFUNCTION("""COMPUTED_VALUE"""),1065.95)</f>
        <v>1065.95</v>
      </c>
      <c r="C344" s="3">
        <f>IFERROR(__xludf.DUMMYFUNCTION("""COMPUTED_VALUE"""),1074.75)</f>
        <v>1074.75</v>
      </c>
      <c r="D344" s="3">
        <f>IFERROR(__xludf.DUMMYFUNCTION("""COMPUTED_VALUE"""),1064.5)</f>
        <v>1064.5</v>
      </c>
      <c r="E344" s="3">
        <f>IFERROR(__xludf.DUMMYFUNCTION("""COMPUTED_VALUE"""),1072.55)</f>
        <v>1072.55</v>
      </c>
      <c r="F344" s="3">
        <f>IFERROR(__xludf.DUMMYFUNCTION("""COMPUTED_VALUE"""),0.0)</f>
        <v>0</v>
      </c>
    </row>
    <row r="345">
      <c r="A345" s="7">
        <f>IFERROR(__xludf.DUMMYFUNCTION("""COMPUTED_VALUE"""),37097.645833333336)</f>
        <v>37097.64583</v>
      </c>
      <c r="B345" s="3">
        <f>IFERROR(__xludf.DUMMYFUNCTION("""COMPUTED_VALUE"""),1072.45)</f>
        <v>1072.45</v>
      </c>
      <c r="C345" s="3">
        <f>IFERROR(__xludf.DUMMYFUNCTION("""COMPUTED_VALUE"""),1073.95)</f>
        <v>1073.95</v>
      </c>
      <c r="D345" s="3">
        <f>IFERROR(__xludf.DUMMYFUNCTION("""COMPUTED_VALUE"""),1062.15)</f>
        <v>1062.15</v>
      </c>
      <c r="E345" s="3">
        <f>IFERROR(__xludf.DUMMYFUNCTION("""COMPUTED_VALUE"""),1064.2)</f>
        <v>1064.2</v>
      </c>
      <c r="F345" s="3">
        <f>IFERROR(__xludf.DUMMYFUNCTION("""COMPUTED_VALUE"""),0.0)</f>
        <v>0</v>
      </c>
    </row>
    <row r="346">
      <c r="A346" s="7">
        <f>IFERROR(__xludf.DUMMYFUNCTION("""COMPUTED_VALUE"""),37098.645833333336)</f>
        <v>37098.64583</v>
      </c>
      <c r="B346" s="3">
        <f>IFERROR(__xludf.DUMMYFUNCTION("""COMPUTED_VALUE"""),1063.9)</f>
        <v>1063.9</v>
      </c>
      <c r="C346" s="3">
        <f>IFERROR(__xludf.DUMMYFUNCTION("""COMPUTED_VALUE"""),1066.55)</f>
        <v>1066.55</v>
      </c>
      <c r="D346" s="3">
        <f>IFERROR(__xludf.DUMMYFUNCTION("""COMPUTED_VALUE"""),1050.15)</f>
        <v>1050.15</v>
      </c>
      <c r="E346" s="3">
        <f>IFERROR(__xludf.DUMMYFUNCTION("""COMPUTED_VALUE"""),1053.4)</f>
        <v>1053.4</v>
      </c>
      <c r="F346" s="3">
        <f>IFERROR(__xludf.DUMMYFUNCTION("""COMPUTED_VALUE"""),0.0)</f>
        <v>0</v>
      </c>
    </row>
    <row r="347">
      <c r="A347" s="7">
        <f>IFERROR(__xludf.DUMMYFUNCTION("""COMPUTED_VALUE"""),37099.645833333336)</f>
        <v>37099.64583</v>
      </c>
      <c r="B347" s="3">
        <f>IFERROR(__xludf.DUMMYFUNCTION("""COMPUTED_VALUE"""),1053.2)</f>
        <v>1053.2</v>
      </c>
      <c r="C347" s="3">
        <f>IFERROR(__xludf.DUMMYFUNCTION("""COMPUTED_VALUE"""),1061.2)</f>
        <v>1061.2</v>
      </c>
      <c r="D347" s="3">
        <f>IFERROR(__xludf.DUMMYFUNCTION("""COMPUTED_VALUE"""),1046.9)</f>
        <v>1046.9</v>
      </c>
      <c r="E347" s="3">
        <f>IFERROR(__xludf.DUMMYFUNCTION("""COMPUTED_VALUE"""),1051.7)</f>
        <v>1051.7</v>
      </c>
      <c r="F347" s="3">
        <f>IFERROR(__xludf.DUMMYFUNCTION("""COMPUTED_VALUE"""),0.0)</f>
        <v>0</v>
      </c>
    </row>
    <row r="348">
      <c r="A348" s="7">
        <f>IFERROR(__xludf.DUMMYFUNCTION("""COMPUTED_VALUE"""),37102.645833333336)</f>
        <v>37102.64583</v>
      </c>
      <c r="B348" s="3">
        <f>IFERROR(__xludf.DUMMYFUNCTION("""COMPUTED_VALUE"""),1051.45)</f>
        <v>1051.45</v>
      </c>
      <c r="C348" s="3">
        <f>IFERROR(__xludf.DUMMYFUNCTION("""COMPUTED_VALUE"""),1062.8)</f>
        <v>1062.8</v>
      </c>
      <c r="D348" s="3">
        <f>IFERROR(__xludf.DUMMYFUNCTION("""COMPUTED_VALUE"""),1050.9)</f>
        <v>1050.9</v>
      </c>
      <c r="E348" s="3">
        <f>IFERROR(__xludf.DUMMYFUNCTION("""COMPUTED_VALUE"""),1061.45)</f>
        <v>1061.45</v>
      </c>
      <c r="F348" s="3">
        <f>IFERROR(__xludf.DUMMYFUNCTION("""COMPUTED_VALUE"""),0.0)</f>
        <v>0</v>
      </c>
    </row>
    <row r="349">
      <c r="A349" s="7">
        <f>IFERROR(__xludf.DUMMYFUNCTION("""COMPUTED_VALUE"""),37103.645833333336)</f>
        <v>37103.64583</v>
      </c>
      <c r="B349" s="3">
        <f>IFERROR(__xludf.DUMMYFUNCTION("""COMPUTED_VALUE"""),1061.45)</f>
        <v>1061.45</v>
      </c>
      <c r="C349" s="3">
        <f>IFERROR(__xludf.DUMMYFUNCTION("""COMPUTED_VALUE"""),1076.35)</f>
        <v>1076.35</v>
      </c>
      <c r="D349" s="3">
        <f>IFERROR(__xludf.DUMMYFUNCTION("""COMPUTED_VALUE"""),1053.6)</f>
        <v>1053.6</v>
      </c>
      <c r="E349" s="3">
        <f>IFERROR(__xludf.DUMMYFUNCTION("""COMPUTED_VALUE"""),1072.85)</f>
        <v>1072.85</v>
      </c>
      <c r="F349" s="3">
        <f>IFERROR(__xludf.DUMMYFUNCTION("""COMPUTED_VALUE"""),0.0)</f>
        <v>0</v>
      </c>
    </row>
    <row r="350">
      <c r="A350" s="7">
        <f>IFERROR(__xludf.DUMMYFUNCTION("""COMPUTED_VALUE"""),37104.645833333336)</f>
        <v>37104.64583</v>
      </c>
      <c r="B350" s="3">
        <f>IFERROR(__xludf.DUMMYFUNCTION("""COMPUTED_VALUE"""),1073.0)</f>
        <v>1073</v>
      </c>
      <c r="C350" s="3">
        <f>IFERROR(__xludf.DUMMYFUNCTION("""COMPUTED_VALUE"""),1077.7)</f>
        <v>1077.7</v>
      </c>
      <c r="D350" s="3">
        <f>IFERROR(__xludf.DUMMYFUNCTION("""COMPUTED_VALUE"""),1059.75)</f>
        <v>1059.75</v>
      </c>
      <c r="E350" s="3">
        <f>IFERROR(__xludf.DUMMYFUNCTION("""COMPUTED_VALUE"""),1063.15)</f>
        <v>1063.15</v>
      </c>
      <c r="F350" s="3">
        <f>IFERROR(__xludf.DUMMYFUNCTION("""COMPUTED_VALUE"""),0.0)</f>
        <v>0</v>
      </c>
    </row>
    <row r="351">
      <c r="A351" s="7">
        <f>IFERROR(__xludf.DUMMYFUNCTION("""COMPUTED_VALUE"""),37105.645833333336)</f>
        <v>37105.64583</v>
      </c>
      <c r="B351" s="3">
        <f>IFERROR(__xludf.DUMMYFUNCTION("""COMPUTED_VALUE"""),1064.25)</f>
        <v>1064.25</v>
      </c>
      <c r="C351" s="3">
        <f>IFERROR(__xludf.DUMMYFUNCTION("""COMPUTED_VALUE"""),1070.05)</f>
        <v>1070.05</v>
      </c>
      <c r="D351" s="3">
        <f>IFERROR(__xludf.DUMMYFUNCTION("""COMPUTED_VALUE"""),1059.55)</f>
        <v>1059.55</v>
      </c>
      <c r="E351" s="3">
        <f>IFERROR(__xludf.DUMMYFUNCTION("""COMPUTED_VALUE"""),1066.0)</f>
        <v>1066</v>
      </c>
      <c r="F351" s="3">
        <f>IFERROR(__xludf.DUMMYFUNCTION("""COMPUTED_VALUE"""),0.0)</f>
        <v>0</v>
      </c>
    </row>
    <row r="352">
      <c r="A352" s="7">
        <f>IFERROR(__xludf.DUMMYFUNCTION("""COMPUTED_VALUE"""),37106.645833333336)</f>
        <v>37106.64583</v>
      </c>
      <c r="B352" s="3">
        <f>IFERROR(__xludf.DUMMYFUNCTION("""COMPUTED_VALUE"""),1066.4)</f>
        <v>1066.4</v>
      </c>
      <c r="C352" s="3">
        <f>IFERROR(__xludf.DUMMYFUNCTION("""COMPUTED_VALUE"""),1077.55)</f>
        <v>1077.55</v>
      </c>
      <c r="D352" s="3">
        <f>IFERROR(__xludf.DUMMYFUNCTION("""COMPUTED_VALUE"""),1066.2)</f>
        <v>1066.2</v>
      </c>
      <c r="E352" s="3">
        <f>IFERROR(__xludf.DUMMYFUNCTION("""COMPUTED_VALUE"""),1074.6)</f>
        <v>1074.6</v>
      </c>
      <c r="F352" s="3">
        <f>IFERROR(__xludf.DUMMYFUNCTION("""COMPUTED_VALUE"""),0.0)</f>
        <v>0</v>
      </c>
    </row>
    <row r="353">
      <c r="A353" s="7">
        <f>IFERROR(__xludf.DUMMYFUNCTION("""COMPUTED_VALUE"""),37109.645833333336)</f>
        <v>37109.64583</v>
      </c>
      <c r="B353" s="3">
        <f>IFERROR(__xludf.DUMMYFUNCTION("""COMPUTED_VALUE"""),1074.2)</f>
        <v>1074.2</v>
      </c>
      <c r="C353" s="3">
        <f>IFERROR(__xludf.DUMMYFUNCTION("""COMPUTED_VALUE"""),1082.4)</f>
        <v>1082.4</v>
      </c>
      <c r="D353" s="3">
        <f>IFERROR(__xludf.DUMMYFUNCTION("""COMPUTED_VALUE"""),1072.55)</f>
        <v>1072.55</v>
      </c>
      <c r="E353" s="3">
        <f>IFERROR(__xludf.DUMMYFUNCTION("""COMPUTED_VALUE"""),1075.25)</f>
        <v>1075.25</v>
      </c>
      <c r="F353" s="3">
        <f>IFERROR(__xludf.DUMMYFUNCTION("""COMPUTED_VALUE"""),0.0)</f>
        <v>0</v>
      </c>
    </row>
    <row r="354">
      <c r="A354" s="7">
        <f>IFERROR(__xludf.DUMMYFUNCTION("""COMPUTED_VALUE"""),37110.645833333336)</f>
        <v>37110.64583</v>
      </c>
      <c r="B354" s="3">
        <f>IFERROR(__xludf.DUMMYFUNCTION("""COMPUTED_VALUE"""),1074.35)</f>
        <v>1074.35</v>
      </c>
      <c r="C354" s="3">
        <f>IFERROR(__xludf.DUMMYFUNCTION("""COMPUTED_VALUE"""),1079.3)</f>
        <v>1079.3</v>
      </c>
      <c r="D354" s="3">
        <f>IFERROR(__xludf.DUMMYFUNCTION("""COMPUTED_VALUE"""),1070.2)</f>
        <v>1070.2</v>
      </c>
      <c r="E354" s="3">
        <f>IFERROR(__xludf.DUMMYFUNCTION("""COMPUTED_VALUE"""),1072.1)</f>
        <v>1072.1</v>
      </c>
      <c r="F354" s="3">
        <f>IFERROR(__xludf.DUMMYFUNCTION("""COMPUTED_VALUE"""),0.0)</f>
        <v>0</v>
      </c>
    </row>
    <row r="355">
      <c r="A355" s="7">
        <f>IFERROR(__xludf.DUMMYFUNCTION("""COMPUTED_VALUE"""),37111.645833333336)</f>
        <v>37111.64583</v>
      </c>
      <c r="B355" s="3">
        <f>IFERROR(__xludf.DUMMYFUNCTION("""COMPUTED_VALUE"""),1071.75)</f>
        <v>1071.75</v>
      </c>
      <c r="C355" s="3">
        <f>IFERROR(__xludf.DUMMYFUNCTION("""COMPUTED_VALUE"""),1072.1)</f>
        <v>1072.1</v>
      </c>
      <c r="D355" s="3">
        <f>IFERROR(__xludf.DUMMYFUNCTION("""COMPUTED_VALUE"""),1059.55)</f>
        <v>1059.55</v>
      </c>
      <c r="E355" s="3">
        <f>IFERROR(__xludf.DUMMYFUNCTION("""COMPUTED_VALUE"""),1068.0)</f>
        <v>1068</v>
      </c>
      <c r="F355" s="3">
        <f>IFERROR(__xludf.DUMMYFUNCTION("""COMPUTED_VALUE"""),0.0)</f>
        <v>0</v>
      </c>
    </row>
    <row r="356">
      <c r="A356" s="7">
        <f>IFERROR(__xludf.DUMMYFUNCTION("""COMPUTED_VALUE"""),37112.645833333336)</f>
        <v>37112.64583</v>
      </c>
      <c r="B356" s="3">
        <f>IFERROR(__xludf.DUMMYFUNCTION("""COMPUTED_VALUE"""),1068.1)</f>
        <v>1068.1</v>
      </c>
      <c r="C356" s="3">
        <f>IFERROR(__xludf.DUMMYFUNCTION("""COMPUTED_VALUE"""),1072.6)</f>
        <v>1072.6</v>
      </c>
      <c r="D356" s="3">
        <f>IFERROR(__xludf.DUMMYFUNCTION("""COMPUTED_VALUE"""),1061.4)</f>
        <v>1061.4</v>
      </c>
      <c r="E356" s="3">
        <f>IFERROR(__xludf.DUMMYFUNCTION("""COMPUTED_VALUE"""),1070.65)</f>
        <v>1070.65</v>
      </c>
      <c r="F356" s="3">
        <f>IFERROR(__xludf.DUMMYFUNCTION("""COMPUTED_VALUE"""),0.0)</f>
        <v>0</v>
      </c>
    </row>
    <row r="357">
      <c r="A357" s="7">
        <f>IFERROR(__xludf.DUMMYFUNCTION("""COMPUTED_VALUE"""),37113.645833333336)</f>
        <v>37113.64583</v>
      </c>
      <c r="B357" s="3">
        <f>IFERROR(__xludf.DUMMYFUNCTION("""COMPUTED_VALUE"""),1070.65)</f>
        <v>1070.65</v>
      </c>
      <c r="C357" s="3">
        <f>IFERROR(__xludf.DUMMYFUNCTION("""COMPUTED_VALUE"""),1076.7)</f>
        <v>1076.7</v>
      </c>
      <c r="D357" s="3">
        <f>IFERROR(__xludf.DUMMYFUNCTION("""COMPUTED_VALUE"""),1069.05)</f>
        <v>1069.05</v>
      </c>
      <c r="E357" s="3">
        <f>IFERROR(__xludf.DUMMYFUNCTION("""COMPUTED_VALUE"""),1071.15)</f>
        <v>1071.15</v>
      </c>
      <c r="F357" s="3">
        <f>IFERROR(__xludf.DUMMYFUNCTION("""COMPUTED_VALUE"""),0.0)</f>
        <v>0</v>
      </c>
    </row>
    <row r="358">
      <c r="A358" s="7">
        <f>IFERROR(__xludf.DUMMYFUNCTION("""COMPUTED_VALUE"""),37116.645833333336)</f>
        <v>37116.64583</v>
      </c>
      <c r="B358" s="3">
        <f>IFERROR(__xludf.DUMMYFUNCTION("""COMPUTED_VALUE"""),1070.95)</f>
        <v>1070.95</v>
      </c>
      <c r="C358" s="3">
        <f>IFERROR(__xludf.DUMMYFUNCTION("""COMPUTED_VALUE"""),1081.4)</f>
        <v>1081.4</v>
      </c>
      <c r="D358" s="3">
        <f>IFERROR(__xludf.DUMMYFUNCTION("""COMPUTED_VALUE"""),1061.05)</f>
        <v>1061.05</v>
      </c>
      <c r="E358" s="3">
        <f>IFERROR(__xludf.DUMMYFUNCTION("""COMPUTED_VALUE"""),1063.0)</f>
        <v>1063</v>
      </c>
      <c r="F358" s="3">
        <f>IFERROR(__xludf.DUMMYFUNCTION("""COMPUTED_VALUE"""),0.0)</f>
        <v>0</v>
      </c>
    </row>
    <row r="359">
      <c r="A359" s="7">
        <f>IFERROR(__xludf.DUMMYFUNCTION("""COMPUTED_VALUE"""),37117.645833333336)</f>
        <v>37117.64583</v>
      </c>
      <c r="B359" s="3">
        <f>IFERROR(__xludf.DUMMYFUNCTION("""COMPUTED_VALUE"""),1063.05)</f>
        <v>1063.05</v>
      </c>
      <c r="C359" s="3">
        <f>IFERROR(__xludf.DUMMYFUNCTION("""COMPUTED_VALUE"""),1076.6)</f>
        <v>1076.6</v>
      </c>
      <c r="D359" s="3">
        <f>IFERROR(__xludf.DUMMYFUNCTION("""COMPUTED_VALUE"""),1062.2)</f>
        <v>1062.2</v>
      </c>
      <c r="E359" s="3">
        <f>IFERROR(__xludf.DUMMYFUNCTION("""COMPUTED_VALUE"""),1075.5)</f>
        <v>1075.5</v>
      </c>
      <c r="F359" s="3">
        <f>IFERROR(__xludf.DUMMYFUNCTION("""COMPUTED_VALUE"""),0.0)</f>
        <v>0</v>
      </c>
    </row>
    <row r="360">
      <c r="A360" s="7">
        <f>IFERROR(__xludf.DUMMYFUNCTION("""COMPUTED_VALUE"""),37119.645833333336)</f>
        <v>37119.64583</v>
      </c>
      <c r="B360" s="3">
        <f>IFERROR(__xludf.DUMMYFUNCTION("""COMPUTED_VALUE"""),1075.2)</f>
        <v>1075.2</v>
      </c>
      <c r="C360" s="3">
        <f>IFERROR(__xludf.DUMMYFUNCTION("""COMPUTED_VALUE"""),1083.7)</f>
        <v>1083.7</v>
      </c>
      <c r="D360" s="3">
        <f>IFERROR(__xludf.DUMMYFUNCTION("""COMPUTED_VALUE"""),1072.95)</f>
        <v>1072.95</v>
      </c>
      <c r="E360" s="3">
        <f>IFERROR(__xludf.DUMMYFUNCTION("""COMPUTED_VALUE"""),1078.95)</f>
        <v>1078.95</v>
      </c>
      <c r="F360" s="3">
        <f>IFERROR(__xludf.DUMMYFUNCTION("""COMPUTED_VALUE"""),0.0)</f>
        <v>0</v>
      </c>
    </row>
    <row r="361">
      <c r="A361" s="7">
        <f>IFERROR(__xludf.DUMMYFUNCTION("""COMPUTED_VALUE"""),37120.645833333336)</f>
        <v>37120.64583</v>
      </c>
      <c r="B361" s="3">
        <f>IFERROR(__xludf.DUMMYFUNCTION("""COMPUTED_VALUE"""),1079.0)</f>
        <v>1079</v>
      </c>
      <c r="C361" s="3">
        <f>IFERROR(__xludf.DUMMYFUNCTION("""COMPUTED_VALUE"""),1084.0)</f>
        <v>1084</v>
      </c>
      <c r="D361" s="3">
        <f>IFERROR(__xludf.DUMMYFUNCTION("""COMPUTED_VALUE"""),1067.6)</f>
        <v>1067.6</v>
      </c>
      <c r="E361" s="3">
        <f>IFERROR(__xludf.DUMMYFUNCTION("""COMPUTED_VALUE"""),1069.2)</f>
        <v>1069.2</v>
      </c>
      <c r="F361" s="3">
        <f>IFERROR(__xludf.DUMMYFUNCTION("""COMPUTED_VALUE"""),0.0)</f>
        <v>0</v>
      </c>
    </row>
    <row r="362">
      <c r="A362" s="7">
        <f>IFERROR(__xludf.DUMMYFUNCTION("""COMPUTED_VALUE"""),37123.645833333336)</f>
        <v>37123.64583</v>
      </c>
      <c r="B362" s="3">
        <f>IFERROR(__xludf.DUMMYFUNCTION("""COMPUTED_VALUE"""),1062.5)</f>
        <v>1062.5</v>
      </c>
      <c r="C362" s="3">
        <f>IFERROR(__xludf.DUMMYFUNCTION("""COMPUTED_VALUE"""),1067.95)</f>
        <v>1067.95</v>
      </c>
      <c r="D362" s="3">
        <f>IFERROR(__xludf.DUMMYFUNCTION("""COMPUTED_VALUE"""),1061.0)</f>
        <v>1061</v>
      </c>
      <c r="E362" s="3">
        <f>IFERROR(__xludf.DUMMYFUNCTION("""COMPUTED_VALUE"""),1063.75)</f>
        <v>1063.75</v>
      </c>
      <c r="F362" s="3">
        <f>IFERROR(__xludf.DUMMYFUNCTION("""COMPUTED_VALUE"""),0.0)</f>
        <v>0</v>
      </c>
    </row>
    <row r="363">
      <c r="A363" s="7">
        <f>IFERROR(__xludf.DUMMYFUNCTION("""COMPUTED_VALUE"""),37124.645833333336)</f>
        <v>37124.64583</v>
      </c>
      <c r="B363" s="3">
        <f>IFERROR(__xludf.DUMMYFUNCTION("""COMPUTED_VALUE"""),1063.65)</f>
        <v>1063.65</v>
      </c>
      <c r="C363" s="3">
        <f>IFERROR(__xludf.DUMMYFUNCTION("""COMPUTED_VALUE"""),1071.2)</f>
        <v>1071.2</v>
      </c>
      <c r="D363" s="3">
        <f>IFERROR(__xludf.DUMMYFUNCTION("""COMPUTED_VALUE"""),1062.3)</f>
        <v>1062.3</v>
      </c>
      <c r="E363" s="3">
        <f>IFERROR(__xludf.DUMMYFUNCTION("""COMPUTED_VALUE"""),1068.7)</f>
        <v>1068.7</v>
      </c>
      <c r="F363" s="3">
        <f>IFERROR(__xludf.DUMMYFUNCTION("""COMPUTED_VALUE"""),0.0)</f>
        <v>0</v>
      </c>
    </row>
    <row r="364">
      <c r="A364" s="7">
        <f>IFERROR(__xludf.DUMMYFUNCTION("""COMPUTED_VALUE"""),37126.645833333336)</f>
        <v>37126.64583</v>
      </c>
      <c r="B364" s="3">
        <f>IFERROR(__xludf.DUMMYFUNCTION("""COMPUTED_VALUE"""),1068.7)</f>
        <v>1068.7</v>
      </c>
      <c r="C364" s="3">
        <f>IFERROR(__xludf.DUMMYFUNCTION("""COMPUTED_VALUE"""),1079.0)</f>
        <v>1079</v>
      </c>
      <c r="D364" s="3">
        <f>IFERROR(__xludf.DUMMYFUNCTION("""COMPUTED_VALUE"""),1065.7)</f>
        <v>1065.7</v>
      </c>
      <c r="E364" s="3">
        <f>IFERROR(__xludf.DUMMYFUNCTION("""COMPUTED_VALUE"""),1071.5)</f>
        <v>1071.5</v>
      </c>
      <c r="F364" s="3">
        <f>IFERROR(__xludf.DUMMYFUNCTION("""COMPUTED_VALUE"""),0.0)</f>
        <v>0</v>
      </c>
    </row>
    <row r="365">
      <c r="A365" s="7">
        <f>IFERROR(__xludf.DUMMYFUNCTION("""COMPUTED_VALUE"""),37127.645833333336)</f>
        <v>37127.64583</v>
      </c>
      <c r="B365" s="3">
        <f>IFERROR(__xludf.DUMMYFUNCTION("""COMPUTED_VALUE"""),1071.5)</f>
        <v>1071.5</v>
      </c>
      <c r="C365" s="3">
        <f>IFERROR(__xludf.DUMMYFUNCTION("""COMPUTED_VALUE"""),1076.7)</f>
        <v>1076.7</v>
      </c>
      <c r="D365" s="3">
        <f>IFERROR(__xludf.DUMMYFUNCTION("""COMPUTED_VALUE"""),1064.9)</f>
        <v>1064.9</v>
      </c>
      <c r="E365" s="3">
        <f>IFERROR(__xludf.DUMMYFUNCTION("""COMPUTED_VALUE"""),1069.15)</f>
        <v>1069.15</v>
      </c>
      <c r="F365" s="3">
        <f>IFERROR(__xludf.DUMMYFUNCTION("""COMPUTED_VALUE"""),0.0)</f>
        <v>0</v>
      </c>
    </row>
    <row r="366">
      <c r="A366" s="7">
        <f>IFERROR(__xludf.DUMMYFUNCTION("""COMPUTED_VALUE"""),37130.645833333336)</f>
        <v>37130.64583</v>
      </c>
      <c r="B366" s="3">
        <f>IFERROR(__xludf.DUMMYFUNCTION("""COMPUTED_VALUE"""),1064.05)</f>
        <v>1064.05</v>
      </c>
      <c r="C366" s="3">
        <f>IFERROR(__xludf.DUMMYFUNCTION("""COMPUTED_VALUE"""),1078.35)</f>
        <v>1078.35</v>
      </c>
      <c r="D366" s="3">
        <f>IFERROR(__xludf.DUMMYFUNCTION("""COMPUTED_VALUE"""),1064.05)</f>
        <v>1064.05</v>
      </c>
      <c r="E366" s="3">
        <f>IFERROR(__xludf.DUMMYFUNCTION("""COMPUTED_VALUE"""),1072.55)</f>
        <v>1072.55</v>
      </c>
      <c r="F366" s="3">
        <f>IFERROR(__xludf.DUMMYFUNCTION("""COMPUTED_VALUE"""),0.0)</f>
        <v>0</v>
      </c>
    </row>
    <row r="367">
      <c r="A367" s="7">
        <f>IFERROR(__xludf.DUMMYFUNCTION("""COMPUTED_VALUE"""),37131.645833333336)</f>
        <v>37131.64583</v>
      </c>
      <c r="B367" s="3">
        <f>IFERROR(__xludf.DUMMYFUNCTION("""COMPUTED_VALUE"""),1072.35)</f>
        <v>1072.35</v>
      </c>
      <c r="C367" s="3">
        <f>IFERROR(__xludf.DUMMYFUNCTION("""COMPUTED_VALUE"""),1076.85)</f>
        <v>1076.85</v>
      </c>
      <c r="D367" s="3">
        <f>IFERROR(__xludf.DUMMYFUNCTION("""COMPUTED_VALUE"""),1069.6)</f>
        <v>1069.6</v>
      </c>
      <c r="E367" s="3">
        <f>IFERROR(__xludf.DUMMYFUNCTION("""COMPUTED_VALUE"""),1070.65)</f>
        <v>1070.65</v>
      </c>
      <c r="F367" s="3">
        <f>IFERROR(__xludf.DUMMYFUNCTION("""COMPUTED_VALUE"""),0.0)</f>
        <v>0</v>
      </c>
    </row>
    <row r="368">
      <c r="A368" s="7">
        <f>IFERROR(__xludf.DUMMYFUNCTION("""COMPUTED_VALUE"""),37132.645833333336)</f>
        <v>37132.64583</v>
      </c>
      <c r="B368" s="3">
        <f>IFERROR(__xludf.DUMMYFUNCTION("""COMPUTED_VALUE"""),1070.55)</f>
        <v>1070.55</v>
      </c>
      <c r="C368" s="3">
        <f>IFERROR(__xludf.DUMMYFUNCTION("""COMPUTED_VALUE"""),1074.5)</f>
        <v>1074.5</v>
      </c>
      <c r="D368" s="3">
        <f>IFERROR(__xludf.DUMMYFUNCTION("""COMPUTED_VALUE"""),1066.45)</f>
        <v>1066.45</v>
      </c>
      <c r="E368" s="3">
        <f>IFERROR(__xludf.DUMMYFUNCTION("""COMPUTED_VALUE"""),1067.45)</f>
        <v>1067.45</v>
      </c>
      <c r="F368" s="3">
        <f>IFERROR(__xludf.DUMMYFUNCTION("""COMPUTED_VALUE"""),0.0)</f>
        <v>0</v>
      </c>
    </row>
    <row r="369">
      <c r="A369" s="7">
        <f>IFERROR(__xludf.DUMMYFUNCTION("""COMPUTED_VALUE"""),37133.645833333336)</f>
        <v>37133.64583</v>
      </c>
      <c r="B369" s="3">
        <f>IFERROR(__xludf.DUMMYFUNCTION("""COMPUTED_VALUE"""),1068.3)</f>
        <v>1068.3</v>
      </c>
      <c r="C369" s="3">
        <f>IFERROR(__xludf.DUMMYFUNCTION("""COMPUTED_VALUE"""),1070.25)</f>
        <v>1070.25</v>
      </c>
      <c r="D369" s="3">
        <f>IFERROR(__xludf.DUMMYFUNCTION("""COMPUTED_VALUE"""),1061.9)</f>
        <v>1061.9</v>
      </c>
      <c r="E369" s="3">
        <f>IFERROR(__xludf.DUMMYFUNCTION("""COMPUTED_VALUE"""),1064.15)</f>
        <v>1064.15</v>
      </c>
      <c r="F369" s="3">
        <f>IFERROR(__xludf.DUMMYFUNCTION("""COMPUTED_VALUE"""),0.0)</f>
        <v>0</v>
      </c>
    </row>
    <row r="370">
      <c r="A370" s="7">
        <f>IFERROR(__xludf.DUMMYFUNCTION("""COMPUTED_VALUE"""),37134.645833333336)</f>
        <v>37134.64583</v>
      </c>
      <c r="B370" s="3">
        <f>IFERROR(__xludf.DUMMYFUNCTION("""COMPUTED_VALUE"""),1064.1)</f>
        <v>1064.1</v>
      </c>
      <c r="C370" s="3">
        <f>IFERROR(__xludf.DUMMYFUNCTION("""COMPUTED_VALUE"""),1064.1)</f>
        <v>1064.1</v>
      </c>
      <c r="D370" s="3">
        <f>IFERROR(__xludf.DUMMYFUNCTION("""COMPUTED_VALUE"""),1051.75)</f>
        <v>1051.75</v>
      </c>
      <c r="E370" s="3">
        <f>IFERROR(__xludf.DUMMYFUNCTION("""COMPUTED_VALUE"""),1053.75)</f>
        <v>1053.75</v>
      </c>
      <c r="F370" s="3">
        <f>IFERROR(__xludf.DUMMYFUNCTION("""COMPUTED_VALUE"""),0.0)</f>
        <v>0</v>
      </c>
    </row>
    <row r="371">
      <c r="A371" s="7">
        <f>IFERROR(__xludf.DUMMYFUNCTION("""COMPUTED_VALUE"""),37257.645833333336)</f>
        <v>37257.64583</v>
      </c>
      <c r="B371" s="3">
        <f>IFERROR(__xludf.DUMMYFUNCTION("""COMPUTED_VALUE"""),1058.85)</f>
        <v>1058.85</v>
      </c>
      <c r="C371" s="3">
        <f>IFERROR(__xludf.DUMMYFUNCTION("""COMPUTED_VALUE"""),1071.15)</f>
        <v>1071.15</v>
      </c>
      <c r="D371" s="3">
        <f>IFERROR(__xludf.DUMMYFUNCTION("""COMPUTED_VALUE"""),1052.05)</f>
        <v>1052.05</v>
      </c>
      <c r="E371" s="3">
        <f>IFERROR(__xludf.DUMMYFUNCTION("""COMPUTED_VALUE"""),1055.3)</f>
        <v>1055.3</v>
      </c>
      <c r="F371" s="3">
        <f>IFERROR(__xludf.DUMMYFUNCTION("""COMPUTED_VALUE"""),0.0)</f>
        <v>0</v>
      </c>
    </row>
    <row r="372">
      <c r="A372" s="7">
        <f>IFERROR(__xludf.DUMMYFUNCTION("""COMPUTED_VALUE"""),37258.645833333336)</f>
        <v>37258.64583</v>
      </c>
      <c r="B372" s="3">
        <f>IFERROR(__xludf.DUMMYFUNCTION("""COMPUTED_VALUE"""),1054.95)</f>
        <v>1054.95</v>
      </c>
      <c r="C372" s="3">
        <f>IFERROR(__xludf.DUMMYFUNCTION("""COMPUTED_VALUE"""),1065.25)</f>
        <v>1065.25</v>
      </c>
      <c r="D372" s="3">
        <f>IFERROR(__xludf.DUMMYFUNCTION("""COMPUTED_VALUE"""),1054.1)</f>
        <v>1054.1</v>
      </c>
      <c r="E372" s="3">
        <f>IFERROR(__xludf.DUMMYFUNCTION("""COMPUTED_VALUE"""),1060.75)</f>
        <v>1060.75</v>
      </c>
      <c r="F372" s="3">
        <f>IFERROR(__xludf.DUMMYFUNCTION("""COMPUTED_VALUE"""),0.0)</f>
        <v>0</v>
      </c>
    </row>
    <row r="373">
      <c r="A373" s="7">
        <f>IFERROR(__xludf.DUMMYFUNCTION("""COMPUTED_VALUE"""),37259.645833333336)</f>
        <v>37259.64583</v>
      </c>
      <c r="B373" s="3">
        <f>IFERROR(__xludf.DUMMYFUNCTION("""COMPUTED_VALUE"""),1063.45)</f>
        <v>1063.45</v>
      </c>
      <c r="C373" s="3">
        <f>IFERROR(__xludf.DUMMYFUNCTION("""COMPUTED_VALUE"""),1074.85)</f>
        <v>1074.85</v>
      </c>
      <c r="D373" s="3">
        <f>IFERROR(__xludf.DUMMYFUNCTION("""COMPUTED_VALUE"""),1062.9)</f>
        <v>1062.9</v>
      </c>
      <c r="E373" s="3">
        <f>IFERROR(__xludf.DUMMYFUNCTION("""COMPUTED_VALUE"""),1072.25)</f>
        <v>1072.25</v>
      </c>
      <c r="F373" s="3">
        <f>IFERROR(__xludf.DUMMYFUNCTION("""COMPUTED_VALUE"""),0.0)</f>
        <v>0</v>
      </c>
    </row>
    <row r="374">
      <c r="A374" s="7">
        <f>IFERROR(__xludf.DUMMYFUNCTION("""COMPUTED_VALUE"""),37260.645833333336)</f>
        <v>37260.64583</v>
      </c>
      <c r="B374" s="3">
        <f>IFERROR(__xludf.DUMMYFUNCTION("""COMPUTED_VALUE"""),1072.4)</f>
        <v>1072.4</v>
      </c>
      <c r="C374" s="3">
        <f>IFERROR(__xludf.DUMMYFUNCTION("""COMPUTED_VALUE"""),1099.25)</f>
        <v>1099.25</v>
      </c>
      <c r="D374" s="3">
        <f>IFERROR(__xludf.DUMMYFUNCTION("""COMPUTED_VALUE"""),1072.4)</f>
        <v>1072.4</v>
      </c>
      <c r="E374" s="3">
        <f>IFERROR(__xludf.DUMMYFUNCTION("""COMPUTED_VALUE"""),1096.2)</f>
        <v>1096.2</v>
      </c>
      <c r="F374" s="3">
        <f>IFERROR(__xludf.DUMMYFUNCTION("""COMPUTED_VALUE"""),0.0)</f>
        <v>0</v>
      </c>
    </row>
    <row r="375">
      <c r="A375" s="7">
        <f>IFERROR(__xludf.DUMMYFUNCTION("""COMPUTED_VALUE"""),37263.645833333336)</f>
        <v>37263.64583</v>
      </c>
      <c r="B375" s="3">
        <f>IFERROR(__xludf.DUMMYFUNCTION("""COMPUTED_VALUE"""),1093.05)</f>
        <v>1093.05</v>
      </c>
      <c r="C375" s="3">
        <f>IFERROR(__xludf.DUMMYFUNCTION("""COMPUTED_VALUE"""),1111.55)</f>
        <v>1111.55</v>
      </c>
      <c r="D375" s="3">
        <f>IFERROR(__xludf.DUMMYFUNCTION("""COMPUTED_VALUE"""),1093.05)</f>
        <v>1093.05</v>
      </c>
      <c r="E375" s="3">
        <f>IFERROR(__xludf.DUMMYFUNCTION("""COMPUTED_VALUE"""),1100.15)</f>
        <v>1100.15</v>
      </c>
      <c r="F375" s="3">
        <f>IFERROR(__xludf.DUMMYFUNCTION("""COMPUTED_VALUE"""),0.0)</f>
        <v>0</v>
      </c>
    </row>
    <row r="376">
      <c r="A376" s="7">
        <f>IFERROR(__xludf.DUMMYFUNCTION("""COMPUTED_VALUE"""),37264.645833333336)</f>
        <v>37264.64583</v>
      </c>
      <c r="B376" s="3">
        <f>IFERROR(__xludf.DUMMYFUNCTION("""COMPUTED_VALUE"""),1100.55)</f>
        <v>1100.55</v>
      </c>
      <c r="C376" s="3">
        <f>IFERROR(__xludf.DUMMYFUNCTION("""COMPUTED_VALUE"""),1114.55)</f>
        <v>1114.55</v>
      </c>
      <c r="D376" s="3">
        <f>IFERROR(__xludf.DUMMYFUNCTION("""COMPUTED_VALUE"""),1097.9)</f>
        <v>1097.9</v>
      </c>
      <c r="E376" s="3">
        <f>IFERROR(__xludf.DUMMYFUNCTION("""COMPUTED_VALUE"""),1109.9)</f>
        <v>1109.9</v>
      </c>
      <c r="F376" s="3">
        <f>IFERROR(__xludf.DUMMYFUNCTION("""COMPUTED_VALUE"""),0.0)</f>
        <v>0</v>
      </c>
    </row>
    <row r="377">
      <c r="A377" s="7">
        <f>IFERROR(__xludf.DUMMYFUNCTION("""COMPUTED_VALUE"""),37265.645833333336)</f>
        <v>37265.64583</v>
      </c>
      <c r="B377" s="3">
        <f>IFERROR(__xludf.DUMMYFUNCTION("""COMPUTED_VALUE"""),1110.0)</f>
        <v>1110</v>
      </c>
      <c r="C377" s="3">
        <f>IFERROR(__xludf.DUMMYFUNCTION("""COMPUTED_VALUE"""),1119.4)</f>
        <v>1119.4</v>
      </c>
      <c r="D377" s="3">
        <f>IFERROR(__xludf.DUMMYFUNCTION("""COMPUTED_VALUE"""),1098.7)</f>
        <v>1098.7</v>
      </c>
      <c r="E377" s="3">
        <f>IFERROR(__xludf.DUMMYFUNCTION("""COMPUTED_VALUE"""),1102.8)</f>
        <v>1102.8</v>
      </c>
      <c r="F377" s="3">
        <f>IFERROR(__xludf.DUMMYFUNCTION("""COMPUTED_VALUE"""),0.0)</f>
        <v>0</v>
      </c>
    </row>
    <row r="378">
      <c r="A378" s="7">
        <f>IFERROR(__xludf.DUMMYFUNCTION("""COMPUTED_VALUE"""),37266.645833333336)</f>
        <v>37266.64583</v>
      </c>
      <c r="B378" s="3">
        <f>IFERROR(__xludf.DUMMYFUNCTION("""COMPUTED_VALUE"""),1098.8)</f>
        <v>1098.8</v>
      </c>
      <c r="C378" s="3">
        <f>IFERROR(__xludf.DUMMYFUNCTION("""COMPUTED_VALUE"""),1105.35)</f>
        <v>1105.35</v>
      </c>
      <c r="D378" s="3">
        <f>IFERROR(__xludf.DUMMYFUNCTION("""COMPUTED_VALUE"""),1093.6)</f>
        <v>1093.6</v>
      </c>
      <c r="E378" s="3">
        <f>IFERROR(__xludf.DUMMYFUNCTION("""COMPUTED_VALUE"""),1098.2)</f>
        <v>1098.2</v>
      </c>
      <c r="F378" s="3">
        <f>IFERROR(__xludf.DUMMYFUNCTION("""COMPUTED_VALUE"""),0.0)</f>
        <v>0</v>
      </c>
    </row>
    <row r="379">
      <c r="A379" s="7">
        <f>IFERROR(__xludf.DUMMYFUNCTION("""COMPUTED_VALUE"""),37267.645833333336)</f>
        <v>37267.64583</v>
      </c>
      <c r="B379" s="3">
        <f>IFERROR(__xludf.DUMMYFUNCTION("""COMPUTED_VALUE"""),1098.15)</f>
        <v>1098.15</v>
      </c>
      <c r="C379" s="3">
        <f>IFERROR(__xludf.DUMMYFUNCTION("""COMPUTED_VALUE"""),1105.9)</f>
        <v>1105.9</v>
      </c>
      <c r="D379" s="3">
        <f>IFERROR(__xludf.DUMMYFUNCTION("""COMPUTED_VALUE"""),1073.45)</f>
        <v>1073.45</v>
      </c>
      <c r="E379" s="3">
        <f>IFERROR(__xludf.DUMMYFUNCTION("""COMPUTED_VALUE"""),1088.55)</f>
        <v>1088.55</v>
      </c>
      <c r="F379" s="3">
        <f>IFERROR(__xludf.DUMMYFUNCTION("""COMPUTED_VALUE"""),0.0)</f>
        <v>0</v>
      </c>
    </row>
    <row r="380">
      <c r="A380" s="7">
        <f>IFERROR(__xludf.DUMMYFUNCTION("""COMPUTED_VALUE"""),37270.645833333336)</f>
        <v>37270.64583</v>
      </c>
      <c r="B380" s="3">
        <f>IFERROR(__xludf.DUMMYFUNCTION("""COMPUTED_VALUE"""),1089.45)</f>
        <v>1089.45</v>
      </c>
      <c r="C380" s="3">
        <f>IFERROR(__xludf.DUMMYFUNCTION("""COMPUTED_VALUE"""),1118.5)</f>
        <v>1118.5</v>
      </c>
      <c r="D380" s="3">
        <f>IFERROR(__xludf.DUMMYFUNCTION("""COMPUTED_VALUE"""),1089.45)</f>
        <v>1089.45</v>
      </c>
      <c r="E380" s="3">
        <f>IFERROR(__xludf.DUMMYFUNCTION("""COMPUTED_VALUE"""),1109.8)</f>
        <v>1109.8</v>
      </c>
      <c r="F380" s="3">
        <f>IFERROR(__xludf.DUMMYFUNCTION("""COMPUTED_VALUE"""),0.0)</f>
        <v>0</v>
      </c>
    </row>
    <row r="381">
      <c r="A381" s="7">
        <f>IFERROR(__xludf.DUMMYFUNCTION("""COMPUTED_VALUE"""),37271.645833333336)</f>
        <v>37271.64583</v>
      </c>
      <c r="B381" s="3">
        <f>IFERROR(__xludf.DUMMYFUNCTION("""COMPUTED_VALUE"""),1109.45)</f>
        <v>1109.45</v>
      </c>
      <c r="C381" s="3">
        <f>IFERROR(__xludf.DUMMYFUNCTION("""COMPUTED_VALUE"""),1112.6)</f>
        <v>1112.6</v>
      </c>
      <c r="D381" s="3">
        <f>IFERROR(__xludf.DUMMYFUNCTION("""COMPUTED_VALUE"""),1090.2)</f>
        <v>1090.2</v>
      </c>
      <c r="E381" s="3">
        <f>IFERROR(__xludf.DUMMYFUNCTION("""COMPUTED_VALUE"""),1094.15)</f>
        <v>1094.15</v>
      </c>
      <c r="F381" s="3">
        <f>IFERROR(__xludf.DUMMYFUNCTION("""COMPUTED_VALUE"""),0.0)</f>
        <v>0</v>
      </c>
    </row>
    <row r="382">
      <c r="A382" s="7">
        <f>IFERROR(__xludf.DUMMYFUNCTION("""COMPUTED_VALUE"""),37272.645833333336)</f>
        <v>37272.64583</v>
      </c>
      <c r="B382" s="3">
        <f>IFERROR(__xludf.DUMMYFUNCTION("""COMPUTED_VALUE"""),1094.15)</f>
        <v>1094.15</v>
      </c>
      <c r="C382" s="3">
        <f>IFERROR(__xludf.DUMMYFUNCTION("""COMPUTED_VALUE"""),1104.8)</f>
        <v>1104.8</v>
      </c>
      <c r="D382" s="3">
        <f>IFERROR(__xludf.DUMMYFUNCTION("""COMPUTED_VALUE"""),1085.3)</f>
        <v>1085.3</v>
      </c>
      <c r="E382" s="3">
        <f>IFERROR(__xludf.DUMMYFUNCTION("""COMPUTED_VALUE"""),1090.3)</f>
        <v>1090.3</v>
      </c>
      <c r="F382" s="3">
        <f>IFERROR(__xludf.DUMMYFUNCTION("""COMPUTED_VALUE"""),0.0)</f>
        <v>0</v>
      </c>
    </row>
    <row r="383">
      <c r="A383" s="7">
        <f>IFERROR(__xludf.DUMMYFUNCTION("""COMPUTED_VALUE"""),37273.645833333336)</f>
        <v>37273.64583</v>
      </c>
      <c r="B383" s="3">
        <f>IFERROR(__xludf.DUMMYFUNCTION("""COMPUTED_VALUE"""),1090.25)</f>
        <v>1090.25</v>
      </c>
      <c r="C383" s="3">
        <f>IFERROR(__xludf.DUMMYFUNCTION("""COMPUTED_VALUE"""),1116.05)</f>
        <v>1116.05</v>
      </c>
      <c r="D383" s="3">
        <f>IFERROR(__xludf.DUMMYFUNCTION("""COMPUTED_VALUE"""),1078.95)</f>
        <v>1078.95</v>
      </c>
      <c r="E383" s="3">
        <f>IFERROR(__xludf.DUMMYFUNCTION("""COMPUTED_VALUE"""),1109.2)</f>
        <v>1109.2</v>
      </c>
      <c r="F383" s="3">
        <f>IFERROR(__xludf.DUMMYFUNCTION("""COMPUTED_VALUE"""),0.0)</f>
        <v>0</v>
      </c>
    </row>
    <row r="384">
      <c r="A384" s="7">
        <f>IFERROR(__xludf.DUMMYFUNCTION("""COMPUTED_VALUE"""),37274.645833333336)</f>
        <v>37274.64583</v>
      </c>
      <c r="B384" s="3">
        <f>IFERROR(__xludf.DUMMYFUNCTION("""COMPUTED_VALUE"""),1109.55)</f>
        <v>1109.55</v>
      </c>
      <c r="C384" s="3">
        <f>IFERROR(__xludf.DUMMYFUNCTION("""COMPUTED_VALUE"""),1121.75)</f>
        <v>1121.75</v>
      </c>
      <c r="D384" s="3">
        <f>IFERROR(__xludf.DUMMYFUNCTION("""COMPUTED_VALUE"""),1089.05)</f>
        <v>1089.05</v>
      </c>
      <c r="E384" s="3">
        <f>IFERROR(__xludf.DUMMYFUNCTION("""COMPUTED_VALUE"""),1093.15)</f>
        <v>1093.15</v>
      </c>
      <c r="F384" s="3">
        <f>IFERROR(__xludf.DUMMYFUNCTION("""COMPUTED_VALUE"""),0.0)</f>
        <v>0</v>
      </c>
    </row>
    <row r="385">
      <c r="A385" s="7">
        <f>IFERROR(__xludf.DUMMYFUNCTION("""COMPUTED_VALUE"""),37277.645833333336)</f>
        <v>37277.64583</v>
      </c>
      <c r="B385" s="3">
        <f>IFERROR(__xludf.DUMMYFUNCTION("""COMPUTED_VALUE"""),1093.25)</f>
        <v>1093.25</v>
      </c>
      <c r="C385" s="3">
        <f>IFERROR(__xludf.DUMMYFUNCTION("""COMPUTED_VALUE"""),1099.8)</f>
        <v>1099.8</v>
      </c>
      <c r="D385" s="3">
        <f>IFERROR(__xludf.DUMMYFUNCTION("""COMPUTED_VALUE"""),1082.65)</f>
        <v>1082.65</v>
      </c>
      <c r="E385" s="3">
        <f>IFERROR(__xludf.DUMMYFUNCTION("""COMPUTED_VALUE"""),1091.35)</f>
        <v>1091.35</v>
      </c>
      <c r="F385" s="3">
        <f>IFERROR(__xludf.DUMMYFUNCTION("""COMPUTED_VALUE"""),0.0)</f>
        <v>0</v>
      </c>
    </row>
    <row r="386">
      <c r="A386" s="7">
        <f>IFERROR(__xludf.DUMMYFUNCTION("""COMPUTED_VALUE"""),37278.645833333336)</f>
        <v>37278.64583</v>
      </c>
      <c r="B386" s="3">
        <f>IFERROR(__xludf.DUMMYFUNCTION("""COMPUTED_VALUE"""),1091.35)</f>
        <v>1091.35</v>
      </c>
      <c r="C386" s="3">
        <f>IFERROR(__xludf.DUMMYFUNCTION("""COMPUTED_VALUE"""),1099.0)</f>
        <v>1099</v>
      </c>
      <c r="D386" s="3">
        <f>IFERROR(__xludf.DUMMYFUNCTION("""COMPUTED_VALUE"""),1090.0)</f>
        <v>1090</v>
      </c>
      <c r="E386" s="3">
        <f>IFERROR(__xludf.DUMMYFUNCTION("""COMPUTED_VALUE"""),1092.85)</f>
        <v>1092.85</v>
      </c>
      <c r="F386" s="3">
        <f>IFERROR(__xludf.DUMMYFUNCTION("""COMPUTED_VALUE"""),0.0)</f>
        <v>0</v>
      </c>
    </row>
    <row r="387">
      <c r="A387" s="7">
        <f>IFERROR(__xludf.DUMMYFUNCTION("""COMPUTED_VALUE"""),37279.645833333336)</f>
        <v>37279.64583</v>
      </c>
      <c r="B387" s="3">
        <f>IFERROR(__xludf.DUMMYFUNCTION("""COMPUTED_VALUE"""),1092.85)</f>
        <v>1092.85</v>
      </c>
      <c r="C387" s="3">
        <f>IFERROR(__xludf.DUMMYFUNCTION("""COMPUTED_VALUE"""),1096.95)</f>
        <v>1096.95</v>
      </c>
      <c r="D387" s="3">
        <f>IFERROR(__xludf.DUMMYFUNCTION("""COMPUTED_VALUE"""),1087.5)</f>
        <v>1087.5</v>
      </c>
      <c r="E387" s="3">
        <f>IFERROR(__xludf.DUMMYFUNCTION("""COMPUTED_VALUE"""),1089.4)</f>
        <v>1089.4</v>
      </c>
      <c r="F387" s="3">
        <f>IFERROR(__xludf.DUMMYFUNCTION("""COMPUTED_VALUE"""),0.0)</f>
        <v>0</v>
      </c>
    </row>
    <row r="388">
      <c r="A388" s="7">
        <f>IFERROR(__xludf.DUMMYFUNCTION("""COMPUTED_VALUE"""),37280.645833333336)</f>
        <v>37280.64583</v>
      </c>
      <c r="B388" s="3">
        <f>IFERROR(__xludf.DUMMYFUNCTION("""COMPUTED_VALUE"""),1089.6)</f>
        <v>1089.6</v>
      </c>
      <c r="C388" s="3">
        <f>IFERROR(__xludf.DUMMYFUNCTION("""COMPUTED_VALUE"""),1098.6)</f>
        <v>1098.6</v>
      </c>
      <c r="D388" s="3">
        <f>IFERROR(__xludf.DUMMYFUNCTION("""COMPUTED_VALUE"""),1081.7)</f>
        <v>1081.7</v>
      </c>
      <c r="E388" s="3">
        <f>IFERROR(__xludf.DUMMYFUNCTION("""COMPUTED_VALUE"""),1085.3)</f>
        <v>1085.3</v>
      </c>
      <c r="F388" s="3">
        <f>IFERROR(__xludf.DUMMYFUNCTION("""COMPUTED_VALUE"""),0.0)</f>
        <v>0</v>
      </c>
    </row>
    <row r="389">
      <c r="A389" s="7">
        <f>IFERROR(__xludf.DUMMYFUNCTION("""COMPUTED_VALUE"""),37281.645833333336)</f>
        <v>37281.64583</v>
      </c>
      <c r="B389" s="3">
        <f>IFERROR(__xludf.DUMMYFUNCTION("""COMPUTED_VALUE"""),1085.85)</f>
        <v>1085.85</v>
      </c>
      <c r="C389" s="3">
        <f>IFERROR(__xludf.DUMMYFUNCTION("""COMPUTED_VALUE"""),1089.7)</f>
        <v>1089.7</v>
      </c>
      <c r="D389" s="3">
        <f>IFERROR(__xludf.DUMMYFUNCTION("""COMPUTED_VALUE"""),1077.0)</f>
        <v>1077</v>
      </c>
      <c r="E389" s="3">
        <f>IFERROR(__xludf.DUMMYFUNCTION("""COMPUTED_VALUE"""),1080.1)</f>
        <v>1080.1</v>
      </c>
      <c r="F389" s="3">
        <f>IFERROR(__xludf.DUMMYFUNCTION("""COMPUTED_VALUE"""),0.0)</f>
        <v>0</v>
      </c>
    </row>
    <row r="390">
      <c r="A390" s="7">
        <f>IFERROR(__xludf.DUMMYFUNCTION("""COMPUTED_VALUE"""),37284.645833333336)</f>
        <v>37284.64583</v>
      </c>
      <c r="B390" s="3">
        <f>IFERROR(__xludf.DUMMYFUNCTION("""COMPUTED_VALUE"""),1083.25)</f>
        <v>1083.25</v>
      </c>
      <c r="C390" s="3">
        <f>IFERROR(__xludf.DUMMYFUNCTION("""COMPUTED_VALUE"""),1088.75)</f>
        <v>1088.75</v>
      </c>
      <c r="D390" s="3">
        <f>IFERROR(__xludf.DUMMYFUNCTION("""COMPUTED_VALUE"""),1068.7)</f>
        <v>1068.7</v>
      </c>
      <c r="E390" s="3">
        <f>IFERROR(__xludf.DUMMYFUNCTION("""COMPUTED_VALUE"""),1071.35)</f>
        <v>1071.35</v>
      </c>
      <c r="F390" s="3">
        <f>IFERROR(__xludf.DUMMYFUNCTION("""COMPUTED_VALUE"""),0.0)</f>
        <v>0</v>
      </c>
    </row>
    <row r="391">
      <c r="A391" s="7">
        <f>IFERROR(__xludf.DUMMYFUNCTION("""COMPUTED_VALUE"""),37285.645833333336)</f>
        <v>37285.64583</v>
      </c>
      <c r="B391" s="3">
        <f>IFERROR(__xludf.DUMMYFUNCTION("""COMPUTED_VALUE"""),1071.35)</f>
        <v>1071.35</v>
      </c>
      <c r="C391" s="3">
        <f>IFERROR(__xludf.DUMMYFUNCTION("""COMPUTED_VALUE"""),1076.45)</f>
        <v>1076.45</v>
      </c>
      <c r="D391" s="3">
        <f>IFERROR(__xludf.DUMMYFUNCTION("""COMPUTED_VALUE"""),1068.85)</f>
        <v>1068.85</v>
      </c>
      <c r="E391" s="3">
        <f>IFERROR(__xludf.DUMMYFUNCTION("""COMPUTED_VALUE"""),1071.65)</f>
        <v>1071.65</v>
      </c>
      <c r="F391" s="3">
        <f>IFERROR(__xludf.DUMMYFUNCTION("""COMPUTED_VALUE"""),0.0)</f>
        <v>0</v>
      </c>
    </row>
    <row r="392">
      <c r="A392" s="7">
        <f>IFERROR(__xludf.DUMMYFUNCTION("""COMPUTED_VALUE"""),37286.645833333336)</f>
        <v>37286.64583</v>
      </c>
      <c r="B392" s="3">
        <f>IFERROR(__xludf.DUMMYFUNCTION("""COMPUTED_VALUE"""),1072.85)</f>
        <v>1072.85</v>
      </c>
      <c r="C392" s="3">
        <f>IFERROR(__xludf.DUMMYFUNCTION("""COMPUTED_VALUE"""),1072.85)</f>
        <v>1072.85</v>
      </c>
      <c r="D392" s="3">
        <f>IFERROR(__xludf.DUMMYFUNCTION("""COMPUTED_VALUE"""),1058.8)</f>
        <v>1058.8</v>
      </c>
      <c r="E392" s="3">
        <f>IFERROR(__xludf.DUMMYFUNCTION("""COMPUTED_VALUE"""),1067.45)</f>
        <v>1067.45</v>
      </c>
      <c r="F392" s="3">
        <f>IFERROR(__xludf.DUMMYFUNCTION("""COMPUTED_VALUE"""),0.0)</f>
        <v>0</v>
      </c>
    </row>
    <row r="393">
      <c r="A393" s="7">
        <f>IFERROR(__xludf.DUMMYFUNCTION("""COMPUTED_VALUE"""),37287.645833333336)</f>
        <v>37287.64583</v>
      </c>
      <c r="B393" s="3">
        <f>IFERROR(__xludf.DUMMYFUNCTION("""COMPUTED_VALUE"""),1067.65)</f>
        <v>1067.65</v>
      </c>
      <c r="C393" s="3">
        <f>IFERROR(__xludf.DUMMYFUNCTION("""COMPUTED_VALUE"""),1082.0)</f>
        <v>1082</v>
      </c>
      <c r="D393" s="3">
        <f>IFERROR(__xludf.DUMMYFUNCTION("""COMPUTED_VALUE"""),1067.65)</f>
        <v>1067.65</v>
      </c>
      <c r="E393" s="3">
        <f>IFERROR(__xludf.DUMMYFUNCTION("""COMPUTED_VALUE"""),1075.4)</f>
        <v>1075.4</v>
      </c>
      <c r="F393" s="3">
        <f>IFERROR(__xludf.DUMMYFUNCTION("""COMPUTED_VALUE"""),0.0)</f>
        <v>0</v>
      </c>
    </row>
    <row r="394">
      <c r="A394" s="7">
        <f>IFERROR(__xludf.DUMMYFUNCTION("""COMPUTED_VALUE"""),37288.645833333336)</f>
        <v>37288.64583</v>
      </c>
      <c r="B394" s="3">
        <f>IFERROR(__xludf.DUMMYFUNCTION("""COMPUTED_VALUE"""),1076.95)</f>
        <v>1076.95</v>
      </c>
      <c r="C394" s="3">
        <f>IFERROR(__xludf.DUMMYFUNCTION("""COMPUTED_VALUE"""),1088.05)</f>
        <v>1088.05</v>
      </c>
      <c r="D394" s="3">
        <f>IFERROR(__xludf.DUMMYFUNCTION("""COMPUTED_VALUE"""),1076.95)</f>
        <v>1076.95</v>
      </c>
      <c r="E394" s="3">
        <f>IFERROR(__xludf.DUMMYFUNCTION("""COMPUTED_VALUE"""),1081.65)</f>
        <v>1081.65</v>
      </c>
      <c r="F394" s="3">
        <f>IFERROR(__xludf.DUMMYFUNCTION("""COMPUTED_VALUE"""),0.0)</f>
        <v>0</v>
      </c>
    </row>
    <row r="395">
      <c r="A395" s="7">
        <f>IFERROR(__xludf.DUMMYFUNCTION("""COMPUTED_VALUE"""),37291.645833333336)</f>
        <v>37291.64583</v>
      </c>
      <c r="B395" s="3">
        <f>IFERROR(__xludf.DUMMYFUNCTION("""COMPUTED_VALUE"""),1083.05)</f>
        <v>1083.05</v>
      </c>
      <c r="C395" s="3">
        <f>IFERROR(__xludf.DUMMYFUNCTION("""COMPUTED_VALUE"""),1086.95)</f>
        <v>1086.95</v>
      </c>
      <c r="D395" s="3">
        <f>IFERROR(__xludf.DUMMYFUNCTION("""COMPUTED_VALUE"""),1074.15)</f>
        <v>1074.15</v>
      </c>
      <c r="E395" s="3">
        <f>IFERROR(__xludf.DUMMYFUNCTION("""COMPUTED_VALUE"""),1076.9)</f>
        <v>1076.9</v>
      </c>
      <c r="F395" s="3">
        <f>IFERROR(__xludf.DUMMYFUNCTION("""COMPUTED_VALUE"""),0.0)</f>
        <v>0</v>
      </c>
    </row>
    <row r="396">
      <c r="A396" s="7">
        <f>IFERROR(__xludf.DUMMYFUNCTION("""COMPUTED_VALUE"""),37292.645833333336)</f>
        <v>37292.64583</v>
      </c>
      <c r="B396" s="3">
        <f>IFERROR(__xludf.DUMMYFUNCTION("""COMPUTED_VALUE"""),1076.25)</f>
        <v>1076.25</v>
      </c>
      <c r="C396" s="3">
        <f>IFERROR(__xludf.DUMMYFUNCTION("""COMPUTED_VALUE"""),1081.2)</f>
        <v>1081.2</v>
      </c>
      <c r="D396" s="3">
        <f>IFERROR(__xludf.DUMMYFUNCTION("""COMPUTED_VALUE"""),1069.4)</f>
        <v>1069.4</v>
      </c>
      <c r="E396" s="3">
        <f>IFERROR(__xludf.DUMMYFUNCTION("""COMPUTED_VALUE"""),1074.25)</f>
        <v>1074.25</v>
      </c>
      <c r="F396" s="3">
        <f>IFERROR(__xludf.DUMMYFUNCTION("""COMPUTED_VALUE"""),0.0)</f>
        <v>0</v>
      </c>
    </row>
    <row r="397">
      <c r="A397" s="7">
        <f>IFERROR(__xludf.DUMMYFUNCTION("""COMPUTED_VALUE"""),37293.645833333336)</f>
        <v>37293.64583</v>
      </c>
      <c r="B397" s="3">
        <f>IFERROR(__xludf.DUMMYFUNCTION("""COMPUTED_VALUE"""),1074.4)</f>
        <v>1074.4</v>
      </c>
      <c r="C397" s="3">
        <f>IFERROR(__xludf.DUMMYFUNCTION("""COMPUTED_VALUE"""),1117.1)</f>
        <v>1117.1</v>
      </c>
      <c r="D397" s="3">
        <f>IFERROR(__xludf.DUMMYFUNCTION("""COMPUTED_VALUE"""),1074.0)</f>
        <v>1074</v>
      </c>
      <c r="E397" s="3">
        <f>IFERROR(__xludf.DUMMYFUNCTION("""COMPUTED_VALUE"""),1113.1)</f>
        <v>1113.1</v>
      </c>
      <c r="F397" s="3">
        <f>IFERROR(__xludf.DUMMYFUNCTION("""COMPUTED_VALUE"""),0.0)</f>
        <v>0</v>
      </c>
    </row>
    <row r="398">
      <c r="A398" s="7">
        <f>IFERROR(__xludf.DUMMYFUNCTION("""COMPUTED_VALUE"""),37294.645833333336)</f>
        <v>37294.64583</v>
      </c>
      <c r="B398" s="3">
        <f>IFERROR(__xludf.DUMMYFUNCTION("""COMPUTED_VALUE"""),1114.85)</f>
        <v>1114.85</v>
      </c>
      <c r="C398" s="3">
        <f>IFERROR(__xludf.DUMMYFUNCTION("""COMPUTED_VALUE"""),1130.95)</f>
        <v>1130.95</v>
      </c>
      <c r="D398" s="3">
        <f>IFERROR(__xludf.DUMMYFUNCTION("""COMPUTED_VALUE"""),1104.3)</f>
        <v>1104.3</v>
      </c>
      <c r="E398" s="3">
        <f>IFERROR(__xludf.DUMMYFUNCTION("""COMPUTED_VALUE"""),1110.45)</f>
        <v>1110.45</v>
      </c>
      <c r="F398" s="3">
        <f>IFERROR(__xludf.DUMMYFUNCTION("""COMPUTED_VALUE"""),0.0)</f>
        <v>0</v>
      </c>
    </row>
    <row r="399">
      <c r="A399" s="7">
        <f>IFERROR(__xludf.DUMMYFUNCTION("""COMPUTED_VALUE"""),37295.645833333336)</f>
        <v>37295.64583</v>
      </c>
      <c r="B399" s="3">
        <f>IFERROR(__xludf.DUMMYFUNCTION("""COMPUTED_VALUE"""),1112.8)</f>
        <v>1112.8</v>
      </c>
      <c r="C399" s="3">
        <f>IFERROR(__xludf.DUMMYFUNCTION("""COMPUTED_VALUE"""),1131.85)</f>
        <v>1131.85</v>
      </c>
      <c r="D399" s="3">
        <f>IFERROR(__xludf.DUMMYFUNCTION("""COMPUTED_VALUE"""),1104.45)</f>
        <v>1104.45</v>
      </c>
      <c r="E399" s="3">
        <f>IFERROR(__xludf.DUMMYFUNCTION("""COMPUTED_VALUE"""),1123.75)</f>
        <v>1123.75</v>
      </c>
      <c r="F399" s="3">
        <f>IFERROR(__xludf.DUMMYFUNCTION("""COMPUTED_VALUE"""),0.0)</f>
        <v>0</v>
      </c>
    </row>
    <row r="400">
      <c r="A400" s="7">
        <f>IFERROR(__xludf.DUMMYFUNCTION("""COMPUTED_VALUE"""),37298.645833333336)</f>
        <v>37298.64583</v>
      </c>
      <c r="B400" s="3">
        <f>IFERROR(__xludf.DUMMYFUNCTION("""COMPUTED_VALUE"""),1124.85)</f>
        <v>1124.85</v>
      </c>
      <c r="C400" s="3">
        <f>IFERROR(__xludf.DUMMYFUNCTION("""COMPUTED_VALUE"""),1144.15)</f>
        <v>1144.15</v>
      </c>
      <c r="D400" s="3">
        <f>IFERROR(__xludf.DUMMYFUNCTION("""COMPUTED_VALUE"""),1124.85)</f>
        <v>1124.85</v>
      </c>
      <c r="E400" s="3">
        <f>IFERROR(__xludf.DUMMYFUNCTION("""COMPUTED_VALUE"""),1131.55)</f>
        <v>1131.55</v>
      </c>
      <c r="F400" s="3">
        <f>IFERROR(__xludf.DUMMYFUNCTION("""COMPUTED_VALUE"""),0.0)</f>
        <v>0</v>
      </c>
    </row>
    <row r="401">
      <c r="A401" s="7">
        <f>IFERROR(__xludf.DUMMYFUNCTION("""COMPUTED_VALUE"""),37299.645833333336)</f>
        <v>37299.64583</v>
      </c>
      <c r="B401" s="3">
        <f>IFERROR(__xludf.DUMMYFUNCTION("""COMPUTED_VALUE"""),1131.95)</f>
        <v>1131.95</v>
      </c>
      <c r="C401" s="3">
        <f>IFERROR(__xludf.DUMMYFUNCTION("""COMPUTED_VALUE"""),1143.3)</f>
        <v>1143.3</v>
      </c>
      <c r="D401" s="3">
        <f>IFERROR(__xludf.DUMMYFUNCTION("""COMPUTED_VALUE"""),1125.55)</f>
        <v>1125.55</v>
      </c>
      <c r="E401" s="3">
        <f>IFERROR(__xludf.DUMMYFUNCTION("""COMPUTED_VALUE"""),1129.5)</f>
        <v>1129.5</v>
      </c>
      <c r="F401" s="3">
        <f>IFERROR(__xludf.DUMMYFUNCTION("""COMPUTED_VALUE"""),0.0)</f>
        <v>0</v>
      </c>
    </row>
    <row r="402">
      <c r="A402" s="7">
        <f>IFERROR(__xludf.DUMMYFUNCTION("""COMPUTED_VALUE"""),37300.645833333336)</f>
        <v>37300.64583</v>
      </c>
      <c r="B402" s="3">
        <f>IFERROR(__xludf.DUMMYFUNCTION("""COMPUTED_VALUE"""),1129.8)</f>
        <v>1129.8</v>
      </c>
      <c r="C402" s="3">
        <f>IFERROR(__xludf.DUMMYFUNCTION("""COMPUTED_VALUE"""),1142.3)</f>
        <v>1142.3</v>
      </c>
      <c r="D402" s="3">
        <f>IFERROR(__xludf.DUMMYFUNCTION("""COMPUTED_VALUE"""),1129.6)</f>
        <v>1129.6</v>
      </c>
      <c r="E402" s="3">
        <f>IFERROR(__xludf.DUMMYFUNCTION("""COMPUTED_VALUE"""),1135.1)</f>
        <v>1135.1</v>
      </c>
      <c r="F402" s="3">
        <f>IFERROR(__xludf.DUMMYFUNCTION("""COMPUTED_VALUE"""),0.0)</f>
        <v>0</v>
      </c>
    </row>
    <row r="403">
      <c r="A403" s="7">
        <f>IFERROR(__xludf.DUMMYFUNCTION("""COMPUTED_VALUE"""),37301.645833333336)</f>
        <v>37301.64583</v>
      </c>
      <c r="B403" s="3">
        <f>IFERROR(__xludf.DUMMYFUNCTION("""COMPUTED_VALUE"""),1135.5)</f>
        <v>1135.5</v>
      </c>
      <c r="C403" s="3">
        <f>IFERROR(__xludf.DUMMYFUNCTION("""COMPUTED_VALUE"""),1151.65)</f>
        <v>1151.65</v>
      </c>
      <c r="D403" s="3">
        <f>IFERROR(__xludf.DUMMYFUNCTION("""COMPUTED_VALUE"""),1133.85)</f>
        <v>1133.85</v>
      </c>
      <c r="E403" s="3">
        <f>IFERROR(__xludf.DUMMYFUNCTION("""COMPUTED_VALUE"""),1150.0)</f>
        <v>1150</v>
      </c>
      <c r="F403" s="3">
        <f>IFERROR(__xludf.DUMMYFUNCTION("""COMPUTED_VALUE"""),0.0)</f>
        <v>0</v>
      </c>
    </row>
    <row r="404">
      <c r="A404" s="7">
        <f>IFERROR(__xludf.DUMMYFUNCTION("""COMPUTED_VALUE"""),37302.645833333336)</f>
        <v>37302.64583</v>
      </c>
      <c r="B404" s="3">
        <f>IFERROR(__xludf.DUMMYFUNCTION("""COMPUTED_VALUE"""),1150.65)</f>
        <v>1150.65</v>
      </c>
      <c r="C404" s="3">
        <f>IFERROR(__xludf.DUMMYFUNCTION("""COMPUTED_VALUE"""),1164.1)</f>
        <v>1164.1</v>
      </c>
      <c r="D404" s="3">
        <f>IFERROR(__xludf.DUMMYFUNCTION("""COMPUTED_VALUE"""),1150.3)</f>
        <v>1150.3</v>
      </c>
      <c r="E404" s="3">
        <f>IFERROR(__xludf.DUMMYFUNCTION("""COMPUTED_VALUE"""),1159.95)</f>
        <v>1159.95</v>
      </c>
      <c r="F404" s="3">
        <f>IFERROR(__xludf.DUMMYFUNCTION("""COMPUTED_VALUE"""),0.0)</f>
        <v>0</v>
      </c>
    </row>
    <row r="405">
      <c r="A405" s="7">
        <f>IFERROR(__xludf.DUMMYFUNCTION("""COMPUTED_VALUE"""),37305.645833333336)</f>
        <v>37305.64583</v>
      </c>
      <c r="B405" s="3">
        <f>IFERROR(__xludf.DUMMYFUNCTION("""COMPUTED_VALUE"""),1159.85)</f>
        <v>1159.85</v>
      </c>
      <c r="C405" s="3">
        <f>IFERROR(__xludf.DUMMYFUNCTION("""COMPUTED_VALUE"""),1177.05)</f>
        <v>1177.05</v>
      </c>
      <c r="D405" s="3">
        <f>IFERROR(__xludf.DUMMYFUNCTION("""COMPUTED_VALUE"""),1156.7)</f>
        <v>1156.7</v>
      </c>
      <c r="E405" s="3">
        <f>IFERROR(__xludf.DUMMYFUNCTION("""COMPUTED_VALUE"""),1172.85)</f>
        <v>1172.85</v>
      </c>
      <c r="F405" s="3">
        <f>IFERROR(__xludf.DUMMYFUNCTION("""COMPUTED_VALUE"""),0.0)</f>
        <v>0</v>
      </c>
    </row>
    <row r="406">
      <c r="A406" s="7">
        <f>IFERROR(__xludf.DUMMYFUNCTION("""COMPUTED_VALUE"""),37306.645833333336)</f>
        <v>37306.64583</v>
      </c>
      <c r="B406" s="3">
        <f>IFERROR(__xludf.DUMMYFUNCTION("""COMPUTED_VALUE"""),1172.85)</f>
        <v>1172.85</v>
      </c>
      <c r="C406" s="3">
        <f>IFERROR(__xludf.DUMMYFUNCTION("""COMPUTED_VALUE"""),1178.1)</f>
        <v>1178.1</v>
      </c>
      <c r="D406" s="3">
        <f>IFERROR(__xludf.DUMMYFUNCTION("""COMPUTED_VALUE"""),1155.1)</f>
        <v>1155.1</v>
      </c>
      <c r="E406" s="3">
        <f>IFERROR(__xludf.DUMMYFUNCTION("""COMPUTED_VALUE"""),1158.9)</f>
        <v>1158.9</v>
      </c>
      <c r="F406" s="3">
        <f>IFERROR(__xludf.DUMMYFUNCTION("""COMPUTED_VALUE"""),0.0)</f>
        <v>0</v>
      </c>
    </row>
    <row r="407">
      <c r="A407" s="7">
        <f>IFERROR(__xludf.DUMMYFUNCTION("""COMPUTED_VALUE"""),37307.645833333336)</f>
        <v>37307.64583</v>
      </c>
      <c r="B407" s="3">
        <f>IFERROR(__xludf.DUMMYFUNCTION("""COMPUTED_VALUE"""),1158.45)</f>
        <v>1158.45</v>
      </c>
      <c r="C407" s="3">
        <f>IFERROR(__xludf.DUMMYFUNCTION("""COMPUTED_VALUE"""),1158.45)</f>
        <v>1158.45</v>
      </c>
      <c r="D407" s="3">
        <f>IFERROR(__xludf.DUMMYFUNCTION("""COMPUTED_VALUE"""),1134.65)</f>
        <v>1134.65</v>
      </c>
      <c r="E407" s="3">
        <f>IFERROR(__xludf.DUMMYFUNCTION("""COMPUTED_VALUE"""),1145.95)</f>
        <v>1145.95</v>
      </c>
      <c r="F407" s="3">
        <f>IFERROR(__xludf.DUMMYFUNCTION("""COMPUTED_VALUE"""),0.0)</f>
        <v>0</v>
      </c>
    </row>
    <row r="408">
      <c r="A408" s="7">
        <f>IFERROR(__xludf.DUMMYFUNCTION("""COMPUTED_VALUE"""),37308.645833333336)</f>
        <v>37308.64583</v>
      </c>
      <c r="B408" s="3">
        <f>IFERROR(__xludf.DUMMYFUNCTION("""COMPUTED_VALUE"""),1146.05)</f>
        <v>1146.05</v>
      </c>
      <c r="C408" s="3">
        <f>IFERROR(__xludf.DUMMYFUNCTION("""COMPUTED_VALUE"""),1158.05)</f>
        <v>1158.05</v>
      </c>
      <c r="D408" s="3">
        <f>IFERROR(__xludf.DUMMYFUNCTION("""COMPUTED_VALUE"""),1146.05)</f>
        <v>1146.05</v>
      </c>
      <c r="E408" s="3">
        <f>IFERROR(__xludf.DUMMYFUNCTION("""COMPUTED_VALUE"""),1149.85)</f>
        <v>1149.85</v>
      </c>
      <c r="F408" s="3">
        <f>IFERROR(__xludf.DUMMYFUNCTION("""COMPUTED_VALUE"""),0.0)</f>
        <v>0</v>
      </c>
    </row>
    <row r="409">
      <c r="A409" s="7">
        <f>IFERROR(__xludf.DUMMYFUNCTION("""COMPUTED_VALUE"""),37309.645833333336)</f>
        <v>37309.64583</v>
      </c>
      <c r="B409" s="3">
        <f>IFERROR(__xludf.DUMMYFUNCTION("""COMPUTED_VALUE"""),1149.85)</f>
        <v>1149.85</v>
      </c>
      <c r="C409" s="3">
        <f>IFERROR(__xludf.DUMMYFUNCTION("""COMPUTED_VALUE"""),1165.7)</f>
        <v>1165.7</v>
      </c>
      <c r="D409" s="3">
        <f>IFERROR(__xludf.DUMMYFUNCTION("""COMPUTED_VALUE"""),1145.5)</f>
        <v>1145.5</v>
      </c>
      <c r="E409" s="3">
        <f>IFERROR(__xludf.DUMMYFUNCTION("""COMPUTED_VALUE"""),1163.5)</f>
        <v>1163.5</v>
      </c>
      <c r="F409" s="3">
        <f>IFERROR(__xludf.DUMMYFUNCTION("""COMPUTED_VALUE"""),0.0)</f>
        <v>0</v>
      </c>
    </row>
    <row r="410">
      <c r="A410" s="7">
        <f>IFERROR(__xludf.DUMMYFUNCTION("""COMPUTED_VALUE"""),37312.645833333336)</f>
        <v>37312.64583</v>
      </c>
      <c r="B410" s="3">
        <f>IFERROR(__xludf.DUMMYFUNCTION("""COMPUTED_VALUE"""),1163.65)</f>
        <v>1163.65</v>
      </c>
      <c r="C410" s="3">
        <f>IFERROR(__xludf.DUMMYFUNCTION("""COMPUTED_VALUE"""),1167.6)</f>
        <v>1167.6</v>
      </c>
      <c r="D410" s="3">
        <f>IFERROR(__xludf.DUMMYFUNCTION("""COMPUTED_VALUE"""),1155.45)</f>
        <v>1155.45</v>
      </c>
      <c r="E410" s="3">
        <f>IFERROR(__xludf.DUMMYFUNCTION("""COMPUTED_VALUE"""),1165.45)</f>
        <v>1165.45</v>
      </c>
      <c r="F410" s="3">
        <f>IFERROR(__xludf.DUMMYFUNCTION("""COMPUTED_VALUE"""),0.0)</f>
        <v>0</v>
      </c>
    </row>
    <row r="411">
      <c r="A411" s="7">
        <f>IFERROR(__xludf.DUMMYFUNCTION("""COMPUTED_VALUE"""),37313.645833333336)</f>
        <v>37313.64583</v>
      </c>
      <c r="B411" s="3">
        <f>IFERROR(__xludf.DUMMYFUNCTION("""COMPUTED_VALUE"""),1165.75)</f>
        <v>1165.75</v>
      </c>
      <c r="C411" s="3">
        <f>IFERROR(__xludf.DUMMYFUNCTION("""COMPUTED_VALUE"""),1192.65)</f>
        <v>1192.65</v>
      </c>
      <c r="D411" s="3">
        <f>IFERROR(__xludf.DUMMYFUNCTION("""COMPUTED_VALUE"""),1165.75)</f>
        <v>1165.75</v>
      </c>
      <c r="E411" s="3">
        <f>IFERROR(__xludf.DUMMYFUNCTION("""COMPUTED_VALUE"""),1189.4)</f>
        <v>1189.4</v>
      </c>
      <c r="F411" s="3">
        <f>IFERROR(__xludf.DUMMYFUNCTION("""COMPUTED_VALUE"""),0.0)</f>
        <v>0</v>
      </c>
    </row>
    <row r="412">
      <c r="A412" s="7">
        <f>IFERROR(__xludf.DUMMYFUNCTION("""COMPUTED_VALUE"""),37314.645833333336)</f>
        <v>37314.64583</v>
      </c>
      <c r="B412" s="3">
        <f>IFERROR(__xludf.DUMMYFUNCTION("""COMPUTED_VALUE"""),1190.15)</f>
        <v>1190.15</v>
      </c>
      <c r="C412" s="3">
        <f>IFERROR(__xludf.DUMMYFUNCTION("""COMPUTED_VALUE"""),1205.95)</f>
        <v>1205.95</v>
      </c>
      <c r="D412" s="3">
        <f>IFERROR(__xludf.DUMMYFUNCTION("""COMPUTED_VALUE"""),1180.0)</f>
        <v>1180</v>
      </c>
      <c r="E412" s="3">
        <f>IFERROR(__xludf.DUMMYFUNCTION("""COMPUTED_VALUE"""),1189.2)</f>
        <v>1189.2</v>
      </c>
      <c r="F412" s="3">
        <f>IFERROR(__xludf.DUMMYFUNCTION("""COMPUTED_VALUE"""),0.0)</f>
        <v>0</v>
      </c>
    </row>
    <row r="413">
      <c r="A413" s="7">
        <f>IFERROR(__xludf.DUMMYFUNCTION("""COMPUTED_VALUE"""),37315.645833333336)</f>
        <v>37315.64583</v>
      </c>
      <c r="B413" s="3">
        <f>IFERROR(__xludf.DUMMYFUNCTION("""COMPUTED_VALUE"""),1189.6)</f>
        <v>1189.6</v>
      </c>
      <c r="C413" s="3">
        <f>IFERROR(__xludf.DUMMYFUNCTION("""COMPUTED_VALUE"""),1197.0)</f>
        <v>1197</v>
      </c>
      <c r="D413" s="3">
        <f>IFERROR(__xludf.DUMMYFUNCTION("""COMPUTED_VALUE"""),1135.2)</f>
        <v>1135.2</v>
      </c>
      <c r="E413" s="3">
        <f>IFERROR(__xludf.DUMMYFUNCTION("""COMPUTED_VALUE"""),1142.05)</f>
        <v>1142.05</v>
      </c>
      <c r="F413" s="3">
        <f>IFERROR(__xludf.DUMMYFUNCTION("""COMPUTED_VALUE"""),0.0)</f>
        <v>0</v>
      </c>
    </row>
    <row r="414">
      <c r="A414" s="7">
        <f>IFERROR(__xludf.DUMMYFUNCTION("""COMPUTED_VALUE"""),37316.645833333336)</f>
        <v>37316.64583</v>
      </c>
      <c r="B414" s="3">
        <f>IFERROR(__xludf.DUMMYFUNCTION("""COMPUTED_VALUE"""),1142.05)</f>
        <v>1142.05</v>
      </c>
      <c r="C414" s="3">
        <f>IFERROR(__xludf.DUMMYFUNCTION("""COMPUTED_VALUE"""),1181.25)</f>
        <v>1181.25</v>
      </c>
      <c r="D414" s="3">
        <f>IFERROR(__xludf.DUMMYFUNCTION("""COMPUTED_VALUE"""),1135.45)</f>
        <v>1135.45</v>
      </c>
      <c r="E414" s="3">
        <f>IFERROR(__xludf.DUMMYFUNCTION("""COMPUTED_VALUE"""),1178.0)</f>
        <v>1178</v>
      </c>
      <c r="F414" s="3">
        <f>IFERROR(__xludf.DUMMYFUNCTION("""COMPUTED_VALUE"""),0.0)</f>
        <v>0</v>
      </c>
    </row>
    <row r="415">
      <c r="A415" s="7">
        <f>IFERROR(__xludf.DUMMYFUNCTION("""COMPUTED_VALUE"""),37319.645833333336)</f>
        <v>37319.64583</v>
      </c>
      <c r="B415" s="3">
        <f>IFERROR(__xludf.DUMMYFUNCTION("""COMPUTED_VALUE"""),1178.45)</f>
        <v>1178.45</v>
      </c>
      <c r="C415" s="3">
        <f>IFERROR(__xludf.DUMMYFUNCTION("""COMPUTED_VALUE"""),1201.1)</f>
        <v>1201.1</v>
      </c>
      <c r="D415" s="3">
        <f>IFERROR(__xludf.DUMMYFUNCTION("""COMPUTED_VALUE"""),1172.3)</f>
        <v>1172.3</v>
      </c>
      <c r="E415" s="3">
        <f>IFERROR(__xludf.DUMMYFUNCTION("""COMPUTED_VALUE"""),1177.35)</f>
        <v>1177.35</v>
      </c>
      <c r="F415" s="3">
        <f>IFERROR(__xludf.DUMMYFUNCTION("""COMPUTED_VALUE"""),0.0)</f>
        <v>0</v>
      </c>
    </row>
    <row r="416">
      <c r="A416" s="7">
        <f>IFERROR(__xludf.DUMMYFUNCTION("""COMPUTED_VALUE"""),37320.645833333336)</f>
        <v>37320.64583</v>
      </c>
      <c r="B416" s="3">
        <f>IFERROR(__xludf.DUMMYFUNCTION("""COMPUTED_VALUE"""),1176.4)</f>
        <v>1176.4</v>
      </c>
      <c r="C416" s="3">
        <f>IFERROR(__xludf.DUMMYFUNCTION("""COMPUTED_VALUE"""),1193.1)</f>
        <v>1193.1</v>
      </c>
      <c r="D416" s="3">
        <f>IFERROR(__xludf.DUMMYFUNCTION("""COMPUTED_VALUE"""),1175.15)</f>
        <v>1175.15</v>
      </c>
      <c r="E416" s="3">
        <f>IFERROR(__xludf.DUMMYFUNCTION("""COMPUTED_VALUE"""),1178.5)</f>
        <v>1178.5</v>
      </c>
      <c r="F416" s="3">
        <f>IFERROR(__xludf.DUMMYFUNCTION("""COMPUTED_VALUE"""),0.0)</f>
        <v>0</v>
      </c>
    </row>
    <row r="417">
      <c r="A417" s="7">
        <f>IFERROR(__xludf.DUMMYFUNCTION("""COMPUTED_VALUE"""),37321.645833333336)</f>
        <v>37321.64583</v>
      </c>
      <c r="B417" s="3">
        <f>IFERROR(__xludf.DUMMYFUNCTION("""COMPUTED_VALUE"""),1176.55)</f>
        <v>1176.55</v>
      </c>
      <c r="C417" s="3">
        <f>IFERROR(__xludf.DUMMYFUNCTION("""COMPUTED_VALUE"""),1182.65)</f>
        <v>1182.65</v>
      </c>
      <c r="D417" s="3">
        <f>IFERROR(__xludf.DUMMYFUNCTION("""COMPUTED_VALUE"""),1162.75)</f>
        <v>1162.75</v>
      </c>
      <c r="E417" s="3">
        <f>IFERROR(__xludf.DUMMYFUNCTION("""COMPUTED_VALUE"""),1172.6)</f>
        <v>1172.6</v>
      </c>
      <c r="F417" s="3">
        <f>IFERROR(__xludf.DUMMYFUNCTION("""COMPUTED_VALUE"""),0.0)</f>
        <v>0</v>
      </c>
    </row>
    <row r="418">
      <c r="A418" s="7">
        <f>IFERROR(__xludf.DUMMYFUNCTION("""COMPUTED_VALUE"""),37322.645833333336)</f>
        <v>37322.64583</v>
      </c>
      <c r="B418" s="3">
        <f>IFERROR(__xludf.DUMMYFUNCTION("""COMPUTED_VALUE"""),1173.6)</f>
        <v>1173.6</v>
      </c>
      <c r="C418" s="3">
        <f>IFERROR(__xludf.DUMMYFUNCTION("""COMPUTED_VALUE"""),1195.2)</f>
        <v>1195.2</v>
      </c>
      <c r="D418" s="3">
        <f>IFERROR(__xludf.DUMMYFUNCTION("""COMPUTED_VALUE"""),1173.6)</f>
        <v>1173.6</v>
      </c>
      <c r="E418" s="3">
        <f>IFERROR(__xludf.DUMMYFUNCTION("""COMPUTED_VALUE"""),1193.05)</f>
        <v>1193.05</v>
      </c>
      <c r="F418" s="3">
        <f>IFERROR(__xludf.DUMMYFUNCTION("""COMPUTED_VALUE"""),0.0)</f>
        <v>0</v>
      </c>
    </row>
    <row r="419">
      <c r="A419" s="7">
        <f>IFERROR(__xludf.DUMMYFUNCTION("""COMPUTED_VALUE"""),37323.645833333336)</f>
        <v>37323.64583</v>
      </c>
      <c r="B419" s="3">
        <f>IFERROR(__xludf.DUMMYFUNCTION("""COMPUTED_VALUE"""),1193.6)</f>
        <v>1193.6</v>
      </c>
      <c r="C419" s="3">
        <f>IFERROR(__xludf.DUMMYFUNCTION("""COMPUTED_VALUE"""),1199.6)</f>
        <v>1199.6</v>
      </c>
      <c r="D419" s="3">
        <f>IFERROR(__xludf.DUMMYFUNCTION("""COMPUTED_VALUE"""),1182.55)</f>
        <v>1182.55</v>
      </c>
      <c r="E419" s="3">
        <f>IFERROR(__xludf.DUMMYFUNCTION("""COMPUTED_VALUE"""),1187.65)</f>
        <v>1187.65</v>
      </c>
      <c r="F419" s="3">
        <f>IFERROR(__xludf.DUMMYFUNCTION("""COMPUTED_VALUE"""),0.0)</f>
        <v>0</v>
      </c>
    </row>
    <row r="420">
      <c r="A420" s="7">
        <f>IFERROR(__xludf.DUMMYFUNCTION("""COMPUTED_VALUE"""),37326.645833333336)</f>
        <v>37326.64583</v>
      </c>
      <c r="B420" s="3">
        <f>IFERROR(__xludf.DUMMYFUNCTION("""COMPUTED_VALUE"""),1187.5)</f>
        <v>1187.5</v>
      </c>
      <c r="C420" s="3">
        <f>IFERROR(__xludf.DUMMYFUNCTION("""COMPUTED_VALUE"""),1192.75)</f>
        <v>1192.75</v>
      </c>
      <c r="D420" s="3">
        <f>IFERROR(__xludf.DUMMYFUNCTION("""COMPUTED_VALUE"""),1164.55)</f>
        <v>1164.55</v>
      </c>
      <c r="E420" s="3">
        <f>IFERROR(__xludf.DUMMYFUNCTION("""COMPUTED_VALUE"""),1167.85)</f>
        <v>1167.85</v>
      </c>
      <c r="F420" s="3">
        <f>IFERROR(__xludf.DUMMYFUNCTION("""COMPUTED_VALUE"""),0.0)</f>
        <v>0</v>
      </c>
    </row>
    <row r="421">
      <c r="A421" s="7">
        <f>IFERROR(__xludf.DUMMYFUNCTION("""COMPUTED_VALUE"""),37327.645833333336)</f>
        <v>37327.64583</v>
      </c>
      <c r="B421" s="3">
        <f>IFERROR(__xludf.DUMMYFUNCTION("""COMPUTED_VALUE"""),1167.85)</f>
        <v>1167.85</v>
      </c>
      <c r="C421" s="3">
        <f>IFERROR(__xludf.DUMMYFUNCTION("""COMPUTED_VALUE"""),1171.2)</f>
        <v>1171.2</v>
      </c>
      <c r="D421" s="3">
        <f>IFERROR(__xludf.DUMMYFUNCTION("""COMPUTED_VALUE"""),1144.3)</f>
        <v>1144.3</v>
      </c>
      <c r="E421" s="3">
        <f>IFERROR(__xludf.DUMMYFUNCTION("""COMPUTED_VALUE"""),1150.45)</f>
        <v>1150.45</v>
      </c>
      <c r="F421" s="3">
        <f>IFERROR(__xludf.DUMMYFUNCTION("""COMPUTED_VALUE"""),0.0)</f>
        <v>0</v>
      </c>
    </row>
    <row r="422">
      <c r="A422" s="7">
        <f>IFERROR(__xludf.DUMMYFUNCTION("""COMPUTED_VALUE"""),37328.645833333336)</f>
        <v>37328.64583</v>
      </c>
      <c r="B422" s="3">
        <f>IFERROR(__xludf.DUMMYFUNCTION("""COMPUTED_VALUE"""),1150.2)</f>
        <v>1150.2</v>
      </c>
      <c r="C422" s="3">
        <f>IFERROR(__xludf.DUMMYFUNCTION("""COMPUTED_VALUE"""),1165.4)</f>
        <v>1165.4</v>
      </c>
      <c r="D422" s="3">
        <f>IFERROR(__xludf.DUMMYFUNCTION("""COMPUTED_VALUE"""),1143.55)</f>
        <v>1143.55</v>
      </c>
      <c r="E422" s="3">
        <f>IFERROR(__xludf.DUMMYFUNCTION("""COMPUTED_VALUE"""),1157.05)</f>
        <v>1157.05</v>
      </c>
      <c r="F422" s="3">
        <f>IFERROR(__xludf.DUMMYFUNCTION("""COMPUTED_VALUE"""),0.0)</f>
        <v>0</v>
      </c>
    </row>
    <row r="423">
      <c r="A423" s="7">
        <f>IFERROR(__xludf.DUMMYFUNCTION("""COMPUTED_VALUE"""),37329.645833333336)</f>
        <v>37329.64583</v>
      </c>
      <c r="B423" s="3">
        <f>IFERROR(__xludf.DUMMYFUNCTION("""COMPUTED_VALUE"""),1156.85)</f>
        <v>1156.85</v>
      </c>
      <c r="C423" s="3">
        <f>IFERROR(__xludf.DUMMYFUNCTION("""COMPUTED_VALUE"""),1163.65)</f>
        <v>1163.65</v>
      </c>
      <c r="D423" s="3">
        <f>IFERROR(__xludf.DUMMYFUNCTION("""COMPUTED_VALUE"""),1153.15)</f>
        <v>1153.15</v>
      </c>
      <c r="E423" s="3">
        <f>IFERROR(__xludf.DUMMYFUNCTION("""COMPUTED_VALUE"""),1159.45)</f>
        <v>1159.45</v>
      </c>
      <c r="F423" s="3">
        <f>IFERROR(__xludf.DUMMYFUNCTION("""COMPUTED_VALUE"""),0.0)</f>
        <v>0</v>
      </c>
    </row>
    <row r="424">
      <c r="A424" s="7">
        <f>IFERROR(__xludf.DUMMYFUNCTION("""COMPUTED_VALUE"""),37330.645833333336)</f>
        <v>37330.64583</v>
      </c>
      <c r="B424" s="3">
        <f>IFERROR(__xludf.DUMMYFUNCTION("""COMPUTED_VALUE"""),1159.6)</f>
        <v>1159.6</v>
      </c>
      <c r="C424" s="3">
        <f>IFERROR(__xludf.DUMMYFUNCTION("""COMPUTED_VALUE"""),1173.75)</f>
        <v>1173.75</v>
      </c>
      <c r="D424" s="3">
        <f>IFERROR(__xludf.DUMMYFUNCTION("""COMPUTED_VALUE"""),1159.6)</f>
        <v>1159.6</v>
      </c>
      <c r="E424" s="3">
        <f>IFERROR(__xludf.DUMMYFUNCTION("""COMPUTED_VALUE"""),1169.75)</f>
        <v>1169.75</v>
      </c>
      <c r="F424" s="3">
        <f>IFERROR(__xludf.DUMMYFUNCTION("""COMPUTED_VALUE"""),0.0)</f>
        <v>0</v>
      </c>
    </row>
    <row r="425">
      <c r="A425" s="7">
        <f>IFERROR(__xludf.DUMMYFUNCTION("""COMPUTED_VALUE"""),37333.645833333336)</f>
        <v>37333.64583</v>
      </c>
      <c r="B425" s="3">
        <f>IFERROR(__xludf.DUMMYFUNCTION("""COMPUTED_VALUE"""),1169.95)</f>
        <v>1169.95</v>
      </c>
      <c r="C425" s="3">
        <f>IFERROR(__xludf.DUMMYFUNCTION("""COMPUTED_VALUE"""),1184.7)</f>
        <v>1184.7</v>
      </c>
      <c r="D425" s="3">
        <f>IFERROR(__xludf.DUMMYFUNCTION("""COMPUTED_VALUE"""),1163.75)</f>
        <v>1163.75</v>
      </c>
      <c r="E425" s="3">
        <f>IFERROR(__xludf.DUMMYFUNCTION("""COMPUTED_VALUE"""),1169.3)</f>
        <v>1169.3</v>
      </c>
      <c r="F425" s="3">
        <f>IFERROR(__xludf.DUMMYFUNCTION("""COMPUTED_VALUE"""),0.0)</f>
        <v>0</v>
      </c>
    </row>
    <row r="426">
      <c r="A426" s="7">
        <f>IFERROR(__xludf.DUMMYFUNCTION("""COMPUTED_VALUE"""),37334.645833333336)</f>
        <v>37334.64583</v>
      </c>
      <c r="B426" s="3">
        <f>IFERROR(__xludf.DUMMYFUNCTION("""COMPUTED_VALUE"""),1169.4)</f>
        <v>1169.4</v>
      </c>
      <c r="C426" s="3">
        <f>IFERROR(__xludf.DUMMYFUNCTION("""COMPUTED_VALUE"""),1170.8)</f>
        <v>1170.8</v>
      </c>
      <c r="D426" s="3">
        <f>IFERROR(__xludf.DUMMYFUNCTION("""COMPUTED_VALUE"""),1150.3)</f>
        <v>1150.3</v>
      </c>
      <c r="E426" s="3">
        <f>IFERROR(__xludf.DUMMYFUNCTION("""COMPUTED_VALUE"""),1152.15)</f>
        <v>1152.15</v>
      </c>
      <c r="F426" s="3">
        <f>IFERROR(__xludf.DUMMYFUNCTION("""COMPUTED_VALUE"""),0.0)</f>
        <v>0</v>
      </c>
    </row>
    <row r="427">
      <c r="A427" s="7">
        <f>IFERROR(__xludf.DUMMYFUNCTION("""COMPUTED_VALUE"""),37335.645833333336)</f>
        <v>37335.64583</v>
      </c>
      <c r="B427" s="3">
        <f>IFERROR(__xludf.DUMMYFUNCTION("""COMPUTED_VALUE"""),1152.05)</f>
        <v>1152.05</v>
      </c>
      <c r="C427" s="3">
        <f>IFERROR(__xludf.DUMMYFUNCTION("""COMPUTED_VALUE"""),1158.95)</f>
        <v>1158.95</v>
      </c>
      <c r="D427" s="3">
        <f>IFERROR(__xludf.DUMMYFUNCTION("""COMPUTED_VALUE"""),1148.5)</f>
        <v>1148.5</v>
      </c>
      <c r="E427" s="3">
        <f>IFERROR(__xludf.DUMMYFUNCTION("""COMPUTED_VALUE"""),1155.6)</f>
        <v>1155.6</v>
      </c>
      <c r="F427" s="3">
        <f>IFERROR(__xludf.DUMMYFUNCTION("""COMPUTED_VALUE"""),0.0)</f>
        <v>0</v>
      </c>
    </row>
    <row r="428">
      <c r="A428" s="7">
        <f>IFERROR(__xludf.DUMMYFUNCTION("""COMPUTED_VALUE"""),37336.645833333336)</f>
        <v>37336.64583</v>
      </c>
      <c r="B428" s="3">
        <f>IFERROR(__xludf.DUMMYFUNCTION("""COMPUTED_VALUE"""),1155.55)</f>
        <v>1155.55</v>
      </c>
      <c r="C428" s="3">
        <f>IFERROR(__xludf.DUMMYFUNCTION("""COMPUTED_VALUE"""),1155.55)</f>
        <v>1155.55</v>
      </c>
      <c r="D428" s="3">
        <f>IFERROR(__xludf.DUMMYFUNCTION("""COMPUTED_VALUE"""),1141.05)</f>
        <v>1141.05</v>
      </c>
      <c r="E428" s="3">
        <f>IFERROR(__xludf.DUMMYFUNCTION("""COMPUTED_VALUE"""),1144.2)</f>
        <v>1144.2</v>
      </c>
      <c r="F428" s="3">
        <f>IFERROR(__xludf.DUMMYFUNCTION("""COMPUTED_VALUE"""),0.0)</f>
        <v>0</v>
      </c>
    </row>
    <row r="429">
      <c r="A429" s="7">
        <f>IFERROR(__xludf.DUMMYFUNCTION("""COMPUTED_VALUE"""),37337.645833333336)</f>
        <v>37337.64583</v>
      </c>
      <c r="B429" s="3">
        <f>IFERROR(__xludf.DUMMYFUNCTION("""COMPUTED_VALUE"""),1144.5)</f>
        <v>1144.5</v>
      </c>
      <c r="C429" s="3">
        <f>IFERROR(__xludf.DUMMYFUNCTION("""COMPUTED_VALUE"""),1148.65)</f>
        <v>1148.65</v>
      </c>
      <c r="D429" s="3">
        <f>IFERROR(__xludf.DUMMYFUNCTION("""COMPUTED_VALUE"""),1135.9)</f>
        <v>1135.9</v>
      </c>
      <c r="E429" s="3">
        <f>IFERROR(__xludf.DUMMYFUNCTION("""COMPUTED_VALUE"""),1138.45)</f>
        <v>1138.45</v>
      </c>
      <c r="F429" s="3">
        <f>IFERROR(__xludf.DUMMYFUNCTION("""COMPUTED_VALUE"""),0.0)</f>
        <v>0</v>
      </c>
    </row>
    <row r="430">
      <c r="A430" s="7">
        <f>IFERROR(__xludf.DUMMYFUNCTION("""COMPUTED_VALUE"""),37341.645833333336)</f>
        <v>37341.64583</v>
      </c>
      <c r="B430" s="3">
        <f>IFERROR(__xludf.DUMMYFUNCTION("""COMPUTED_VALUE"""),1138.1)</f>
        <v>1138.1</v>
      </c>
      <c r="C430" s="3">
        <f>IFERROR(__xludf.DUMMYFUNCTION("""COMPUTED_VALUE"""),1140.2)</f>
        <v>1140.2</v>
      </c>
      <c r="D430" s="3">
        <f>IFERROR(__xludf.DUMMYFUNCTION("""COMPUTED_VALUE"""),1117.85)</f>
        <v>1117.85</v>
      </c>
      <c r="E430" s="3">
        <f>IFERROR(__xludf.DUMMYFUNCTION("""COMPUTED_VALUE"""),1123.05)</f>
        <v>1123.05</v>
      </c>
      <c r="F430" s="3">
        <f>IFERROR(__xludf.DUMMYFUNCTION("""COMPUTED_VALUE"""),0.0)</f>
        <v>0</v>
      </c>
    </row>
    <row r="431">
      <c r="A431" s="7">
        <f>IFERROR(__xludf.DUMMYFUNCTION("""COMPUTED_VALUE"""),37342.645833333336)</f>
        <v>37342.64583</v>
      </c>
      <c r="B431" s="3">
        <f>IFERROR(__xludf.DUMMYFUNCTION("""COMPUTED_VALUE"""),1130.0)</f>
        <v>1130</v>
      </c>
      <c r="C431" s="3">
        <f>IFERROR(__xludf.DUMMYFUNCTION("""COMPUTED_VALUE"""),1134.1)</f>
        <v>1134.1</v>
      </c>
      <c r="D431" s="3">
        <f>IFERROR(__xludf.DUMMYFUNCTION("""COMPUTED_VALUE"""),1121.35)</f>
        <v>1121.35</v>
      </c>
      <c r="E431" s="3">
        <f>IFERROR(__xludf.DUMMYFUNCTION("""COMPUTED_VALUE"""),1123.35)</f>
        <v>1123.35</v>
      </c>
      <c r="F431" s="3">
        <f>IFERROR(__xludf.DUMMYFUNCTION("""COMPUTED_VALUE"""),0.0)</f>
        <v>0</v>
      </c>
    </row>
    <row r="432">
      <c r="A432" s="7">
        <f>IFERROR(__xludf.DUMMYFUNCTION("""COMPUTED_VALUE"""),37343.645833333336)</f>
        <v>37343.64583</v>
      </c>
      <c r="B432" s="3">
        <f>IFERROR(__xludf.DUMMYFUNCTION("""COMPUTED_VALUE"""),1123.6)</f>
        <v>1123.6</v>
      </c>
      <c r="C432" s="3">
        <f>IFERROR(__xludf.DUMMYFUNCTION("""COMPUTED_VALUE"""),1138.45)</f>
        <v>1138.45</v>
      </c>
      <c r="D432" s="3">
        <f>IFERROR(__xludf.DUMMYFUNCTION("""COMPUTED_VALUE"""),1123.6)</f>
        <v>1123.6</v>
      </c>
      <c r="E432" s="3">
        <f>IFERROR(__xludf.DUMMYFUNCTION("""COMPUTED_VALUE"""),1129.55)</f>
        <v>1129.55</v>
      </c>
      <c r="F432" s="3">
        <f>IFERROR(__xludf.DUMMYFUNCTION("""COMPUTED_VALUE"""),0.0)</f>
        <v>0</v>
      </c>
    </row>
    <row r="433">
      <c r="A433" s="7">
        <f>IFERROR(__xludf.DUMMYFUNCTION("""COMPUTED_VALUE"""),37347.645833333336)</f>
        <v>37347.64583</v>
      </c>
      <c r="B433" s="3">
        <f>IFERROR(__xludf.DUMMYFUNCTION("""COMPUTED_VALUE"""),1129.85)</f>
        <v>1129.85</v>
      </c>
      <c r="C433" s="3">
        <f>IFERROR(__xludf.DUMMYFUNCTION("""COMPUTED_VALUE"""),1143.3)</f>
        <v>1143.3</v>
      </c>
      <c r="D433" s="3">
        <f>IFERROR(__xludf.DUMMYFUNCTION("""COMPUTED_VALUE"""),1129.85)</f>
        <v>1129.85</v>
      </c>
      <c r="E433" s="3">
        <f>IFERROR(__xludf.DUMMYFUNCTION("""COMPUTED_VALUE"""),1138.95)</f>
        <v>1138.95</v>
      </c>
      <c r="F433" s="3">
        <f>IFERROR(__xludf.DUMMYFUNCTION("""COMPUTED_VALUE"""),0.0)</f>
        <v>0</v>
      </c>
    </row>
    <row r="434">
      <c r="A434" s="7">
        <f>IFERROR(__xludf.DUMMYFUNCTION("""COMPUTED_VALUE"""),37348.645833333336)</f>
        <v>37348.64583</v>
      </c>
      <c r="B434" s="3">
        <f>IFERROR(__xludf.DUMMYFUNCTION("""COMPUTED_VALUE"""),1138.8)</f>
        <v>1138.8</v>
      </c>
      <c r="C434" s="3">
        <f>IFERROR(__xludf.DUMMYFUNCTION("""COMPUTED_VALUE"""),1147.3)</f>
        <v>1147.3</v>
      </c>
      <c r="D434" s="3">
        <f>IFERROR(__xludf.DUMMYFUNCTION("""COMPUTED_VALUE"""),1132.3)</f>
        <v>1132.3</v>
      </c>
      <c r="E434" s="3">
        <f>IFERROR(__xludf.DUMMYFUNCTION("""COMPUTED_VALUE"""),1136.95)</f>
        <v>1136.95</v>
      </c>
      <c r="F434" s="3">
        <f>IFERROR(__xludf.DUMMYFUNCTION("""COMPUTED_VALUE"""),0.0)</f>
        <v>0</v>
      </c>
    </row>
    <row r="435">
      <c r="A435" s="7">
        <f>IFERROR(__xludf.DUMMYFUNCTION("""COMPUTED_VALUE"""),37349.645833333336)</f>
        <v>37349.64583</v>
      </c>
      <c r="B435" s="3">
        <f>IFERROR(__xludf.DUMMYFUNCTION("""COMPUTED_VALUE"""),1136.6)</f>
        <v>1136.6</v>
      </c>
      <c r="C435" s="3">
        <f>IFERROR(__xludf.DUMMYFUNCTION("""COMPUTED_VALUE"""),1136.9)</f>
        <v>1136.9</v>
      </c>
      <c r="D435" s="3">
        <f>IFERROR(__xludf.DUMMYFUNCTION("""COMPUTED_VALUE"""),1121.45)</f>
        <v>1121.45</v>
      </c>
      <c r="E435" s="3">
        <f>IFERROR(__xludf.DUMMYFUNCTION("""COMPUTED_VALUE"""),1123.5)</f>
        <v>1123.5</v>
      </c>
      <c r="F435" s="3">
        <f>IFERROR(__xludf.DUMMYFUNCTION("""COMPUTED_VALUE"""),0.0)</f>
        <v>0</v>
      </c>
    </row>
    <row r="436">
      <c r="A436" s="7">
        <f>IFERROR(__xludf.DUMMYFUNCTION("""COMPUTED_VALUE"""),37350.645833333336)</f>
        <v>37350.64583</v>
      </c>
      <c r="B436" s="3">
        <f>IFERROR(__xludf.DUMMYFUNCTION("""COMPUTED_VALUE"""),1124.05)</f>
        <v>1124.05</v>
      </c>
      <c r="C436" s="3">
        <f>IFERROR(__xludf.DUMMYFUNCTION("""COMPUTED_VALUE"""),1149.65)</f>
        <v>1149.65</v>
      </c>
      <c r="D436" s="3">
        <f>IFERROR(__xludf.DUMMYFUNCTION("""COMPUTED_VALUE"""),1123.9)</f>
        <v>1123.9</v>
      </c>
      <c r="E436" s="3">
        <f>IFERROR(__xludf.DUMMYFUNCTION("""COMPUTED_VALUE"""),1145.9)</f>
        <v>1145.9</v>
      </c>
      <c r="F436" s="3">
        <f>IFERROR(__xludf.DUMMYFUNCTION("""COMPUTED_VALUE"""),0.0)</f>
        <v>0</v>
      </c>
    </row>
    <row r="437">
      <c r="A437" s="7">
        <f>IFERROR(__xludf.DUMMYFUNCTION("""COMPUTED_VALUE"""),37351.645833333336)</f>
        <v>37351.64583</v>
      </c>
      <c r="B437" s="3">
        <f>IFERROR(__xludf.DUMMYFUNCTION("""COMPUTED_VALUE"""),1146.05)</f>
        <v>1146.05</v>
      </c>
      <c r="C437" s="3">
        <f>IFERROR(__xludf.DUMMYFUNCTION("""COMPUTED_VALUE"""),1153.3)</f>
        <v>1153.3</v>
      </c>
      <c r="D437" s="3">
        <f>IFERROR(__xludf.DUMMYFUNCTION("""COMPUTED_VALUE"""),1139.9)</f>
        <v>1139.9</v>
      </c>
      <c r="E437" s="3">
        <f>IFERROR(__xludf.DUMMYFUNCTION("""COMPUTED_VALUE"""),1141.95)</f>
        <v>1141.95</v>
      </c>
      <c r="F437" s="3">
        <f>IFERROR(__xludf.DUMMYFUNCTION("""COMPUTED_VALUE"""),0.0)</f>
        <v>0</v>
      </c>
    </row>
    <row r="438">
      <c r="A438" s="7">
        <f>IFERROR(__xludf.DUMMYFUNCTION("""COMPUTED_VALUE"""),37354.645833333336)</f>
        <v>37354.64583</v>
      </c>
      <c r="B438" s="3">
        <f>IFERROR(__xludf.DUMMYFUNCTION("""COMPUTED_VALUE"""),1141.9)</f>
        <v>1141.9</v>
      </c>
      <c r="C438" s="3">
        <f>IFERROR(__xludf.DUMMYFUNCTION("""COMPUTED_VALUE"""),1147.9)</f>
        <v>1147.9</v>
      </c>
      <c r="D438" s="3">
        <f>IFERROR(__xludf.DUMMYFUNCTION("""COMPUTED_VALUE"""),1134.0)</f>
        <v>1134</v>
      </c>
      <c r="E438" s="3">
        <f>IFERROR(__xludf.DUMMYFUNCTION("""COMPUTED_VALUE"""),1135.25)</f>
        <v>1135.25</v>
      </c>
      <c r="F438" s="3">
        <f>IFERROR(__xludf.DUMMYFUNCTION("""COMPUTED_VALUE"""),0.0)</f>
        <v>0</v>
      </c>
    </row>
    <row r="439">
      <c r="A439" s="7">
        <f>IFERROR(__xludf.DUMMYFUNCTION("""COMPUTED_VALUE"""),37355.645833333336)</f>
        <v>37355.64583</v>
      </c>
      <c r="B439" s="3">
        <f>IFERROR(__xludf.DUMMYFUNCTION("""COMPUTED_VALUE"""),1135.15)</f>
        <v>1135.15</v>
      </c>
      <c r="C439" s="3">
        <f>IFERROR(__xludf.DUMMYFUNCTION("""COMPUTED_VALUE"""),1137.45)</f>
        <v>1137.45</v>
      </c>
      <c r="D439" s="3">
        <f>IFERROR(__xludf.DUMMYFUNCTION("""COMPUTED_VALUE"""),1122.1)</f>
        <v>1122.1</v>
      </c>
      <c r="E439" s="3">
        <f>IFERROR(__xludf.DUMMYFUNCTION("""COMPUTED_VALUE"""),1126.7)</f>
        <v>1126.7</v>
      </c>
      <c r="F439" s="3">
        <f>IFERROR(__xludf.DUMMYFUNCTION("""COMPUTED_VALUE"""),0.0)</f>
        <v>0</v>
      </c>
    </row>
    <row r="440">
      <c r="A440" s="7">
        <f>IFERROR(__xludf.DUMMYFUNCTION("""COMPUTED_VALUE"""),37356.645833333336)</f>
        <v>37356.64583</v>
      </c>
      <c r="B440" s="3">
        <f>IFERROR(__xludf.DUMMYFUNCTION("""COMPUTED_VALUE"""),1126.7)</f>
        <v>1126.7</v>
      </c>
      <c r="C440" s="3">
        <f>IFERROR(__xludf.DUMMYFUNCTION("""COMPUTED_VALUE"""),1140.25)</f>
        <v>1140.25</v>
      </c>
      <c r="D440" s="3">
        <f>IFERROR(__xludf.DUMMYFUNCTION("""COMPUTED_VALUE"""),1125.75)</f>
        <v>1125.75</v>
      </c>
      <c r="E440" s="3">
        <f>IFERROR(__xludf.DUMMYFUNCTION("""COMPUTED_VALUE"""),1138.5)</f>
        <v>1138.5</v>
      </c>
      <c r="F440" s="3">
        <f>IFERROR(__xludf.DUMMYFUNCTION("""COMPUTED_VALUE"""),0.0)</f>
        <v>0</v>
      </c>
    </row>
    <row r="441">
      <c r="A441" s="7">
        <f>IFERROR(__xludf.DUMMYFUNCTION("""COMPUTED_VALUE"""),37357.645833333336)</f>
        <v>37357.64583</v>
      </c>
      <c r="B441" s="3">
        <f>IFERROR(__xludf.DUMMYFUNCTION("""COMPUTED_VALUE"""),1138.55)</f>
        <v>1138.55</v>
      </c>
      <c r="C441" s="3">
        <f>IFERROR(__xludf.DUMMYFUNCTION("""COMPUTED_VALUE"""),1150.2)</f>
        <v>1150.2</v>
      </c>
      <c r="D441" s="3">
        <f>IFERROR(__xludf.DUMMYFUNCTION("""COMPUTED_VALUE"""),1138.55)</f>
        <v>1138.55</v>
      </c>
      <c r="E441" s="3">
        <f>IFERROR(__xludf.DUMMYFUNCTION("""COMPUTED_VALUE"""),1143.6)</f>
        <v>1143.6</v>
      </c>
      <c r="F441" s="3">
        <f>IFERROR(__xludf.DUMMYFUNCTION("""COMPUTED_VALUE"""),0.0)</f>
        <v>0</v>
      </c>
    </row>
    <row r="442">
      <c r="A442" s="7">
        <f>IFERROR(__xludf.DUMMYFUNCTION("""COMPUTED_VALUE"""),37358.645833333336)</f>
        <v>37358.64583</v>
      </c>
      <c r="B442" s="3">
        <f>IFERROR(__xludf.DUMMYFUNCTION("""COMPUTED_VALUE"""),1143.25)</f>
        <v>1143.25</v>
      </c>
      <c r="C442" s="3">
        <f>IFERROR(__xludf.DUMMYFUNCTION("""COMPUTED_VALUE"""),1151.55)</f>
        <v>1151.55</v>
      </c>
      <c r="D442" s="3">
        <f>IFERROR(__xludf.DUMMYFUNCTION("""COMPUTED_VALUE"""),1138.65)</f>
        <v>1138.65</v>
      </c>
      <c r="E442" s="3">
        <f>IFERROR(__xludf.DUMMYFUNCTION("""COMPUTED_VALUE"""),1146.5)</f>
        <v>1146.5</v>
      </c>
      <c r="F442" s="3">
        <f>IFERROR(__xludf.DUMMYFUNCTION("""COMPUTED_VALUE"""),0.0)</f>
        <v>0</v>
      </c>
    </row>
    <row r="443">
      <c r="A443" s="7">
        <f>IFERROR(__xludf.DUMMYFUNCTION("""COMPUTED_VALUE"""),37361.645833333336)</f>
        <v>37361.64583</v>
      </c>
      <c r="B443" s="3">
        <f>IFERROR(__xludf.DUMMYFUNCTION("""COMPUTED_VALUE"""),1146.55)</f>
        <v>1146.55</v>
      </c>
      <c r="C443" s="3">
        <f>IFERROR(__xludf.DUMMYFUNCTION("""COMPUTED_VALUE"""),1152.55)</f>
        <v>1152.55</v>
      </c>
      <c r="D443" s="3">
        <f>IFERROR(__xludf.DUMMYFUNCTION("""COMPUTED_VALUE"""),1130.45)</f>
        <v>1130.45</v>
      </c>
      <c r="E443" s="3">
        <f>IFERROR(__xludf.DUMMYFUNCTION("""COMPUTED_VALUE"""),1134.15)</f>
        <v>1134.15</v>
      </c>
      <c r="F443" s="3">
        <f>IFERROR(__xludf.DUMMYFUNCTION("""COMPUTED_VALUE"""),0.0)</f>
        <v>0</v>
      </c>
    </row>
    <row r="444">
      <c r="A444" s="7">
        <f>IFERROR(__xludf.DUMMYFUNCTION("""COMPUTED_VALUE"""),37362.645833333336)</f>
        <v>37362.64583</v>
      </c>
      <c r="B444" s="3">
        <f>IFERROR(__xludf.DUMMYFUNCTION("""COMPUTED_VALUE"""),1130.8)</f>
        <v>1130.8</v>
      </c>
      <c r="C444" s="3">
        <f>IFERROR(__xludf.DUMMYFUNCTION("""COMPUTED_VALUE"""),1133.5)</f>
        <v>1133.5</v>
      </c>
      <c r="D444" s="3">
        <f>IFERROR(__xludf.DUMMYFUNCTION("""COMPUTED_VALUE"""),1116.65)</f>
        <v>1116.65</v>
      </c>
      <c r="E444" s="3">
        <f>IFERROR(__xludf.DUMMYFUNCTION("""COMPUTED_VALUE"""),1118.75)</f>
        <v>1118.75</v>
      </c>
      <c r="F444" s="3">
        <f>IFERROR(__xludf.DUMMYFUNCTION("""COMPUTED_VALUE"""),0.0)</f>
        <v>0</v>
      </c>
    </row>
    <row r="445">
      <c r="A445" s="7">
        <f>IFERROR(__xludf.DUMMYFUNCTION("""COMPUTED_VALUE"""),37363.645833333336)</f>
        <v>37363.64583</v>
      </c>
      <c r="B445" s="3">
        <f>IFERROR(__xludf.DUMMYFUNCTION("""COMPUTED_VALUE"""),1119.0)</f>
        <v>1119</v>
      </c>
      <c r="C445" s="3">
        <f>IFERROR(__xludf.DUMMYFUNCTION("""COMPUTED_VALUE"""),1136.6)</f>
        <v>1136.6</v>
      </c>
      <c r="D445" s="3">
        <f>IFERROR(__xludf.DUMMYFUNCTION("""COMPUTED_VALUE"""),1118.95)</f>
        <v>1118.95</v>
      </c>
      <c r="E445" s="3">
        <f>IFERROR(__xludf.DUMMYFUNCTION("""COMPUTED_VALUE"""),1125.1)</f>
        <v>1125.1</v>
      </c>
      <c r="F445" s="3">
        <f>IFERROR(__xludf.DUMMYFUNCTION("""COMPUTED_VALUE"""),0.0)</f>
        <v>0</v>
      </c>
    </row>
    <row r="446">
      <c r="A446" s="7">
        <f>IFERROR(__xludf.DUMMYFUNCTION("""COMPUTED_VALUE"""),37364.645833333336)</f>
        <v>37364.64583</v>
      </c>
      <c r="B446" s="3">
        <f>IFERROR(__xludf.DUMMYFUNCTION("""COMPUTED_VALUE"""),1125.25)</f>
        <v>1125.25</v>
      </c>
      <c r="C446" s="3">
        <f>IFERROR(__xludf.DUMMYFUNCTION("""COMPUTED_VALUE"""),1135.0)</f>
        <v>1135</v>
      </c>
      <c r="D446" s="3">
        <f>IFERROR(__xludf.DUMMYFUNCTION("""COMPUTED_VALUE"""),1123.8)</f>
        <v>1123.8</v>
      </c>
      <c r="E446" s="3">
        <f>IFERROR(__xludf.DUMMYFUNCTION("""COMPUTED_VALUE"""),1129.0)</f>
        <v>1129</v>
      </c>
      <c r="F446" s="3">
        <f>IFERROR(__xludf.DUMMYFUNCTION("""COMPUTED_VALUE"""),0.0)</f>
        <v>0</v>
      </c>
    </row>
    <row r="447">
      <c r="A447" s="7">
        <f>IFERROR(__xludf.DUMMYFUNCTION("""COMPUTED_VALUE"""),37365.645833333336)</f>
        <v>37365.64583</v>
      </c>
      <c r="B447" s="3">
        <f>IFERROR(__xludf.DUMMYFUNCTION("""COMPUTED_VALUE"""),1125.55)</f>
        <v>1125.55</v>
      </c>
      <c r="C447" s="3">
        <f>IFERROR(__xludf.DUMMYFUNCTION("""COMPUTED_VALUE"""),1127.05)</f>
        <v>1127.05</v>
      </c>
      <c r="D447" s="3">
        <f>IFERROR(__xludf.DUMMYFUNCTION("""COMPUTED_VALUE"""),1097.6)</f>
        <v>1097.6</v>
      </c>
      <c r="E447" s="3">
        <f>IFERROR(__xludf.DUMMYFUNCTION("""COMPUTED_VALUE"""),1100.3)</f>
        <v>1100.3</v>
      </c>
      <c r="F447" s="3">
        <f>IFERROR(__xludf.DUMMYFUNCTION("""COMPUTED_VALUE"""),0.0)</f>
        <v>0</v>
      </c>
    </row>
    <row r="448">
      <c r="A448" s="7">
        <f>IFERROR(__xludf.DUMMYFUNCTION("""COMPUTED_VALUE"""),37368.645833333336)</f>
        <v>37368.64583</v>
      </c>
      <c r="B448" s="3">
        <f>IFERROR(__xludf.DUMMYFUNCTION("""COMPUTED_VALUE"""),1100.5)</f>
        <v>1100.5</v>
      </c>
      <c r="C448" s="3">
        <f>IFERROR(__xludf.DUMMYFUNCTION("""COMPUTED_VALUE"""),1107.2)</f>
        <v>1107.2</v>
      </c>
      <c r="D448" s="3">
        <f>IFERROR(__xludf.DUMMYFUNCTION("""COMPUTED_VALUE"""),1088.05)</f>
        <v>1088.05</v>
      </c>
      <c r="E448" s="3">
        <f>IFERROR(__xludf.DUMMYFUNCTION("""COMPUTED_VALUE"""),1104.15)</f>
        <v>1104.15</v>
      </c>
      <c r="F448" s="3">
        <f>IFERROR(__xludf.DUMMYFUNCTION("""COMPUTED_VALUE"""),0.0)</f>
        <v>0</v>
      </c>
    </row>
    <row r="449">
      <c r="A449" s="7">
        <f>IFERROR(__xludf.DUMMYFUNCTION("""COMPUTED_VALUE"""),37369.645833333336)</f>
        <v>37369.64583</v>
      </c>
      <c r="B449" s="3">
        <f>IFERROR(__xludf.DUMMYFUNCTION("""COMPUTED_VALUE"""),1104.0)</f>
        <v>1104</v>
      </c>
      <c r="C449" s="3">
        <f>IFERROR(__xludf.DUMMYFUNCTION("""COMPUTED_VALUE"""),1108.8)</f>
        <v>1108.8</v>
      </c>
      <c r="D449" s="3">
        <f>IFERROR(__xludf.DUMMYFUNCTION("""COMPUTED_VALUE"""),1095.0)</f>
        <v>1095</v>
      </c>
      <c r="E449" s="3">
        <f>IFERROR(__xludf.DUMMYFUNCTION("""COMPUTED_VALUE"""),1106.0)</f>
        <v>1106</v>
      </c>
      <c r="F449" s="3">
        <f>IFERROR(__xludf.DUMMYFUNCTION("""COMPUTED_VALUE"""),0.0)</f>
        <v>0</v>
      </c>
    </row>
    <row r="450">
      <c r="A450" s="7">
        <f>IFERROR(__xludf.DUMMYFUNCTION("""COMPUTED_VALUE"""),37370.645833333336)</f>
        <v>37370.64583</v>
      </c>
      <c r="B450" s="3">
        <f>IFERROR(__xludf.DUMMYFUNCTION("""COMPUTED_VALUE"""),1106.25)</f>
        <v>1106.25</v>
      </c>
      <c r="C450" s="3">
        <f>IFERROR(__xludf.DUMMYFUNCTION("""COMPUTED_VALUE"""),1116.85)</f>
        <v>1116.85</v>
      </c>
      <c r="D450" s="3">
        <f>IFERROR(__xludf.DUMMYFUNCTION("""COMPUTED_VALUE"""),1105.7)</f>
        <v>1105.7</v>
      </c>
      <c r="E450" s="3">
        <f>IFERROR(__xludf.DUMMYFUNCTION("""COMPUTED_VALUE"""),1110.6)</f>
        <v>1110.6</v>
      </c>
      <c r="F450" s="3">
        <f>IFERROR(__xludf.DUMMYFUNCTION("""COMPUTED_VALUE"""),0.0)</f>
        <v>0</v>
      </c>
    </row>
    <row r="451">
      <c r="A451" s="7">
        <f>IFERROR(__xludf.DUMMYFUNCTION("""COMPUTED_VALUE"""),37371.645833333336)</f>
        <v>37371.64583</v>
      </c>
      <c r="B451" s="3">
        <f>IFERROR(__xludf.DUMMYFUNCTION("""COMPUTED_VALUE"""),1110.65)</f>
        <v>1110.65</v>
      </c>
      <c r="C451" s="3">
        <f>IFERROR(__xludf.DUMMYFUNCTION("""COMPUTED_VALUE"""),1113.85)</f>
        <v>1113.85</v>
      </c>
      <c r="D451" s="3">
        <f>IFERROR(__xludf.DUMMYFUNCTION("""COMPUTED_VALUE"""),1089.0)</f>
        <v>1089</v>
      </c>
      <c r="E451" s="3">
        <f>IFERROR(__xludf.DUMMYFUNCTION("""COMPUTED_VALUE"""),1094.3)</f>
        <v>1094.3</v>
      </c>
      <c r="F451" s="3">
        <f>IFERROR(__xludf.DUMMYFUNCTION("""COMPUTED_VALUE"""),0.0)</f>
        <v>0</v>
      </c>
    </row>
    <row r="452">
      <c r="A452" s="7">
        <f>IFERROR(__xludf.DUMMYFUNCTION("""COMPUTED_VALUE"""),37372.645833333336)</f>
        <v>37372.64583</v>
      </c>
      <c r="B452" s="3">
        <f>IFERROR(__xludf.DUMMYFUNCTION("""COMPUTED_VALUE"""),1094.25)</f>
        <v>1094.25</v>
      </c>
      <c r="C452" s="3">
        <f>IFERROR(__xludf.DUMMYFUNCTION("""COMPUTED_VALUE"""),1103.35)</f>
        <v>1103.35</v>
      </c>
      <c r="D452" s="3">
        <f>IFERROR(__xludf.DUMMYFUNCTION("""COMPUTED_VALUE"""),1094.1)</f>
        <v>1094.1</v>
      </c>
      <c r="E452" s="3">
        <f>IFERROR(__xludf.DUMMYFUNCTION("""COMPUTED_VALUE"""),1097.4)</f>
        <v>1097.4</v>
      </c>
      <c r="F452" s="3">
        <f>IFERROR(__xludf.DUMMYFUNCTION("""COMPUTED_VALUE"""),0.0)</f>
        <v>0</v>
      </c>
    </row>
    <row r="453">
      <c r="A453" s="7">
        <f>IFERROR(__xludf.DUMMYFUNCTION("""COMPUTED_VALUE"""),37375.645833333336)</f>
        <v>37375.64583</v>
      </c>
      <c r="B453" s="3">
        <f>IFERROR(__xludf.DUMMYFUNCTION("""COMPUTED_VALUE"""),1097.55)</f>
        <v>1097.55</v>
      </c>
      <c r="C453" s="3">
        <f>IFERROR(__xludf.DUMMYFUNCTION("""COMPUTED_VALUE"""),1098.65)</f>
        <v>1098.65</v>
      </c>
      <c r="D453" s="3">
        <f>IFERROR(__xludf.DUMMYFUNCTION("""COMPUTED_VALUE"""),1073.3)</f>
        <v>1073.3</v>
      </c>
      <c r="E453" s="3">
        <f>IFERROR(__xludf.DUMMYFUNCTION("""COMPUTED_VALUE"""),1074.2)</f>
        <v>1074.2</v>
      </c>
      <c r="F453" s="3">
        <f>IFERROR(__xludf.DUMMYFUNCTION("""COMPUTED_VALUE"""),0.0)</f>
        <v>0</v>
      </c>
    </row>
    <row r="454">
      <c r="A454" s="7">
        <f>IFERROR(__xludf.DUMMYFUNCTION("""COMPUTED_VALUE"""),37376.645833333336)</f>
        <v>37376.64583</v>
      </c>
      <c r="B454" s="3">
        <f>IFERROR(__xludf.DUMMYFUNCTION("""COMPUTED_VALUE"""),1074.25)</f>
        <v>1074.25</v>
      </c>
      <c r="C454" s="3">
        <f>IFERROR(__xludf.DUMMYFUNCTION("""COMPUTED_VALUE"""),1085.75)</f>
        <v>1085.75</v>
      </c>
      <c r="D454" s="3">
        <f>IFERROR(__xludf.DUMMYFUNCTION("""COMPUTED_VALUE"""),1073.4)</f>
        <v>1073.4</v>
      </c>
      <c r="E454" s="3">
        <f>IFERROR(__xludf.DUMMYFUNCTION("""COMPUTED_VALUE"""),1084.5)</f>
        <v>1084.5</v>
      </c>
      <c r="F454" s="3">
        <f>IFERROR(__xludf.DUMMYFUNCTION("""COMPUTED_VALUE"""),0.0)</f>
        <v>0</v>
      </c>
    </row>
    <row r="455">
      <c r="A455" s="7">
        <f>IFERROR(__xludf.DUMMYFUNCTION("""COMPUTED_VALUE"""),37378.645833333336)</f>
        <v>37378.64583</v>
      </c>
      <c r="B455" s="3">
        <f>IFERROR(__xludf.DUMMYFUNCTION("""COMPUTED_VALUE"""),1084.8)</f>
        <v>1084.8</v>
      </c>
      <c r="C455" s="3">
        <f>IFERROR(__xludf.DUMMYFUNCTION("""COMPUTED_VALUE"""),1101.1)</f>
        <v>1101.1</v>
      </c>
      <c r="D455" s="3">
        <f>IFERROR(__xludf.DUMMYFUNCTION("""COMPUTED_VALUE"""),1084.8)</f>
        <v>1084.8</v>
      </c>
      <c r="E455" s="3">
        <f>IFERROR(__xludf.DUMMYFUNCTION("""COMPUTED_VALUE"""),1093.3)</f>
        <v>1093.3</v>
      </c>
      <c r="F455" s="3">
        <f>IFERROR(__xludf.DUMMYFUNCTION("""COMPUTED_VALUE"""),0.0)</f>
        <v>0</v>
      </c>
    </row>
    <row r="456">
      <c r="A456" s="7">
        <f>IFERROR(__xludf.DUMMYFUNCTION("""COMPUTED_VALUE"""),37379.645833333336)</f>
        <v>37379.64583</v>
      </c>
      <c r="B456" s="3">
        <f>IFERROR(__xludf.DUMMYFUNCTION("""COMPUTED_VALUE"""),1093.4)</f>
        <v>1093.4</v>
      </c>
      <c r="C456" s="3">
        <f>IFERROR(__xludf.DUMMYFUNCTION("""COMPUTED_VALUE"""),1098.6)</f>
        <v>1098.6</v>
      </c>
      <c r="D456" s="3">
        <f>IFERROR(__xludf.DUMMYFUNCTION("""COMPUTED_VALUE"""),1091.5)</f>
        <v>1091.5</v>
      </c>
      <c r="E456" s="3">
        <f>IFERROR(__xludf.DUMMYFUNCTION("""COMPUTED_VALUE"""),1096.95)</f>
        <v>1096.95</v>
      </c>
      <c r="F456" s="3">
        <f>IFERROR(__xludf.DUMMYFUNCTION("""COMPUTED_VALUE"""),0.0)</f>
        <v>0</v>
      </c>
    </row>
    <row r="457">
      <c r="A457" s="7">
        <f>IFERROR(__xludf.DUMMYFUNCTION("""COMPUTED_VALUE"""),37382.645833333336)</f>
        <v>37382.64583</v>
      </c>
      <c r="B457" s="3">
        <f>IFERROR(__xludf.DUMMYFUNCTION("""COMPUTED_VALUE"""),1096.95)</f>
        <v>1096.95</v>
      </c>
      <c r="C457" s="3">
        <f>IFERROR(__xludf.DUMMYFUNCTION("""COMPUTED_VALUE"""),1102.05)</f>
        <v>1102.05</v>
      </c>
      <c r="D457" s="3">
        <f>IFERROR(__xludf.DUMMYFUNCTION("""COMPUTED_VALUE"""),1096.25)</f>
        <v>1096.25</v>
      </c>
      <c r="E457" s="3">
        <f>IFERROR(__xludf.DUMMYFUNCTION("""COMPUTED_VALUE"""),1100.95)</f>
        <v>1100.95</v>
      </c>
      <c r="F457" s="3">
        <f>IFERROR(__xludf.DUMMYFUNCTION("""COMPUTED_VALUE"""),0.0)</f>
        <v>0</v>
      </c>
    </row>
    <row r="458">
      <c r="A458" s="7">
        <f>IFERROR(__xludf.DUMMYFUNCTION("""COMPUTED_VALUE"""),37383.645833333336)</f>
        <v>37383.64583</v>
      </c>
      <c r="B458" s="3">
        <f>IFERROR(__xludf.DUMMYFUNCTION("""COMPUTED_VALUE"""),1100.9)</f>
        <v>1100.9</v>
      </c>
      <c r="C458" s="3">
        <f>IFERROR(__xludf.DUMMYFUNCTION("""COMPUTED_VALUE"""),1111.85)</f>
        <v>1111.85</v>
      </c>
      <c r="D458" s="3">
        <f>IFERROR(__xludf.DUMMYFUNCTION("""COMPUTED_VALUE"""),1096.65)</f>
        <v>1096.65</v>
      </c>
      <c r="E458" s="3">
        <f>IFERROR(__xludf.DUMMYFUNCTION("""COMPUTED_VALUE"""),1110.7)</f>
        <v>1110.7</v>
      </c>
      <c r="F458" s="3">
        <f>IFERROR(__xludf.DUMMYFUNCTION("""COMPUTED_VALUE"""),0.0)</f>
        <v>0</v>
      </c>
    </row>
    <row r="459">
      <c r="A459" s="7">
        <f>IFERROR(__xludf.DUMMYFUNCTION("""COMPUTED_VALUE"""),37384.645833333336)</f>
        <v>37384.64583</v>
      </c>
      <c r="B459" s="3">
        <f>IFERROR(__xludf.DUMMYFUNCTION("""COMPUTED_VALUE"""),1110.7)</f>
        <v>1110.7</v>
      </c>
      <c r="C459" s="3">
        <f>IFERROR(__xludf.DUMMYFUNCTION("""COMPUTED_VALUE"""),1122.7)</f>
        <v>1122.7</v>
      </c>
      <c r="D459" s="3">
        <f>IFERROR(__xludf.DUMMYFUNCTION("""COMPUTED_VALUE"""),1110.7)</f>
        <v>1110.7</v>
      </c>
      <c r="E459" s="3">
        <f>IFERROR(__xludf.DUMMYFUNCTION("""COMPUTED_VALUE"""),1117.6)</f>
        <v>1117.6</v>
      </c>
      <c r="F459" s="3">
        <f>IFERROR(__xludf.DUMMYFUNCTION("""COMPUTED_VALUE"""),0.0)</f>
        <v>0</v>
      </c>
    </row>
    <row r="460">
      <c r="A460" s="7">
        <f>IFERROR(__xludf.DUMMYFUNCTION("""COMPUTED_VALUE"""),37385.645833333336)</f>
        <v>37385.64583</v>
      </c>
      <c r="B460" s="3">
        <f>IFERROR(__xludf.DUMMYFUNCTION("""COMPUTED_VALUE"""),1117.7)</f>
        <v>1117.7</v>
      </c>
      <c r="C460" s="3">
        <f>IFERROR(__xludf.DUMMYFUNCTION("""COMPUTED_VALUE"""),1136.55)</f>
        <v>1136.55</v>
      </c>
      <c r="D460" s="3">
        <f>IFERROR(__xludf.DUMMYFUNCTION("""COMPUTED_VALUE"""),1117.7)</f>
        <v>1117.7</v>
      </c>
      <c r="E460" s="3">
        <f>IFERROR(__xludf.DUMMYFUNCTION("""COMPUTED_VALUE"""),1127.6)</f>
        <v>1127.6</v>
      </c>
      <c r="F460" s="3">
        <f>IFERROR(__xludf.DUMMYFUNCTION("""COMPUTED_VALUE"""),0.0)</f>
        <v>0</v>
      </c>
    </row>
    <row r="461">
      <c r="A461" s="7">
        <f>IFERROR(__xludf.DUMMYFUNCTION("""COMPUTED_VALUE"""),37386.645833333336)</f>
        <v>37386.64583</v>
      </c>
      <c r="B461" s="3">
        <f>IFERROR(__xludf.DUMMYFUNCTION("""COMPUTED_VALUE"""),1127.05)</f>
        <v>1127.05</v>
      </c>
      <c r="C461" s="3">
        <f>IFERROR(__xludf.DUMMYFUNCTION("""COMPUTED_VALUE"""),1127.3)</f>
        <v>1127.3</v>
      </c>
      <c r="D461" s="3">
        <f>IFERROR(__xludf.DUMMYFUNCTION("""COMPUTED_VALUE"""),1111.15)</f>
        <v>1111.15</v>
      </c>
      <c r="E461" s="3">
        <f>IFERROR(__xludf.DUMMYFUNCTION("""COMPUTED_VALUE"""),1116.4)</f>
        <v>1116.4</v>
      </c>
      <c r="F461" s="3">
        <f>IFERROR(__xludf.DUMMYFUNCTION("""COMPUTED_VALUE"""),0.0)</f>
        <v>0</v>
      </c>
    </row>
    <row r="462">
      <c r="A462" s="7">
        <f>IFERROR(__xludf.DUMMYFUNCTION("""COMPUTED_VALUE"""),37389.645833333336)</f>
        <v>37389.64583</v>
      </c>
      <c r="B462" s="3">
        <f>IFERROR(__xludf.DUMMYFUNCTION("""COMPUTED_VALUE"""),1116.8)</f>
        <v>1116.8</v>
      </c>
      <c r="C462" s="3">
        <f>IFERROR(__xludf.DUMMYFUNCTION("""COMPUTED_VALUE"""),1121.95)</f>
        <v>1121.95</v>
      </c>
      <c r="D462" s="3">
        <f>IFERROR(__xludf.DUMMYFUNCTION("""COMPUTED_VALUE"""),1114.2)</f>
        <v>1114.2</v>
      </c>
      <c r="E462" s="3">
        <f>IFERROR(__xludf.DUMMYFUNCTION("""COMPUTED_VALUE"""),1119.65)</f>
        <v>1119.65</v>
      </c>
      <c r="F462" s="3">
        <f>IFERROR(__xludf.DUMMYFUNCTION("""COMPUTED_VALUE"""),0.0)</f>
        <v>0</v>
      </c>
    </row>
    <row r="463">
      <c r="A463" s="7">
        <f>IFERROR(__xludf.DUMMYFUNCTION("""COMPUTED_VALUE"""),37390.645833333336)</f>
        <v>37390.64583</v>
      </c>
      <c r="B463" s="3">
        <f>IFERROR(__xludf.DUMMYFUNCTION("""COMPUTED_VALUE"""),1119.95)</f>
        <v>1119.95</v>
      </c>
      <c r="C463" s="3">
        <f>IFERROR(__xludf.DUMMYFUNCTION("""COMPUTED_VALUE"""),1125.95)</f>
        <v>1125.95</v>
      </c>
      <c r="D463" s="3">
        <f>IFERROR(__xludf.DUMMYFUNCTION("""COMPUTED_VALUE"""),1111.45)</f>
        <v>1111.45</v>
      </c>
      <c r="E463" s="3">
        <f>IFERROR(__xludf.DUMMYFUNCTION("""COMPUTED_VALUE"""),1115.1)</f>
        <v>1115.1</v>
      </c>
      <c r="F463" s="3">
        <f>IFERROR(__xludf.DUMMYFUNCTION("""COMPUTED_VALUE"""),0.0)</f>
        <v>0</v>
      </c>
    </row>
    <row r="464">
      <c r="A464" s="7">
        <f>IFERROR(__xludf.DUMMYFUNCTION("""COMPUTED_VALUE"""),37391.645833333336)</f>
        <v>37391.64583</v>
      </c>
      <c r="B464" s="3">
        <f>IFERROR(__xludf.DUMMYFUNCTION("""COMPUTED_VALUE"""),1115.15)</f>
        <v>1115.15</v>
      </c>
      <c r="C464" s="3">
        <f>IFERROR(__xludf.DUMMYFUNCTION("""COMPUTED_VALUE"""),1121.5)</f>
        <v>1121.5</v>
      </c>
      <c r="D464" s="3">
        <f>IFERROR(__xludf.DUMMYFUNCTION("""COMPUTED_VALUE"""),1102.65)</f>
        <v>1102.65</v>
      </c>
      <c r="E464" s="3">
        <f>IFERROR(__xludf.DUMMYFUNCTION("""COMPUTED_VALUE"""),1107.8)</f>
        <v>1107.8</v>
      </c>
      <c r="F464" s="3">
        <f>IFERROR(__xludf.DUMMYFUNCTION("""COMPUTED_VALUE"""),0.0)</f>
        <v>0</v>
      </c>
    </row>
    <row r="465">
      <c r="A465" s="7">
        <f>IFERROR(__xludf.DUMMYFUNCTION("""COMPUTED_VALUE"""),37392.645833333336)</f>
        <v>37392.64583</v>
      </c>
      <c r="B465" s="3">
        <f>IFERROR(__xludf.DUMMYFUNCTION("""COMPUTED_VALUE"""),1108.25)</f>
        <v>1108.25</v>
      </c>
      <c r="C465" s="3">
        <f>IFERROR(__xludf.DUMMYFUNCTION("""COMPUTED_VALUE"""),1111.25)</f>
        <v>1111.25</v>
      </c>
      <c r="D465" s="3">
        <f>IFERROR(__xludf.DUMMYFUNCTION("""COMPUTED_VALUE"""),1089.85)</f>
        <v>1089.85</v>
      </c>
      <c r="E465" s="3">
        <f>IFERROR(__xludf.DUMMYFUNCTION("""COMPUTED_VALUE"""),1092.8)</f>
        <v>1092.8</v>
      </c>
      <c r="F465" s="3">
        <f>IFERROR(__xludf.DUMMYFUNCTION("""COMPUTED_VALUE"""),0.0)</f>
        <v>0</v>
      </c>
    </row>
    <row r="466">
      <c r="A466" s="7">
        <f>IFERROR(__xludf.DUMMYFUNCTION("""COMPUTED_VALUE"""),37393.645833333336)</f>
        <v>37393.64583</v>
      </c>
      <c r="B466" s="3">
        <f>IFERROR(__xludf.DUMMYFUNCTION("""COMPUTED_VALUE"""),1092.8)</f>
        <v>1092.8</v>
      </c>
      <c r="C466" s="3">
        <f>IFERROR(__xludf.DUMMYFUNCTION("""COMPUTED_VALUE"""),1099.75)</f>
        <v>1099.75</v>
      </c>
      <c r="D466" s="3">
        <f>IFERROR(__xludf.DUMMYFUNCTION("""COMPUTED_VALUE"""),1079.95)</f>
        <v>1079.95</v>
      </c>
      <c r="E466" s="3">
        <f>IFERROR(__xludf.DUMMYFUNCTION("""COMPUTED_VALUE"""),1090.65)</f>
        <v>1090.65</v>
      </c>
      <c r="F466" s="3">
        <f>IFERROR(__xludf.DUMMYFUNCTION("""COMPUTED_VALUE"""),0.0)</f>
        <v>0</v>
      </c>
    </row>
    <row r="467">
      <c r="A467" s="7">
        <f>IFERROR(__xludf.DUMMYFUNCTION("""COMPUTED_VALUE"""),37396.645833333336)</f>
        <v>37396.64583</v>
      </c>
      <c r="B467" s="3">
        <f>IFERROR(__xludf.DUMMYFUNCTION("""COMPUTED_VALUE"""),1091.7)</f>
        <v>1091.7</v>
      </c>
      <c r="C467" s="3">
        <f>IFERROR(__xludf.DUMMYFUNCTION("""COMPUTED_VALUE"""),1097.95)</f>
        <v>1097.95</v>
      </c>
      <c r="D467" s="3">
        <f>IFERROR(__xludf.DUMMYFUNCTION("""COMPUTED_VALUE"""),1071.35)</f>
        <v>1071.35</v>
      </c>
      <c r="E467" s="3">
        <f>IFERROR(__xludf.DUMMYFUNCTION("""COMPUTED_VALUE"""),1074.35)</f>
        <v>1074.35</v>
      </c>
      <c r="F467" s="3">
        <f>IFERROR(__xludf.DUMMYFUNCTION("""COMPUTED_VALUE"""),0.0)</f>
        <v>0</v>
      </c>
    </row>
    <row r="468">
      <c r="A468" s="7">
        <f>IFERROR(__xludf.DUMMYFUNCTION("""COMPUTED_VALUE"""),37397.645833333336)</f>
        <v>37397.64583</v>
      </c>
      <c r="B468" s="3">
        <f>IFERROR(__xludf.DUMMYFUNCTION("""COMPUTED_VALUE"""),1074.75)</f>
        <v>1074.75</v>
      </c>
      <c r="C468" s="3">
        <f>IFERROR(__xludf.DUMMYFUNCTION("""COMPUTED_VALUE"""),1074.85)</f>
        <v>1074.85</v>
      </c>
      <c r="D468" s="3">
        <f>IFERROR(__xludf.DUMMYFUNCTION("""COMPUTED_VALUE"""),1028.25)</f>
        <v>1028.25</v>
      </c>
      <c r="E468" s="3">
        <f>IFERROR(__xludf.DUMMYFUNCTION("""COMPUTED_VALUE"""),1049.2)</f>
        <v>1049.2</v>
      </c>
      <c r="F468" s="3">
        <f>IFERROR(__xludf.DUMMYFUNCTION("""COMPUTED_VALUE"""),0.0)</f>
        <v>0</v>
      </c>
    </row>
    <row r="469">
      <c r="A469" s="7">
        <f>IFERROR(__xludf.DUMMYFUNCTION("""COMPUTED_VALUE"""),37398.645833333336)</f>
        <v>37398.64583</v>
      </c>
      <c r="B469" s="3">
        <f>IFERROR(__xludf.DUMMYFUNCTION("""COMPUTED_VALUE"""),1049.5)</f>
        <v>1049.5</v>
      </c>
      <c r="C469" s="3">
        <f>IFERROR(__xludf.DUMMYFUNCTION("""COMPUTED_VALUE"""),1050.9)</f>
        <v>1050.9</v>
      </c>
      <c r="D469" s="3">
        <f>IFERROR(__xludf.DUMMYFUNCTION("""COMPUTED_VALUE"""),1035.5)</f>
        <v>1035.5</v>
      </c>
      <c r="E469" s="3">
        <f>IFERROR(__xludf.DUMMYFUNCTION("""COMPUTED_VALUE"""),1045.3)</f>
        <v>1045.3</v>
      </c>
      <c r="F469" s="3">
        <f>IFERROR(__xludf.DUMMYFUNCTION("""COMPUTED_VALUE"""),0.0)</f>
        <v>0</v>
      </c>
    </row>
    <row r="470">
      <c r="A470" s="7">
        <f>IFERROR(__xludf.DUMMYFUNCTION("""COMPUTED_VALUE"""),37399.645833333336)</f>
        <v>37399.64583</v>
      </c>
      <c r="B470" s="3">
        <f>IFERROR(__xludf.DUMMYFUNCTION("""COMPUTED_VALUE"""),1045.2)</f>
        <v>1045.2</v>
      </c>
      <c r="C470" s="3">
        <f>IFERROR(__xludf.DUMMYFUNCTION("""COMPUTED_VALUE"""),1045.35)</f>
        <v>1045.35</v>
      </c>
      <c r="D470" s="3">
        <f>IFERROR(__xludf.DUMMYFUNCTION("""COMPUTED_VALUE"""),1024.3)</f>
        <v>1024.3</v>
      </c>
      <c r="E470" s="3">
        <f>IFERROR(__xludf.DUMMYFUNCTION("""COMPUTED_VALUE"""),1026.75)</f>
        <v>1026.75</v>
      </c>
      <c r="F470" s="3">
        <f>IFERROR(__xludf.DUMMYFUNCTION("""COMPUTED_VALUE"""),0.0)</f>
        <v>0</v>
      </c>
    </row>
    <row r="471">
      <c r="A471" s="7">
        <f>IFERROR(__xludf.DUMMYFUNCTION("""COMPUTED_VALUE"""),37400.645833333336)</f>
        <v>37400.64583</v>
      </c>
      <c r="B471" s="3">
        <f>IFERROR(__xludf.DUMMYFUNCTION("""COMPUTED_VALUE"""),1026.9)</f>
        <v>1026.9</v>
      </c>
      <c r="C471" s="3">
        <f>IFERROR(__xludf.DUMMYFUNCTION("""COMPUTED_VALUE"""),1069.2)</f>
        <v>1069.2</v>
      </c>
      <c r="D471" s="3">
        <f>IFERROR(__xludf.DUMMYFUNCTION("""COMPUTED_VALUE"""),1026.9)</f>
        <v>1026.9</v>
      </c>
      <c r="E471" s="3">
        <f>IFERROR(__xludf.DUMMYFUNCTION("""COMPUTED_VALUE"""),1067.0)</f>
        <v>1067</v>
      </c>
      <c r="F471" s="3">
        <f>IFERROR(__xludf.DUMMYFUNCTION("""COMPUTED_VALUE"""),0.0)</f>
        <v>0</v>
      </c>
    </row>
    <row r="472">
      <c r="A472" s="7">
        <f>IFERROR(__xludf.DUMMYFUNCTION("""COMPUTED_VALUE"""),37403.645833333336)</f>
        <v>37403.64583</v>
      </c>
      <c r="B472" s="3">
        <f>IFERROR(__xludf.DUMMYFUNCTION("""COMPUTED_VALUE"""),1067.0)</f>
        <v>1067</v>
      </c>
      <c r="C472" s="3">
        <f>IFERROR(__xludf.DUMMYFUNCTION("""COMPUTED_VALUE"""),1071.5)</f>
        <v>1071.5</v>
      </c>
      <c r="D472" s="3">
        <f>IFERROR(__xludf.DUMMYFUNCTION("""COMPUTED_VALUE"""),1054.1)</f>
        <v>1054.1</v>
      </c>
      <c r="E472" s="3">
        <f>IFERROR(__xludf.DUMMYFUNCTION("""COMPUTED_VALUE"""),1062.7)</f>
        <v>1062.7</v>
      </c>
      <c r="F472" s="3">
        <f>IFERROR(__xludf.DUMMYFUNCTION("""COMPUTED_VALUE"""),0.0)</f>
        <v>0</v>
      </c>
    </row>
    <row r="473">
      <c r="A473" s="7">
        <f>IFERROR(__xludf.DUMMYFUNCTION("""COMPUTED_VALUE"""),37404.645833333336)</f>
        <v>37404.64583</v>
      </c>
      <c r="B473" s="3">
        <f>IFERROR(__xludf.DUMMYFUNCTION("""COMPUTED_VALUE"""),1061.9)</f>
        <v>1061.9</v>
      </c>
      <c r="C473" s="3">
        <f>IFERROR(__xludf.DUMMYFUNCTION("""COMPUTED_VALUE"""),1062.3)</f>
        <v>1062.3</v>
      </c>
      <c r="D473" s="3">
        <f>IFERROR(__xludf.DUMMYFUNCTION("""COMPUTED_VALUE"""),1034.1)</f>
        <v>1034.1</v>
      </c>
      <c r="E473" s="3">
        <f>IFERROR(__xludf.DUMMYFUNCTION("""COMPUTED_VALUE"""),1038.2)</f>
        <v>1038.2</v>
      </c>
      <c r="F473" s="3">
        <f>IFERROR(__xludf.DUMMYFUNCTION("""COMPUTED_VALUE"""),0.0)</f>
        <v>0</v>
      </c>
    </row>
    <row r="474">
      <c r="A474" s="7">
        <f>IFERROR(__xludf.DUMMYFUNCTION("""COMPUTED_VALUE"""),37405.645833333336)</f>
        <v>37405.64583</v>
      </c>
      <c r="B474" s="3">
        <f>IFERROR(__xludf.DUMMYFUNCTION("""COMPUTED_VALUE"""),1038.2)</f>
        <v>1038.2</v>
      </c>
      <c r="C474" s="3">
        <f>IFERROR(__xludf.DUMMYFUNCTION("""COMPUTED_VALUE"""),1047.95)</f>
        <v>1047.95</v>
      </c>
      <c r="D474" s="3">
        <f>IFERROR(__xludf.DUMMYFUNCTION("""COMPUTED_VALUE"""),1026.5)</f>
        <v>1026.5</v>
      </c>
      <c r="E474" s="3">
        <f>IFERROR(__xludf.DUMMYFUNCTION("""COMPUTED_VALUE"""),1041.65)</f>
        <v>1041.65</v>
      </c>
      <c r="F474" s="3">
        <f>IFERROR(__xludf.DUMMYFUNCTION("""COMPUTED_VALUE"""),0.0)</f>
        <v>0</v>
      </c>
    </row>
    <row r="475">
      <c r="A475" s="7">
        <f>IFERROR(__xludf.DUMMYFUNCTION("""COMPUTED_VALUE"""),37406.645833333336)</f>
        <v>37406.64583</v>
      </c>
      <c r="B475" s="3">
        <f>IFERROR(__xludf.DUMMYFUNCTION("""COMPUTED_VALUE"""),1041.4)</f>
        <v>1041.4</v>
      </c>
      <c r="C475" s="3">
        <f>IFERROR(__xludf.DUMMYFUNCTION("""COMPUTED_VALUE"""),1049.95)</f>
        <v>1049.95</v>
      </c>
      <c r="D475" s="3">
        <f>IFERROR(__xludf.DUMMYFUNCTION("""COMPUTED_VALUE"""),1030.1)</f>
        <v>1030.1</v>
      </c>
      <c r="E475" s="3">
        <f>IFERROR(__xludf.DUMMYFUNCTION("""COMPUTED_VALUE"""),1032.15)</f>
        <v>1032.15</v>
      </c>
      <c r="F475" s="3">
        <f>IFERROR(__xludf.DUMMYFUNCTION("""COMPUTED_VALUE"""),0.0)</f>
        <v>0</v>
      </c>
    </row>
    <row r="476">
      <c r="A476" s="7">
        <f>IFERROR(__xludf.DUMMYFUNCTION("""COMPUTED_VALUE"""),37407.645833333336)</f>
        <v>37407.64583</v>
      </c>
      <c r="B476" s="3">
        <f>IFERROR(__xludf.DUMMYFUNCTION("""COMPUTED_VALUE"""),1032.5)</f>
        <v>1032.5</v>
      </c>
      <c r="C476" s="3">
        <f>IFERROR(__xludf.DUMMYFUNCTION("""COMPUTED_VALUE"""),1037.7)</f>
        <v>1037.7</v>
      </c>
      <c r="D476" s="3">
        <f>IFERROR(__xludf.DUMMYFUNCTION("""COMPUTED_VALUE"""),1020.1)</f>
        <v>1020.1</v>
      </c>
      <c r="E476" s="3">
        <f>IFERROR(__xludf.DUMMYFUNCTION("""COMPUTED_VALUE"""),1028.8)</f>
        <v>1028.8</v>
      </c>
      <c r="F476" s="3">
        <f>IFERROR(__xludf.DUMMYFUNCTION("""COMPUTED_VALUE"""),0.0)</f>
        <v>0</v>
      </c>
    </row>
    <row r="477">
      <c r="A477" s="7">
        <f>IFERROR(__xludf.DUMMYFUNCTION("""COMPUTED_VALUE"""),37410.645833333336)</f>
        <v>37410.64583</v>
      </c>
      <c r="B477" s="3">
        <f>IFERROR(__xludf.DUMMYFUNCTION("""COMPUTED_VALUE"""),1029.25)</f>
        <v>1029.25</v>
      </c>
      <c r="C477" s="3">
        <f>IFERROR(__xludf.DUMMYFUNCTION("""COMPUTED_VALUE"""),1047.25)</f>
        <v>1047.25</v>
      </c>
      <c r="D477" s="3">
        <f>IFERROR(__xludf.DUMMYFUNCTION("""COMPUTED_VALUE"""),1029.25)</f>
        <v>1029.25</v>
      </c>
      <c r="E477" s="3">
        <f>IFERROR(__xludf.DUMMYFUNCTION("""COMPUTED_VALUE"""),1039.75)</f>
        <v>1039.75</v>
      </c>
      <c r="F477" s="3">
        <f>IFERROR(__xludf.DUMMYFUNCTION("""COMPUTED_VALUE"""),0.0)</f>
        <v>0</v>
      </c>
    </row>
    <row r="478">
      <c r="A478" s="7">
        <f>IFERROR(__xludf.DUMMYFUNCTION("""COMPUTED_VALUE"""),37411.645833333336)</f>
        <v>37411.64583</v>
      </c>
      <c r="B478" s="3">
        <f>IFERROR(__xludf.DUMMYFUNCTION("""COMPUTED_VALUE"""),1040.15)</f>
        <v>1040.15</v>
      </c>
      <c r="C478" s="3">
        <f>IFERROR(__xludf.DUMMYFUNCTION("""COMPUTED_VALUE"""),1047.4)</f>
        <v>1047.4</v>
      </c>
      <c r="D478" s="3">
        <f>IFERROR(__xludf.DUMMYFUNCTION("""COMPUTED_VALUE"""),1036.55)</f>
        <v>1036.55</v>
      </c>
      <c r="E478" s="3">
        <f>IFERROR(__xludf.DUMMYFUNCTION("""COMPUTED_VALUE"""),1045.4)</f>
        <v>1045.4</v>
      </c>
      <c r="F478" s="3">
        <f>IFERROR(__xludf.DUMMYFUNCTION("""COMPUTED_VALUE"""),0.0)</f>
        <v>0</v>
      </c>
    </row>
    <row r="479">
      <c r="A479" s="7">
        <f>IFERROR(__xludf.DUMMYFUNCTION("""COMPUTED_VALUE"""),37412.645833333336)</f>
        <v>37412.64583</v>
      </c>
      <c r="B479" s="3">
        <f>IFERROR(__xludf.DUMMYFUNCTION("""COMPUTED_VALUE"""),1045.55)</f>
        <v>1045.55</v>
      </c>
      <c r="C479" s="3">
        <f>IFERROR(__xludf.DUMMYFUNCTION("""COMPUTED_VALUE"""),1067.5)</f>
        <v>1067.5</v>
      </c>
      <c r="D479" s="3">
        <f>IFERROR(__xludf.DUMMYFUNCTION("""COMPUTED_VALUE"""),1045.0)</f>
        <v>1045</v>
      </c>
      <c r="E479" s="3">
        <f>IFERROR(__xludf.DUMMYFUNCTION("""COMPUTED_VALUE"""),1064.2)</f>
        <v>1064.2</v>
      </c>
      <c r="F479" s="3">
        <f>IFERROR(__xludf.DUMMYFUNCTION("""COMPUTED_VALUE"""),0.0)</f>
        <v>0</v>
      </c>
    </row>
    <row r="480">
      <c r="A480" s="7">
        <f>IFERROR(__xludf.DUMMYFUNCTION("""COMPUTED_VALUE"""),37413.645833333336)</f>
        <v>37413.64583</v>
      </c>
      <c r="B480" s="3">
        <f>IFERROR(__xludf.DUMMYFUNCTION("""COMPUTED_VALUE"""),1064.15)</f>
        <v>1064.15</v>
      </c>
      <c r="C480" s="3">
        <f>IFERROR(__xludf.DUMMYFUNCTION("""COMPUTED_VALUE"""),1072.0)</f>
        <v>1072</v>
      </c>
      <c r="D480" s="3">
        <f>IFERROR(__xludf.DUMMYFUNCTION("""COMPUTED_VALUE"""),1055.5)</f>
        <v>1055.5</v>
      </c>
      <c r="E480" s="3">
        <f>IFERROR(__xludf.DUMMYFUNCTION("""COMPUTED_VALUE"""),1064.35)</f>
        <v>1064.35</v>
      </c>
      <c r="F480" s="3">
        <f>IFERROR(__xludf.DUMMYFUNCTION("""COMPUTED_VALUE"""),0.0)</f>
        <v>0</v>
      </c>
    </row>
    <row r="481">
      <c r="A481" s="7">
        <f>IFERROR(__xludf.DUMMYFUNCTION("""COMPUTED_VALUE"""),37414.645833333336)</f>
        <v>37414.64583</v>
      </c>
      <c r="B481" s="3">
        <f>IFERROR(__xludf.DUMMYFUNCTION("""COMPUTED_VALUE"""),1063.75)</f>
        <v>1063.75</v>
      </c>
      <c r="C481" s="3">
        <f>IFERROR(__xludf.DUMMYFUNCTION("""COMPUTED_VALUE"""),1063.75)</f>
        <v>1063.75</v>
      </c>
      <c r="D481" s="3">
        <f>IFERROR(__xludf.DUMMYFUNCTION("""COMPUTED_VALUE"""),1044.35)</f>
        <v>1044.35</v>
      </c>
      <c r="E481" s="3">
        <f>IFERROR(__xludf.DUMMYFUNCTION("""COMPUTED_VALUE"""),1048.8)</f>
        <v>1048.8</v>
      </c>
      <c r="F481" s="3">
        <f>IFERROR(__xludf.DUMMYFUNCTION("""COMPUTED_VALUE"""),0.0)</f>
        <v>0</v>
      </c>
    </row>
    <row r="482">
      <c r="A482" s="7">
        <f>IFERROR(__xludf.DUMMYFUNCTION("""COMPUTED_VALUE"""),37417.645833333336)</f>
        <v>37417.64583</v>
      </c>
      <c r="B482" s="3">
        <f>IFERROR(__xludf.DUMMYFUNCTION("""COMPUTED_VALUE"""),1049.95)</f>
        <v>1049.95</v>
      </c>
      <c r="C482" s="3">
        <f>IFERROR(__xludf.DUMMYFUNCTION("""COMPUTED_VALUE"""),1072.5)</f>
        <v>1072.5</v>
      </c>
      <c r="D482" s="3">
        <f>IFERROR(__xludf.DUMMYFUNCTION("""COMPUTED_VALUE"""),1049.95)</f>
        <v>1049.95</v>
      </c>
      <c r="E482" s="3">
        <f>IFERROR(__xludf.DUMMYFUNCTION("""COMPUTED_VALUE"""),1069.9)</f>
        <v>1069.9</v>
      </c>
      <c r="F482" s="3">
        <f>IFERROR(__xludf.DUMMYFUNCTION("""COMPUTED_VALUE"""),0.0)</f>
        <v>0</v>
      </c>
    </row>
    <row r="483">
      <c r="A483" s="7">
        <f>IFERROR(__xludf.DUMMYFUNCTION("""COMPUTED_VALUE"""),37418.645833333336)</f>
        <v>37418.64583</v>
      </c>
      <c r="B483" s="3">
        <f>IFERROR(__xludf.DUMMYFUNCTION("""COMPUTED_VALUE"""),1070.95)</f>
        <v>1070.95</v>
      </c>
      <c r="C483" s="3">
        <f>IFERROR(__xludf.DUMMYFUNCTION("""COMPUTED_VALUE"""),1099.5)</f>
        <v>1099.5</v>
      </c>
      <c r="D483" s="3">
        <f>IFERROR(__xludf.DUMMYFUNCTION("""COMPUTED_VALUE"""),1070.55)</f>
        <v>1070.55</v>
      </c>
      <c r="E483" s="3">
        <f>IFERROR(__xludf.DUMMYFUNCTION("""COMPUTED_VALUE"""),1097.05)</f>
        <v>1097.05</v>
      </c>
      <c r="F483" s="3">
        <f>IFERROR(__xludf.DUMMYFUNCTION("""COMPUTED_VALUE"""),0.0)</f>
        <v>0</v>
      </c>
    </row>
    <row r="484">
      <c r="A484" s="7">
        <f>IFERROR(__xludf.DUMMYFUNCTION("""COMPUTED_VALUE"""),37419.645833333336)</f>
        <v>37419.64583</v>
      </c>
      <c r="B484" s="3">
        <f>IFERROR(__xludf.DUMMYFUNCTION("""COMPUTED_VALUE"""),1097.15)</f>
        <v>1097.15</v>
      </c>
      <c r="C484" s="3">
        <f>IFERROR(__xludf.DUMMYFUNCTION("""COMPUTED_VALUE"""),1100.45)</f>
        <v>1100.45</v>
      </c>
      <c r="D484" s="3">
        <f>IFERROR(__xludf.DUMMYFUNCTION("""COMPUTED_VALUE"""),1088.5)</f>
        <v>1088.5</v>
      </c>
      <c r="E484" s="3">
        <f>IFERROR(__xludf.DUMMYFUNCTION("""COMPUTED_VALUE"""),1092.8)</f>
        <v>1092.8</v>
      </c>
      <c r="F484" s="3">
        <f>IFERROR(__xludf.DUMMYFUNCTION("""COMPUTED_VALUE"""),0.0)</f>
        <v>0</v>
      </c>
    </row>
    <row r="485">
      <c r="A485" s="7">
        <f>IFERROR(__xludf.DUMMYFUNCTION("""COMPUTED_VALUE"""),37420.645833333336)</f>
        <v>37420.64583</v>
      </c>
      <c r="B485" s="3">
        <f>IFERROR(__xludf.DUMMYFUNCTION("""COMPUTED_VALUE"""),1093.0)</f>
        <v>1093</v>
      </c>
      <c r="C485" s="3">
        <f>IFERROR(__xludf.DUMMYFUNCTION("""COMPUTED_VALUE"""),1102.05)</f>
        <v>1102.05</v>
      </c>
      <c r="D485" s="3">
        <f>IFERROR(__xludf.DUMMYFUNCTION("""COMPUTED_VALUE"""),1080.8)</f>
        <v>1080.8</v>
      </c>
      <c r="E485" s="3">
        <f>IFERROR(__xludf.DUMMYFUNCTION("""COMPUTED_VALUE"""),1082.85)</f>
        <v>1082.85</v>
      </c>
      <c r="F485" s="3">
        <f>IFERROR(__xludf.DUMMYFUNCTION("""COMPUTED_VALUE"""),0.0)</f>
        <v>0</v>
      </c>
    </row>
    <row r="486">
      <c r="A486" s="7">
        <f>IFERROR(__xludf.DUMMYFUNCTION("""COMPUTED_VALUE"""),37421.645833333336)</f>
        <v>37421.64583</v>
      </c>
      <c r="B486" s="3">
        <f>IFERROR(__xludf.DUMMYFUNCTION("""COMPUTED_VALUE"""),1081.75)</f>
        <v>1081.75</v>
      </c>
      <c r="C486" s="3">
        <f>IFERROR(__xludf.DUMMYFUNCTION("""COMPUTED_VALUE"""),1087.6)</f>
        <v>1087.6</v>
      </c>
      <c r="D486" s="3">
        <f>IFERROR(__xludf.DUMMYFUNCTION("""COMPUTED_VALUE"""),1079.45)</f>
        <v>1079.45</v>
      </c>
      <c r="E486" s="3">
        <f>IFERROR(__xludf.DUMMYFUNCTION("""COMPUTED_VALUE"""),1085.7)</f>
        <v>1085.7</v>
      </c>
      <c r="F486" s="3">
        <f>IFERROR(__xludf.DUMMYFUNCTION("""COMPUTED_VALUE"""),0.0)</f>
        <v>0</v>
      </c>
    </row>
    <row r="487">
      <c r="A487" s="7">
        <f>IFERROR(__xludf.DUMMYFUNCTION("""COMPUTED_VALUE"""),37424.645833333336)</f>
        <v>37424.64583</v>
      </c>
      <c r="B487" s="3">
        <f>IFERROR(__xludf.DUMMYFUNCTION("""COMPUTED_VALUE"""),1085.8)</f>
        <v>1085.8</v>
      </c>
      <c r="C487" s="3">
        <f>IFERROR(__xludf.DUMMYFUNCTION("""COMPUTED_VALUE"""),1097.55)</f>
        <v>1097.55</v>
      </c>
      <c r="D487" s="3">
        <f>IFERROR(__xludf.DUMMYFUNCTION("""COMPUTED_VALUE"""),1085.7)</f>
        <v>1085.7</v>
      </c>
      <c r="E487" s="3">
        <f>IFERROR(__xludf.DUMMYFUNCTION("""COMPUTED_VALUE"""),1088.9)</f>
        <v>1088.9</v>
      </c>
      <c r="F487" s="3">
        <f>IFERROR(__xludf.DUMMYFUNCTION("""COMPUTED_VALUE"""),0.0)</f>
        <v>0</v>
      </c>
    </row>
    <row r="488">
      <c r="A488" s="7">
        <f>IFERROR(__xludf.DUMMYFUNCTION("""COMPUTED_VALUE"""),37425.645833333336)</f>
        <v>37425.64583</v>
      </c>
      <c r="B488" s="3">
        <f>IFERROR(__xludf.DUMMYFUNCTION("""COMPUTED_VALUE"""),1088.9)</f>
        <v>1088.9</v>
      </c>
      <c r="C488" s="3">
        <f>IFERROR(__xludf.DUMMYFUNCTION("""COMPUTED_VALUE"""),1097.4)</f>
        <v>1097.4</v>
      </c>
      <c r="D488" s="3">
        <f>IFERROR(__xludf.DUMMYFUNCTION("""COMPUTED_VALUE"""),1073.75)</f>
        <v>1073.75</v>
      </c>
      <c r="E488" s="3">
        <f>IFERROR(__xludf.DUMMYFUNCTION("""COMPUTED_VALUE"""),1074.95)</f>
        <v>1074.95</v>
      </c>
      <c r="F488" s="3">
        <f>IFERROR(__xludf.DUMMYFUNCTION("""COMPUTED_VALUE"""),0.0)</f>
        <v>0</v>
      </c>
    </row>
    <row r="489">
      <c r="A489" s="7">
        <f>IFERROR(__xludf.DUMMYFUNCTION("""COMPUTED_VALUE"""),37426.645833333336)</f>
        <v>37426.64583</v>
      </c>
      <c r="B489" s="3">
        <f>IFERROR(__xludf.DUMMYFUNCTION("""COMPUTED_VALUE"""),1074.7)</f>
        <v>1074.7</v>
      </c>
      <c r="C489" s="3">
        <f>IFERROR(__xludf.DUMMYFUNCTION("""COMPUTED_VALUE"""),1079.2)</f>
        <v>1079.2</v>
      </c>
      <c r="D489" s="3">
        <f>IFERROR(__xludf.DUMMYFUNCTION("""COMPUTED_VALUE"""),1056.45)</f>
        <v>1056.45</v>
      </c>
      <c r="E489" s="3">
        <f>IFERROR(__xludf.DUMMYFUNCTION("""COMPUTED_VALUE"""),1062.9)</f>
        <v>1062.9</v>
      </c>
      <c r="F489" s="3">
        <f>IFERROR(__xludf.DUMMYFUNCTION("""COMPUTED_VALUE"""),0.0)</f>
        <v>0</v>
      </c>
    </row>
    <row r="490">
      <c r="A490" s="7">
        <f>IFERROR(__xludf.DUMMYFUNCTION("""COMPUTED_VALUE"""),37427.645833333336)</f>
        <v>37427.64583</v>
      </c>
      <c r="B490" s="3">
        <f>IFERROR(__xludf.DUMMYFUNCTION("""COMPUTED_VALUE"""),1063.1)</f>
        <v>1063.1</v>
      </c>
      <c r="C490" s="3">
        <f>IFERROR(__xludf.DUMMYFUNCTION("""COMPUTED_VALUE"""),1074.0)</f>
        <v>1074</v>
      </c>
      <c r="D490" s="3">
        <f>IFERROR(__xludf.DUMMYFUNCTION("""COMPUTED_VALUE"""),1056.25)</f>
        <v>1056.25</v>
      </c>
      <c r="E490" s="3">
        <f>IFERROR(__xludf.DUMMYFUNCTION("""COMPUTED_VALUE"""),1070.05)</f>
        <v>1070.05</v>
      </c>
      <c r="F490" s="3">
        <f>IFERROR(__xludf.DUMMYFUNCTION("""COMPUTED_VALUE"""),0.0)</f>
        <v>0</v>
      </c>
    </row>
    <row r="491">
      <c r="A491" s="7">
        <f>IFERROR(__xludf.DUMMYFUNCTION("""COMPUTED_VALUE"""),37428.645833333336)</f>
        <v>37428.64583</v>
      </c>
      <c r="B491" s="3">
        <f>IFERROR(__xludf.DUMMYFUNCTION("""COMPUTED_VALUE"""),1069.5)</f>
        <v>1069.5</v>
      </c>
      <c r="C491" s="3">
        <f>IFERROR(__xludf.DUMMYFUNCTION("""COMPUTED_VALUE"""),1069.8)</f>
        <v>1069.8</v>
      </c>
      <c r="D491" s="3">
        <f>IFERROR(__xludf.DUMMYFUNCTION("""COMPUTED_VALUE"""),1058.95)</f>
        <v>1058.95</v>
      </c>
      <c r="E491" s="3">
        <f>IFERROR(__xludf.DUMMYFUNCTION("""COMPUTED_VALUE"""),1062.55)</f>
        <v>1062.55</v>
      </c>
      <c r="F491" s="3">
        <f>IFERROR(__xludf.DUMMYFUNCTION("""COMPUTED_VALUE"""),0.0)</f>
        <v>0</v>
      </c>
    </row>
    <row r="492">
      <c r="A492" s="7">
        <f>IFERROR(__xludf.DUMMYFUNCTION("""COMPUTED_VALUE"""),37431.645833333336)</f>
        <v>37431.64583</v>
      </c>
      <c r="B492" s="3">
        <f>IFERROR(__xludf.DUMMYFUNCTION("""COMPUTED_VALUE"""),1065.6)</f>
        <v>1065.6</v>
      </c>
      <c r="C492" s="3">
        <f>IFERROR(__xludf.DUMMYFUNCTION("""COMPUTED_VALUE"""),1065.6)</f>
        <v>1065.6</v>
      </c>
      <c r="D492" s="3">
        <f>IFERROR(__xludf.DUMMYFUNCTION("""COMPUTED_VALUE"""),1054.45)</f>
        <v>1054.45</v>
      </c>
      <c r="E492" s="3">
        <f>IFERROR(__xludf.DUMMYFUNCTION("""COMPUTED_VALUE"""),1061.85)</f>
        <v>1061.85</v>
      </c>
      <c r="F492" s="3">
        <f>IFERROR(__xludf.DUMMYFUNCTION("""COMPUTED_VALUE"""),0.0)</f>
        <v>0</v>
      </c>
    </row>
    <row r="493">
      <c r="A493" s="7">
        <f>IFERROR(__xludf.DUMMYFUNCTION("""COMPUTED_VALUE"""),37432.645833333336)</f>
        <v>37432.64583</v>
      </c>
      <c r="B493" s="3">
        <f>IFERROR(__xludf.DUMMYFUNCTION("""COMPUTED_VALUE"""),1061.9)</f>
        <v>1061.9</v>
      </c>
      <c r="C493" s="3">
        <f>IFERROR(__xludf.DUMMYFUNCTION("""COMPUTED_VALUE"""),1063.3)</f>
        <v>1063.3</v>
      </c>
      <c r="D493" s="3">
        <f>IFERROR(__xludf.DUMMYFUNCTION("""COMPUTED_VALUE"""),1048.55)</f>
        <v>1048.55</v>
      </c>
      <c r="E493" s="3">
        <f>IFERROR(__xludf.DUMMYFUNCTION("""COMPUTED_VALUE"""),1055.4)</f>
        <v>1055.4</v>
      </c>
      <c r="F493" s="3">
        <f>IFERROR(__xludf.DUMMYFUNCTION("""COMPUTED_VALUE"""),0.0)</f>
        <v>0</v>
      </c>
    </row>
    <row r="494">
      <c r="A494" s="7">
        <f>IFERROR(__xludf.DUMMYFUNCTION("""COMPUTED_VALUE"""),37433.645833333336)</f>
        <v>37433.64583</v>
      </c>
      <c r="B494" s="3">
        <f>IFERROR(__xludf.DUMMYFUNCTION("""COMPUTED_VALUE"""),1055.35)</f>
        <v>1055.35</v>
      </c>
      <c r="C494" s="3">
        <f>IFERROR(__xludf.DUMMYFUNCTION("""COMPUTED_VALUE"""),1061.05)</f>
        <v>1061.05</v>
      </c>
      <c r="D494" s="3">
        <f>IFERROR(__xludf.DUMMYFUNCTION("""COMPUTED_VALUE"""),1042.2)</f>
        <v>1042.2</v>
      </c>
      <c r="E494" s="3">
        <f>IFERROR(__xludf.DUMMYFUNCTION("""COMPUTED_VALUE"""),1044.2)</f>
        <v>1044.2</v>
      </c>
      <c r="F494" s="3">
        <f>IFERROR(__xludf.DUMMYFUNCTION("""COMPUTED_VALUE"""),0.0)</f>
        <v>0</v>
      </c>
    </row>
    <row r="495">
      <c r="A495" s="7">
        <f>IFERROR(__xludf.DUMMYFUNCTION("""COMPUTED_VALUE"""),37434.645833333336)</f>
        <v>37434.64583</v>
      </c>
      <c r="B495" s="3">
        <f>IFERROR(__xludf.DUMMYFUNCTION("""COMPUTED_VALUE"""),1044.5)</f>
        <v>1044.5</v>
      </c>
      <c r="C495" s="3">
        <f>IFERROR(__xludf.DUMMYFUNCTION("""COMPUTED_VALUE"""),1053.7)</f>
        <v>1053.7</v>
      </c>
      <c r="D495" s="3">
        <f>IFERROR(__xludf.DUMMYFUNCTION("""COMPUTED_VALUE"""),1044.0)</f>
        <v>1044</v>
      </c>
      <c r="E495" s="3">
        <f>IFERROR(__xludf.DUMMYFUNCTION("""COMPUTED_VALUE"""),1048.55)</f>
        <v>1048.55</v>
      </c>
      <c r="F495" s="3">
        <f>IFERROR(__xludf.DUMMYFUNCTION("""COMPUTED_VALUE"""),0.0)</f>
        <v>0</v>
      </c>
    </row>
    <row r="496">
      <c r="A496" s="7">
        <f>IFERROR(__xludf.DUMMYFUNCTION("""COMPUTED_VALUE"""),37435.645833333336)</f>
        <v>37435.64583</v>
      </c>
      <c r="B496" s="3">
        <f>IFERROR(__xludf.DUMMYFUNCTION("""COMPUTED_VALUE"""),1049.4)</f>
        <v>1049.4</v>
      </c>
      <c r="C496" s="3">
        <f>IFERROR(__xludf.DUMMYFUNCTION("""COMPUTED_VALUE"""),1068.9)</f>
        <v>1068.9</v>
      </c>
      <c r="D496" s="3">
        <f>IFERROR(__xludf.DUMMYFUNCTION("""COMPUTED_VALUE"""),1049.4)</f>
        <v>1049.4</v>
      </c>
      <c r="E496" s="3">
        <f>IFERROR(__xludf.DUMMYFUNCTION("""COMPUTED_VALUE"""),1057.8)</f>
        <v>1057.8</v>
      </c>
      <c r="F496" s="3">
        <f>IFERROR(__xludf.DUMMYFUNCTION("""COMPUTED_VALUE"""),0.0)</f>
        <v>0</v>
      </c>
    </row>
    <row r="497">
      <c r="A497" s="7">
        <f>IFERROR(__xludf.DUMMYFUNCTION("""COMPUTED_VALUE"""),37438.645833333336)</f>
        <v>37438.64583</v>
      </c>
      <c r="B497" s="3">
        <f>IFERROR(__xludf.DUMMYFUNCTION("""COMPUTED_VALUE"""),1058.0)</f>
        <v>1058</v>
      </c>
      <c r="C497" s="3">
        <f>IFERROR(__xludf.DUMMYFUNCTION("""COMPUTED_VALUE"""),1070.15)</f>
        <v>1070.15</v>
      </c>
      <c r="D497" s="3">
        <f>IFERROR(__xludf.DUMMYFUNCTION("""COMPUTED_VALUE"""),1058.0)</f>
        <v>1058</v>
      </c>
      <c r="E497" s="3">
        <f>IFERROR(__xludf.DUMMYFUNCTION("""COMPUTED_VALUE"""),1068.95)</f>
        <v>1068.95</v>
      </c>
      <c r="F497" s="3">
        <f>IFERROR(__xludf.DUMMYFUNCTION("""COMPUTED_VALUE"""),0.0)</f>
        <v>0</v>
      </c>
    </row>
    <row r="498">
      <c r="A498" s="7">
        <f>IFERROR(__xludf.DUMMYFUNCTION("""COMPUTED_VALUE"""),37439.645833333336)</f>
        <v>37439.64583</v>
      </c>
      <c r="B498" s="3">
        <f>IFERROR(__xludf.DUMMYFUNCTION("""COMPUTED_VALUE"""),1067.9)</f>
        <v>1067.9</v>
      </c>
      <c r="C498" s="3">
        <f>IFERROR(__xludf.DUMMYFUNCTION("""COMPUTED_VALUE"""),1071.7)</f>
        <v>1071.7</v>
      </c>
      <c r="D498" s="3">
        <f>IFERROR(__xludf.DUMMYFUNCTION("""COMPUTED_VALUE"""),1064.95)</f>
        <v>1064.95</v>
      </c>
      <c r="E498" s="3">
        <f>IFERROR(__xludf.DUMMYFUNCTION("""COMPUTED_VALUE"""),1068.05)</f>
        <v>1068.05</v>
      </c>
      <c r="F498" s="3">
        <f>IFERROR(__xludf.DUMMYFUNCTION("""COMPUTED_VALUE"""),0.0)</f>
        <v>0</v>
      </c>
    </row>
    <row r="499">
      <c r="A499" s="7">
        <f>IFERROR(__xludf.DUMMYFUNCTION("""COMPUTED_VALUE"""),37440.645833333336)</f>
        <v>37440.64583</v>
      </c>
      <c r="B499" s="3">
        <f>IFERROR(__xludf.DUMMYFUNCTION("""COMPUTED_VALUE"""),1067.8)</f>
        <v>1067.8</v>
      </c>
      <c r="C499" s="3">
        <f>IFERROR(__xludf.DUMMYFUNCTION("""COMPUTED_VALUE"""),1074.0)</f>
        <v>1074</v>
      </c>
      <c r="D499" s="3">
        <f>IFERROR(__xludf.DUMMYFUNCTION("""COMPUTED_VALUE"""),1065.55)</f>
        <v>1065.55</v>
      </c>
      <c r="E499" s="3">
        <f>IFERROR(__xludf.DUMMYFUNCTION("""COMPUTED_VALUE"""),1069.9)</f>
        <v>1069.9</v>
      </c>
      <c r="F499" s="3">
        <f>IFERROR(__xludf.DUMMYFUNCTION("""COMPUTED_VALUE"""),0.0)</f>
        <v>0</v>
      </c>
    </row>
    <row r="500">
      <c r="A500" s="7">
        <f>IFERROR(__xludf.DUMMYFUNCTION("""COMPUTED_VALUE"""),37441.645833333336)</f>
        <v>37441.64583</v>
      </c>
      <c r="B500" s="3">
        <f>IFERROR(__xludf.DUMMYFUNCTION("""COMPUTED_VALUE"""),1069.95)</f>
        <v>1069.95</v>
      </c>
      <c r="C500" s="3">
        <f>IFERROR(__xludf.DUMMYFUNCTION("""COMPUTED_VALUE"""),1078.55)</f>
        <v>1078.55</v>
      </c>
      <c r="D500" s="3">
        <f>IFERROR(__xludf.DUMMYFUNCTION("""COMPUTED_VALUE"""),1068.4)</f>
        <v>1068.4</v>
      </c>
      <c r="E500" s="3">
        <f>IFERROR(__xludf.DUMMYFUNCTION("""COMPUTED_VALUE"""),1070.55)</f>
        <v>1070.55</v>
      </c>
      <c r="F500" s="3">
        <f>IFERROR(__xludf.DUMMYFUNCTION("""COMPUTED_VALUE"""),0.0)</f>
        <v>0</v>
      </c>
    </row>
    <row r="501">
      <c r="A501" s="7">
        <f>IFERROR(__xludf.DUMMYFUNCTION("""COMPUTED_VALUE"""),37442.645833333336)</f>
        <v>37442.64583</v>
      </c>
      <c r="B501" s="3">
        <f>IFERROR(__xludf.DUMMYFUNCTION("""COMPUTED_VALUE"""),1071.0)</f>
        <v>1071</v>
      </c>
      <c r="C501" s="3">
        <f>IFERROR(__xludf.DUMMYFUNCTION("""COMPUTED_VALUE"""),1076.2)</f>
        <v>1076.2</v>
      </c>
      <c r="D501" s="3">
        <f>IFERROR(__xludf.DUMMYFUNCTION("""COMPUTED_VALUE"""),1067.45)</f>
        <v>1067.45</v>
      </c>
      <c r="E501" s="3">
        <f>IFERROR(__xludf.DUMMYFUNCTION("""COMPUTED_VALUE"""),1073.8)</f>
        <v>1073.8</v>
      </c>
      <c r="F501" s="3">
        <f>IFERROR(__xludf.DUMMYFUNCTION("""COMPUTED_VALUE"""),0.0)</f>
        <v>0</v>
      </c>
    </row>
    <row r="502">
      <c r="A502" s="7">
        <f>IFERROR(__xludf.DUMMYFUNCTION("""COMPUTED_VALUE"""),37445.645833333336)</f>
        <v>37445.64583</v>
      </c>
      <c r="B502" s="3">
        <f>IFERROR(__xludf.DUMMYFUNCTION("""COMPUTED_VALUE"""),1074.0)</f>
        <v>1074</v>
      </c>
      <c r="C502" s="3">
        <f>IFERROR(__xludf.DUMMYFUNCTION("""COMPUTED_VALUE"""),1085.3)</f>
        <v>1085.3</v>
      </c>
      <c r="D502" s="3">
        <f>IFERROR(__xludf.DUMMYFUNCTION("""COMPUTED_VALUE"""),1072.9)</f>
        <v>1072.9</v>
      </c>
      <c r="E502" s="3">
        <f>IFERROR(__xludf.DUMMYFUNCTION("""COMPUTED_VALUE"""),1082.05)</f>
        <v>1082.05</v>
      </c>
      <c r="F502" s="3">
        <f>IFERROR(__xludf.DUMMYFUNCTION("""COMPUTED_VALUE"""),0.0)</f>
        <v>0</v>
      </c>
    </row>
    <row r="503">
      <c r="A503" s="7">
        <f>IFERROR(__xludf.DUMMYFUNCTION("""COMPUTED_VALUE"""),37446.645833333336)</f>
        <v>37446.64583</v>
      </c>
      <c r="B503" s="3">
        <f>IFERROR(__xludf.DUMMYFUNCTION("""COMPUTED_VALUE"""),1081.9)</f>
        <v>1081.9</v>
      </c>
      <c r="C503" s="3">
        <f>IFERROR(__xludf.DUMMYFUNCTION("""COMPUTED_VALUE"""),1083.65)</f>
        <v>1083.65</v>
      </c>
      <c r="D503" s="3">
        <f>IFERROR(__xludf.DUMMYFUNCTION("""COMPUTED_VALUE"""),1077.55)</f>
        <v>1077.55</v>
      </c>
      <c r="E503" s="3">
        <f>IFERROR(__xludf.DUMMYFUNCTION("""COMPUTED_VALUE"""),1080.3)</f>
        <v>1080.3</v>
      </c>
      <c r="F503" s="3">
        <f>IFERROR(__xludf.DUMMYFUNCTION("""COMPUTED_VALUE"""),0.0)</f>
        <v>0</v>
      </c>
    </row>
    <row r="504">
      <c r="A504" s="7">
        <f>IFERROR(__xludf.DUMMYFUNCTION("""COMPUTED_VALUE"""),37447.645833333336)</f>
        <v>37447.64583</v>
      </c>
      <c r="B504" s="3">
        <f>IFERROR(__xludf.DUMMYFUNCTION("""COMPUTED_VALUE"""),1081.55)</f>
        <v>1081.55</v>
      </c>
      <c r="C504" s="3">
        <f>IFERROR(__xludf.DUMMYFUNCTION("""COMPUTED_VALUE"""),1087.4)</f>
        <v>1087.4</v>
      </c>
      <c r="D504" s="3">
        <f>IFERROR(__xludf.DUMMYFUNCTION("""COMPUTED_VALUE"""),1069.45)</f>
        <v>1069.45</v>
      </c>
      <c r="E504" s="3">
        <f>IFERROR(__xludf.DUMMYFUNCTION("""COMPUTED_VALUE"""),1071.7)</f>
        <v>1071.7</v>
      </c>
      <c r="F504" s="3">
        <f>IFERROR(__xludf.DUMMYFUNCTION("""COMPUTED_VALUE"""),0.0)</f>
        <v>0</v>
      </c>
    </row>
    <row r="505">
      <c r="A505" s="7">
        <f>IFERROR(__xludf.DUMMYFUNCTION("""COMPUTED_VALUE"""),37448.645833333336)</f>
        <v>37448.64583</v>
      </c>
      <c r="B505" s="3">
        <f>IFERROR(__xludf.DUMMYFUNCTION("""COMPUTED_VALUE"""),1070.95)</f>
        <v>1070.95</v>
      </c>
      <c r="C505" s="3">
        <f>IFERROR(__xludf.DUMMYFUNCTION("""COMPUTED_VALUE"""),1070.95)</f>
        <v>1070.95</v>
      </c>
      <c r="D505" s="3">
        <f>IFERROR(__xludf.DUMMYFUNCTION("""COMPUTED_VALUE"""),1055.3)</f>
        <v>1055.3</v>
      </c>
      <c r="E505" s="3">
        <f>IFERROR(__xludf.DUMMYFUNCTION("""COMPUTED_VALUE"""),1056.6)</f>
        <v>1056.6</v>
      </c>
      <c r="F505" s="3">
        <f>IFERROR(__xludf.DUMMYFUNCTION("""COMPUTED_VALUE"""),0.0)</f>
        <v>0</v>
      </c>
    </row>
    <row r="506">
      <c r="A506" s="7">
        <f>IFERROR(__xludf.DUMMYFUNCTION("""COMPUTED_VALUE"""),37449.645833333336)</f>
        <v>37449.64583</v>
      </c>
      <c r="B506" s="3">
        <f>IFERROR(__xludf.DUMMYFUNCTION("""COMPUTED_VALUE"""),1057.1)</f>
        <v>1057.1</v>
      </c>
      <c r="C506" s="3">
        <f>IFERROR(__xludf.DUMMYFUNCTION("""COMPUTED_VALUE"""),1064.9)</f>
        <v>1064.9</v>
      </c>
      <c r="D506" s="3">
        <f>IFERROR(__xludf.DUMMYFUNCTION("""COMPUTED_VALUE"""),1054.9)</f>
        <v>1054.9</v>
      </c>
      <c r="E506" s="3">
        <f>IFERROR(__xludf.DUMMYFUNCTION("""COMPUTED_VALUE"""),1058.25)</f>
        <v>1058.25</v>
      </c>
      <c r="F506" s="3">
        <f>IFERROR(__xludf.DUMMYFUNCTION("""COMPUTED_VALUE"""),0.0)</f>
        <v>0</v>
      </c>
    </row>
    <row r="507">
      <c r="A507" s="7">
        <f>IFERROR(__xludf.DUMMYFUNCTION("""COMPUTED_VALUE"""),37452.645833333336)</f>
        <v>37452.64583</v>
      </c>
      <c r="B507" s="3">
        <f>IFERROR(__xludf.DUMMYFUNCTION("""COMPUTED_VALUE"""),1057.95)</f>
        <v>1057.95</v>
      </c>
      <c r="C507" s="3">
        <f>IFERROR(__xludf.DUMMYFUNCTION("""COMPUTED_VALUE"""),1058.45)</f>
        <v>1058.45</v>
      </c>
      <c r="D507" s="3">
        <f>IFERROR(__xludf.DUMMYFUNCTION("""COMPUTED_VALUE"""),1043.3)</f>
        <v>1043.3</v>
      </c>
      <c r="E507" s="3">
        <f>IFERROR(__xludf.DUMMYFUNCTION("""COMPUTED_VALUE"""),1048.0)</f>
        <v>1048</v>
      </c>
      <c r="F507" s="3">
        <f>IFERROR(__xludf.DUMMYFUNCTION("""COMPUTED_VALUE"""),0.0)</f>
        <v>0</v>
      </c>
    </row>
    <row r="508">
      <c r="A508" s="7">
        <f>IFERROR(__xludf.DUMMYFUNCTION("""COMPUTED_VALUE"""),37453.645833333336)</f>
        <v>37453.64583</v>
      </c>
      <c r="B508" s="3">
        <f>IFERROR(__xludf.DUMMYFUNCTION("""COMPUTED_VALUE"""),1047.9)</f>
        <v>1047.9</v>
      </c>
      <c r="C508" s="3">
        <f>IFERROR(__xludf.DUMMYFUNCTION("""COMPUTED_VALUE"""),1051.85)</f>
        <v>1051.85</v>
      </c>
      <c r="D508" s="3">
        <f>IFERROR(__xludf.DUMMYFUNCTION("""COMPUTED_VALUE"""),1033.95)</f>
        <v>1033.95</v>
      </c>
      <c r="E508" s="3">
        <f>IFERROR(__xludf.DUMMYFUNCTION("""COMPUTED_VALUE"""),1035.95)</f>
        <v>1035.95</v>
      </c>
      <c r="F508" s="3">
        <f>IFERROR(__xludf.DUMMYFUNCTION("""COMPUTED_VALUE"""),0.0)</f>
        <v>0</v>
      </c>
    </row>
    <row r="509">
      <c r="A509" s="7">
        <f>IFERROR(__xludf.DUMMYFUNCTION("""COMPUTED_VALUE"""),37454.645833333336)</f>
        <v>37454.64583</v>
      </c>
      <c r="B509" s="3">
        <f>IFERROR(__xludf.DUMMYFUNCTION("""COMPUTED_VALUE"""),1035.95)</f>
        <v>1035.95</v>
      </c>
      <c r="C509" s="3">
        <f>IFERROR(__xludf.DUMMYFUNCTION("""COMPUTED_VALUE"""),1037.5)</f>
        <v>1037.5</v>
      </c>
      <c r="D509" s="3">
        <f>IFERROR(__xludf.DUMMYFUNCTION("""COMPUTED_VALUE"""),1025.0)</f>
        <v>1025</v>
      </c>
      <c r="E509" s="3">
        <f>IFERROR(__xludf.DUMMYFUNCTION("""COMPUTED_VALUE"""),1032.55)</f>
        <v>1032.55</v>
      </c>
      <c r="F509" s="3">
        <f>IFERROR(__xludf.DUMMYFUNCTION("""COMPUTED_VALUE"""),0.0)</f>
        <v>0</v>
      </c>
    </row>
    <row r="510">
      <c r="A510" s="7">
        <f>IFERROR(__xludf.DUMMYFUNCTION("""COMPUTED_VALUE"""),37455.645833333336)</f>
        <v>37455.64583</v>
      </c>
      <c r="B510" s="3">
        <f>IFERROR(__xludf.DUMMYFUNCTION("""COMPUTED_VALUE"""),1032.55)</f>
        <v>1032.55</v>
      </c>
      <c r="C510" s="3">
        <f>IFERROR(__xludf.DUMMYFUNCTION("""COMPUTED_VALUE"""),1044.0)</f>
        <v>1044</v>
      </c>
      <c r="D510" s="3">
        <f>IFERROR(__xludf.DUMMYFUNCTION("""COMPUTED_VALUE"""),1032.55)</f>
        <v>1032.55</v>
      </c>
      <c r="E510" s="3">
        <f>IFERROR(__xludf.DUMMYFUNCTION("""COMPUTED_VALUE"""),1041.3)</f>
        <v>1041.3</v>
      </c>
      <c r="F510" s="3">
        <f>IFERROR(__xludf.DUMMYFUNCTION("""COMPUTED_VALUE"""),0.0)</f>
        <v>0</v>
      </c>
    </row>
    <row r="511">
      <c r="A511" s="7">
        <f>IFERROR(__xludf.DUMMYFUNCTION("""COMPUTED_VALUE"""),37456.645833333336)</f>
        <v>37456.64583</v>
      </c>
      <c r="B511" s="3">
        <f>IFERROR(__xludf.DUMMYFUNCTION("""COMPUTED_VALUE"""),1041.35)</f>
        <v>1041.35</v>
      </c>
      <c r="C511" s="3">
        <f>IFERROR(__xludf.DUMMYFUNCTION("""COMPUTED_VALUE"""),1041.5)</f>
        <v>1041.5</v>
      </c>
      <c r="D511" s="3">
        <f>IFERROR(__xludf.DUMMYFUNCTION("""COMPUTED_VALUE"""),1032.25)</f>
        <v>1032.25</v>
      </c>
      <c r="E511" s="3">
        <f>IFERROR(__xludf.DUMMYFUNCTION("""COMPUTED_VALUE"""),1035.9)</f>
        <v>1035.9</v>
      </c>
      <c r="F511" s="3">
        <f>IFERROR(__xludf.DUMMYFUNCTION("""COMPUTED_VALUE"""),0.0)</f>
        <v>0</v>
      </c>
    </row>
    <row r="512">
      <c r="A512" s="7">
        <f>IFERROR(__xludf.DUMMYFUNCTION("""COMPUTED_VALUE"""),37459.645833333336)</f>
        <v>37459.64583</v>
      </c>
      <c r="B512" s="3">
        <f>IFERROR(__xludf.DUMMYFUNCTION("""COMPUTED_VALUE"""),1035.2)</f>
        <v>1035.2</v>
      </c>
      <c r="C512" s="3">
        <f>IFERROR(__xludf.DUMMYFUNCTION("""COMPUTED_VALUE"""),1035.2)</f>
        <v>1035.2</v>
      </c>
      <c r="D512" s="3">
        <f>IFERROR(__xludf.DUMMYFUNCTION("""COMPUTED_VALUE"""),1009.0)</f>
        <v>1009</v>
      </c>
      <c r="E512" s="3">
        <f>IFERROR(__xludf.DUMMYFUNCTION("""COMPUTED_VALUE"""),1012.0)</f>
        <v>1012</v>
      </c>
      <c r="F512" s="3">
        <f>IFERROR(__xludf.DUMMYFUNCTION("""COMPUTED_VALUE"""),0.0)</f>
        <v>0</v>
      </c>
    </row>
    <row r="513">
      <c r="A513" s="7">
        <f>IFERROR(__xludf.DUMMYFUNCTION("""COMPUTED_VALUE"""),37460.645833333336)</f>
        <v>37460.64583</v>
      </c>
      <c r="B513" s="3">
        <f>IFERROR(__xludf.DUMMYFUNCTION("""COMPUTED_VALUE"""),1012.05)</f>
        <v>1012.05</v>
      </c>
      <c r="C513" s="3">
        <f>IFERROR(__xludf.DUMMYFUNCTION("""COMPUTED_VALUE"""),1023.65)</f>
        <v>1023.65</v>
      </c>
      <c r="D513" s="3">
        <f>IFERROR(__xludf.DUMMYFUNCTION("""COMPUTED_VALUE"""),1005.75)</f>
        <v>1005.75</v>
      </c>
      <c r="E513" s="3">
        <f>IFERROR(__xludf.DUMMYFUNCTION("""COMPUTED_VALUE"""),1021.9)</f>
        <v>1021.9</v>
      </c>
      <c r="F513" s="3">
        <f>IFERROR(__xludf.DUMMYFUNCTION("""COMPUTED_VALUE"""),0.0)</f>
        <v>0</v>
      </c>
    </row>
    <row r="514">
      <c r="A514" s="7">
        <f>IFERROR(__xludf.DUMMYFUNCTION("""COMPUTED_VALUE"""),37461.645833333336)</f>
        <v>37461.64583</v>
      </c>
      <c r="B514" s="3">
        <f>IFERROR(__xludf.DUMMYFUNCTION("""COMPUTED_VALUE"""),1021.8)</f>
        <v>1021.8</v>
      </c>
      <c r="C514" s="3">
        <f>IFERROR(__xludf.DUMMYFUNCTION("""COMPUTED_VALUE"""),1022.2)</f>
        <v>1022.2</v>
      </c>
      <c r="D514" s="3">
        <f>IFERROR(__xludf.DUMMYFUNCTION("""COMPUTED_VALUE"""),1001.9)</f>
        <v>1001.9</v>
      </c>
      <c r="E514" s="3">
        <f>IFERROR(__xludf.DUMMYFUNCTION("""COMPUTED_VALUE"""),1004.05)</f>
        <v>1004.05</v>
      </c>
      <c r="F514" s="3">
        <f>IFERROR(__xludf.DUMMYFUNCTION("""COMPUTED_VALUE"""),0.0)</f>
        <v>0</v>
      </c>
    </row>
    <row r="515">
      <c r="A515" s="7">
        <f>IFERROR(__xludf.DUMMYFUNCTION("""COMPUTED_VALUE"""),37462.645833333336)</f>
        <v>37462.64583</v>
      </c>
      <c r="B515" s="3">
        <f>IFERROR(__xludf.DUMMYFUNCTION("""COMPUTED_VALUE"""),1004.2)</f>
        <v>1004.2</v>
      </c>
      <c r="C515" s="3">
        <f>IFERROR(__xludf.DUMMYFUNCTION("""COMPUTED_VALUE"""),1021.3)</f>
        <v>1021.3</v>
      </c>
      <c r="D515" s="3">
        <f>IFERROR(__xludf.DUMMYFUNCTION("""COMPUTED_VALUE"""),997.85)</f>
        <v>997.85</v>
      </c>
      <c r="E515" s="3">
        <f>IFERROR(__xludf.DUMMYFUNCTION("""COMPUTED_VALUE"""),1001.55)</f>
        <v>1001.55</v>
      </c>
      <c r="F515" s="3">
        <f>IFERROR(__xludf.DUMMYFUNCTION("""COMPUTED_VALUE"""),0.0)</f>
        <v>0</v>
      </c>
    </row>
    <row r="516">
      <c r="A516" s="7">
        <f>IFERROR(__xludf.DUMMYFUNCTION("""COMPUTED_VALUE"""),37463.645833333336)</f>
        <v>37463.64583</v>
      </c>
      <c r="B516" s="3">
        <f>IFERROR(__xludf.DUMMYFUNCTION("""COMPUTED_VALUE"""),1001.05)</f>
        <v>1001.05</v>
      </c>
      <c r="C516" s="3">
        <f>IFERROR(__xludf.DUMMYFUNCTION("""COMPUTED_VALUE"""),1001.05)</f>
        <v>1001.05</v>
      </c>
      <c r="D516" s="3">
        <f>IFERROR(__xludf.DUMMYFUNCTION("""COMPUTED_VALUE"""),972.55)</f>
        <v>972.55</v>
      </c>
      <c r="E516" s="3">
        <f>IFERROR(__xludf.DUMMYFUNCTION("""COMPUTED_VALUE"""),973.5)</f>
        <v>973.5</v>
      </c>
      <c r="F516" s="3">
        <f>IFERROR(__xludf.DUMMYFUNCTION("""COMPUTED_VALUE"""),0.0)</f>
        <v>0</v>
      </c>
    </row>
    <row r="517">
      <c r="A517" s="7">
        <f>IFERROR(__xludf.DUMMYFUNCTION("""COMPUTED_VALUE"""),37466.645833333336)</f>
        <v>37466.64583</v>
      </c>
      <c r="B517" s="3">
        <f>IFERROR(__xludf.DUMMYFUNCTION("""COMPUTED_VALUE"""),973.0)</f>
        <v>973</v>
      </c>
      <c r="C517" s="3">
        <f>IFERROR(__xludf.DUMMYFUNCTION("""COMPUTED_VALUE"""),977.95)</f>
        <v>977.95</v>
      </c>
      <c r="D517" s="3">
        <f>IFERROR(__xludf.DUMMYFUNCTION("""COMPUTED_VALUE"""),953.15)</f>
        <v>953.15</v>
      </c>
      <c r="E517" s="3">
        <f>IFERROR(__xludf.DUMMYFUNCTION("""COMPUTED_VALUE"""),971.65)</f>
        <v>971.65</v>
      </c>
      <c r="F517" s="3">
        <f>IFERROR(__xludf.DUMMYFUNCTION("""COMPUTED_VALUE"""),0.0)</f>
        <v>0</v>
      </c>
    </row>
    <row r="518">
      <c r="A518" s="7">
        <f>IFERROR(__xludf.DUMMYFUNCTION("""COMPUTED_VALUE"""),37467.645833333336)</f>
        <v>37467.64583</v>
      </c>
      <c r="B518" s="3">
        <f>IFERROR(__xludf.DUMMYFUNCTION("""COMPUTED_VALUE"""),973.0)</f>
        <v>973</v>
      </c>
      <c r="C518" s="3">
        <f>IFERROR(__xludf.DUMMYFUNCTION("""COMPUTED_VALUE"""),987.5)</f>
        <v>987.5</v>
      </c>
      <c r="D518" s="3">
        <f>IFERROR(__xludf.DUMMYFUNCTION("""COMPUTED_VALUE"""),956.8)</f>
        <v>956.8</v>
      </c>
      <c r="E518" s="3">
        <f>IFERROR(__xludf.DUMMYFUNCTION("""COMPUTED_VALUE"""),960.65)</f>
        <v>960.65</v>
      </c>
      <c r="F518" s="3">
        <f>IFERROR(__xludf.DUMMYFUNCTION("""COMPUTED_VALUE"""),0.0)</f>
        <v>0</v>
      </c>
    </row>
    <row r="519">
      <c r="A519" s="7">
        <f>IFERROR(__xludf.DUMMYFUNCTION("""COMPUTED_VALUE"""),37468.645833333336)</f>
        <v>37468.64583</v>
      </c>
      <c r="B519" s="3">
        <f>IFERROR(__xludf.DUMMYFUNCTION("""COMPUTED_VALUE"""),960.3)</f>
        <v>960.3</v>
      </c>
      <c r="C519" s="3">
        <f>IFERROR(__xludf.DUMMYFUNCTION("""COMPUTED_VALUE"""),964.1)</f>
        <v>964.1</v>
      </c>
      <c r="D519" s="3">
        <f>IFERROR(__xludf.DUMMYFUNCTION("""COMPUTED_VALUE"""),943.6)</f>
        <v>943.6</v>
      </c>
      <c r="E519" s="3">
        <f>IFERROR(__xludf.DUMMYFUNCTION("""COMPUTED_VALUE"""),958.9)</f>
        <v>958.9</v>
      </c>
      <c r="F519" s="3">
        <f>IFERROR(__xludf.DUMMYFUNCTION("""COMPUTED_VALUE"""),0.0)</f>
        <v>0</v>
      </c>
    </row>
    <row r="520">
      <c r="A520" s="7">
        <f>IFERROR(__xludf.DUMMYFUNCTION("""COMPUTED_VALUE"""),37469.645833333336)</f>
        <v>37469.64583</v>
      </c>
      <c r="B520" s="3">
        <f>IFERROR(__xludf.DUMMYFUNCTION("""COMPUTED_VALUE"""),959.2)</f>
        <v>959.2</v>
      </c>
      <c r="C520" s="3">
        <f>IFERROR(__xludf.DUMMYFUNCTION("""COMPUTED_VALUE"""),972.05)</f>
        <v>972.05</v>
      </c>
      <c r="D520" s="3">
        <f>IFERROR(__xludf.DUMMYFUNCTION("""COMPUTED_VALUE"""),954.15)</f>
        <v>954.15</v>
      </c>
      <c r="E520" s="3">
        <f>IFERROR(__xludf.DUMMYFUNCTION("""COMPUTED_VALUE"""),957.7)</f>
        <v>957.7</v>
      </c>
      <c r="F520" s="3">
        <f>IFERROR(__xludf.DUMMYFUNCTION("""COMPUTED_VALUE"""),0.0)</f>
        <v>0</v>
      </c>
    </row>
    <row r="521">
      <c r="A521" s="7">
        <f>IFERROR(__xludf.DUMMYFUNCTION("""COMPUTED_VALUE"""),37470.645833333336)</f>
        <v>37470.64583</v>
      </c>
      <c r="B521" s="3">
        <f>IFERROR(__xludf.DUMMYFUNCTION("""COMPUTED_VALUE"""),957.55)</f>
        <v>957.55</v>
      </c>
      <c r="C521" s="3">
        <f>IFERROR(__xludf.DUMMYFUNCTION("""COMPUTED_VALUE"""),957.55)</f>
        <v>957.55</v>
      </c>
      <c r="D521" s="3">
        <f>IFERROR(__xludf.DUMMYFUNCTION("""COMPUTED_VALUE"""),935.55)</f>
        <v>935.55</v>
      </c>
      <c r="E521" s="3">
        <f>IFERROR(__xludf.DUMMYFUNCTION("""COMPUTED_VALUE"""),954.75)</f>
        <v>954.75</v>
      </c>
      <c r="F521" s="3">
        <f>IFERROR(__xludf.DUMMYFUNCTION("""COMPUTED_VALUE"""),0.0)</f>
        <v>0</v>
      </c>
    </row>
    <row r="522">
      <c r="A522" s="7">
        <f>IFERROR(__xludf.DUMMYFUNCTION("""COMPUTED_VALUE"""),37473.645833333336)</f>
        <v>37473.64583</v>
      </c>
      <c r="B522" s="3">
        <f>IFERROR(__xludf.DUMMYFUNCTION("""COMPUTED_VALUE"""),954.9)</f>
        <v>954.9</v>
      </c>
      <c r="C522" s="3">
        <f>IFERROR(__xludf.DUMMYFUNCTION("""COMPUTED_VALUE"""),966.5)</f>
        <v>966.5</v>
      </c>
      <c r="D522" s="3">
        <f>IFERROR(__xludf.DUMMYFUNCTION("""COMPUTED_VALUE"""),953.9)</f>
        <v>953.9</v>
      </c>
      <c r="E522" s="3">
        <f>IFERROR(__xludf.DUMMYFUNCTION("""COMPUTED_VALUE"""),963.25)</f>
        <v>963.25</v>
      </c>
      <c r="F522" s="3">
        <f>IFERROR(__xludf.DUMMYFUNCTION("""COMPUTED_VALUE"""),0.0)</f>
        <v>0</v>
      </c>
    </row>
    <row r="523">
      <c r="A523" s="7">
        <f>IFERROR(__xludf.DUMMYFUNCTION("""COMPUTED_VALUE"""),37474.645833333336)</f>
        <v>37474.64583</v>
      </c>
      <c r="B523" s="3">
        <f>IFERROR(__xludf.DUMMYFUNCTION("""COMPUTED_VALUE"""),963.3)</f>
        <v>963.3</v>
      </c>
      <c r="C523" s="3">
        <f>IFERROR(__xludf.DUMMYFUNCTION("""COMPUTED_VALUE"""),969.55)</f>
        <v>969.55</v>
      </c>
      <c r="D523" s="3">
        <f>IFERROR(__xludf.DUMMYFUNCTION("""COMPUTED_VALUE"""),955.4)</f>
        <v>955.4</v>
      </c>
      <c r="E523" s="3">
        <f>IFERROR(__xludf.DUMMYFUNCTION("""COMPUTED_VALUE"""),966.65)</f>
        <v>966.65</v>
      </c>
      <c r="F523" s="3">
        <f>IFERROR(__xludf.DUMMYFUNCTION("""COMPUTED_VALUE"""),0.0)</f>
        <v>0</v>
      </c>
    </row>
    <row r="524">
      <c r="A524" s="7">
        <f>IFERROR(__xludf.DUMMYFUNCTION("""COMPUTED_VALUE"""),37475.645833333336)</f>
        <v>37475.64583</v>
      </c>
      <c r="B524" s="3">
        <f>IFERROR(__xludf.DUMMYFUNCTION("""COMPUTED_VALUE"""),967.7)</f>
        <v>967.7</v>
      </c>
      <c r="C524" s="3">
        <f>IFERROR(__xludf.DUMMYFUNCTION("""COMPUTED_VALUE"""),978.6)</f>
        <v>978.6</v>
      </c>
      <c r="D524" s="3">
        <f>IFERROR(__xludf.DUMMYFUNCTION("""COMPUTED_VALUE"""),966.55)</f>
        <v>966.55</v>
      </c>
      <c r="E524" s="3">
        <f>IFERROR(__xludf.DUMMYFUNCTION("""COMPUTED_VALUE"""),969.1)</f>
        <v>969.1</v>
      </c>
      <c r="F524" s="3">
        <f>IFERROR(__xludf.DUMMYFUNCTION("""COMPUTED_VALUE"""),0.0)</f>
        <v>0</v>
      </c>
    </row>
    <row r="525">
      <c r="A525" s="7">
        <f>IFERROR(__xludf.DUMMYFUNCTION("""COMPUTED_VALUE"""),37476.645833333336)</f>
        <v>37476.64583</v>
      </c>
      <c r="B525" s="3">
        <f>IFERROR(__xludf.DUMMYFUNCTION("""COMPUTED_VALUE"""),969.15)</f>
        <v>969.15</v>
      </c>
      <c r="C525" s="3">
        <f>IFERROR(__xludf.DUMMYFUNCTION("""COMPUTED_VALUE"""),971.75)</f>
        <v>971.75</v>
      </c>
      <c r="D525" s="3">
        <f>IFERROR(__xludf.DUMMYFUNCTION("""COMPUTED_VALUE"""),951.2)</f>
        <v>951.2</v>
      </c>
      <c r="E525" s="3">
        <f>IFERROR(__xludf.DUMMYFUNCTION("""COMPUTED_VALUE"""),953.55)</f>
        <v>953.55</v>
      </c>
      <c r="F525" s="3">
        <f>IFERROR(__xludf.DUMMYFUNCTION("""COMPUTED_VALUE"""),0.0)</f>
        <v>0</v>
      </c>
    </row>
    <row r="526">
      <c r="A526" s="7">
        <f>IFERROR(__xludf.DUMMYFUNCTION("""COMPUTED_VALUE"""),37477.645833333336)</f>
        <v>37477.64583</v>
      </c>
      <c r="B526" s="3">
        <f>IFERROR(__xludf.DUMMYFUNCTION("""COMPUTED_VALUE"""),953.8)</f>
        <v>953.8</v>
      </c>
      <c r="C526" s="3">
        <f>IFERROR(__xludf.DUMMYFUNCTION("""COMPUTED_VALUE"""),963.85)</f>
        <v>963.85</v>
      </c>
      <c r="D526" s="3">
        <f>IFERROR(__xludf.DUMMYFUNCTION("""COMPUTED_VALUE"""),948.0)</f>
        <v>948</v>
      </c>
      <c r="E526" s="3">
        <f>IFERROR(__xludf.DUMMYFUNCTION("""COMPUTED_VALUE"""),961.95)</f>
        <v>961.95</v>
      </c>
      <c r="F526" s="3">
        <f>IFERROR(__xludf.DUMMYFUNCTION("""COMPUTED_VALUE"""),0.0)</f>
        <v>0</v>
      </c>
    </row>
    <row r="527">
      <c r="A527" s="7">
        <f>IFERROR(__xludf.DUMMYFUNCTION("""COMPUTED_VALUE"""),37480.645833333336)</f>
        <v>37480.64583</v>
      </c>
      <c r="B527" s="3">
        <f>IFERROR(__xludf.DUMMYFUNCTION("""COMPUTED_VALUE"""),961.15)</f>
        <v>961.15</v>
      </c>
      <c r="C527" s="3">
        <f>IFERROR(__xludf.DUMMYFUNCTION("""COMPUTED_VALUE"""),971.55)</f>
        <v>971.55</v>
      </c>
      <c r="D527" s="3">
        <f>IFERROR(__xludf.DUMMYFUNCTION("""COMPUTED_VALUE"""),961.15)</f>
        <v>961.15</v>
      </c>
      <c r="E527" s="3">
        <f>IFERROR(__xludf.DUMMYFUNCTION("""COMPUTED_VALUE"""),969.85)</f>
        <v>969.85</v>
      </c>
      <c r="F527" s="3">
        <f>IFERROR(__xludf.DUMMYFUNCTION("""COMPUTED_VALUE"""),0.0)</f>
        <v>0</v>
      </c>
    </row>
    <row r="528">
      <c r="A528" s="7">
        <f>IFERROR(__xludf.DUMMYFUNCTION("""COMPUTED_VALUE"""),37481.645833333336)</f>
        <v>37481.64583</v>
      </c>
      <c r="B528" s="3">
        <f>IFERROR(__xludf.DUMMYFUNCTION("""COMPUTED_VALUE"""),970.4)</f>
        <v>970.4</v>
      </c>
      <c r="C528" s="3">
        <f>IFERROR(__xludf.DUMMYFUNCTION("""COMPUTED_VALUE"""),977.2)</f>
        <v>977.2</v>
      </c>
      <c r="D528" s="3">
        <f>IFERROR(__xludf.DUMMYFUNCTION("""COMPUTED_VALUE"""),969.9)</f>
        <v>969.9</v>
      </c>
      <c r="E528" s="3">
        <f>IFERROR(__xludf.DUMMYFUNCTION("""COMPUTED_VALUE"""),976.05)</f>
        <v>976.05</v>
      </c>
      <c r="F528" s="3">
        <f>IFERROR(__xludf.DUMMYFUNCTION("""COMPUTED_VALUE"""),0.0)</f>
        <v>0</v>
      </c>
    </row>
    <row r="529">
      <c r="A529" s="7">
        <f>IFERROR(__xludf.DUMMYFUNCTION("""COMPUTED_VALUE"""),37482.645833333336)</f>
        <v>37482.64583</v>
      </c>
      <c r="B529" s="3">
        <f>IFERROR(__xludf.DUMMYFUNCTION("""COMPUTED_VALUE"""),976.05)</f>
        <v>976.05</v>
      </c>
      <c r="C529" s="3">
        <f>IFERROR(__xludf.DUMMYFUNCTION("""COMPUTED_VALUE"""),976.25)</f>
        <v>976.25</v>
      </c>
      <c r="D529" s="3">
        <f>IFERROR(__xludf.DUMMYFUNCTION("""COMPUTED_VALUE"""),967.25)</f>
        <v>967.25</v>
      </c>
      <c r="E529" s="3">
        <f>IFERROR(__xludf.DUMMYFUNCTION("""COMPUTED_VALUE"""),969.65)</f>
        <v>969.65</v>
      </c>
      <c r="F529" s="3">
        <f>IFERROR(__xludf.DUMMYFUNCTION("""COMPUTED_VALUE"""),0.0)</f>
        <v>0</v>
      </c>
    </row>
    <row r="530">
      <c r="A530" s="7">
        <f>IFERROR(__xludf.DUMMYFUNCTION("""COMPUTED_VALUE"""),37484.645833333336)</f>
        <v>37484.64583</v>
      </c>
      <c r="B530" s="3">
        <f>IFERROR(__xludf.DUMMYFUNCTION("""COMPUTED_VALUE"""),970.75)</f>
        <v>970.75</v>
      </c>
      <c r="C530" s="3">
        <f>IFERROR(__xludf.DUMMYFUNCTION("""COMPUTED_VALUE"""),981.2)</f>
        <v>981.2</v>
      </c>
      <c r="D530" s="3">
        <f>IFERROR(__xludf.DUMMYFUNCTION("""COMPUTED_VALUE"""),968.35)</f>
        <v>968.35</v>
      </c>
      <c r="E530" s="3">
        <f>IFERROR(__xludf.DUMMYFUNCTION("""COMPUTED_VALUE"""),979.25)</f>
        <v>979.25</v>
      </c>
      <c r="F530" s="3">
        <f>IFERROR(__xludf.DUMMYFUNCTION("""COMPUTED_VALUE"""),0.0)</f>
        <v>0</v>
      </c>
    </row>
    <row r="531">
      <c r="A531" s="7">
        <f>IFERROR(__xludf.DUMMYFUNCTION("""COMPUTED_VALUE"""),37487.645833333336)</f>
        <v>37487.64583</v>
      </c>
      <c r="B531" s="3">
        <f>IFERROR(__xludf.DUMMYFUNCTION("""COMPUTED_VALUE"""),979.4)</f>
        <v>979.4</v>
      </c>
      <c r="C531" s="3">
        <f>IFERROR(__xludf.DUMMYFUNCTION("""COMPUTED_VALUE"""),983.55)</f>
        <v>983.55</v>
      </c>
      <c r="D531" s="3">
        <f>IFERROR(__xludf.DUMMYFUNCTION("""COMPUTED_VALUE"""),978.2)</f>
        <v>978.2</v>
      </c>
      <c r="E531" s="3">
        <f>IFERROR(__xludf.DUMMYFUNCTION("""COMPUTED_VALUE"""),979.85)</f>
        <v>979.85</v>
      </c>
      <c r="F531" s="3">
        <f>IFERROR(__xludf.DUMMYFUNCTION("""COMPUTED_VALUE"""),0.0)</f>
        <v>0</v>
      </c>
    </row>
    <row r="532">
      <c r="A532" s="7">
        <f>IFERROR(__xludf.DUMMYFUNCTION("""COMPUTED_VALUE"""),37488.645833333336)</f>
        <v>37488.64583</v>
      </c>
      <c r="B532" s="3">
        <f>IFERROR(__xludf.DUMMYFUNCTION("""COMPUTED_VALUE"""),979.75)</f>
        <v>979.75</v>
      </c>
      <c r="C532" s="3">
        <f>IFERROR(__xludf.DUMMYFUNCTION("""COMPUTED_VALUE"""),990.85)</f>
        <v>990.85</v>
      </c>
      <c r="D532" s="3">
        <f>IFERROR(__xludf.DUMMYFUNCTION("""COMPUTED_VALUE"""),979.05)</f>
        <v>979.05</v>
      </c>
      <c r="E532" s="3">
        <f>IFERROR(__xludf.DUMMYFUNCTION("""COMPUTED_VALUE"""),988.55)</f>
        <v>988.55</v>
      </c>
      <c r="F532" s="3">
        <f>IFERROR(__xludf.DUMMYFUNCTION("""COMPUTED_VALUE"""),0.0)</f>
        <v>0</v>
      </c>
    </row>
    <row r="533">
      <c r="A533" s="7">
        <f>IFERROR(__xludf.DUMMYFUNCTION("""COMPUTED_VALUE"""),37490.645833333336)</f>
        <v>37490.64583</v>
      </c>
      <c r="B533" s="3">
        <f>IFERROR(__xludf.DUMMYFUNCTION("""COMPUTED_VALUE"""),988.55)</f>
        <v>988.55</v>
      </c>
      <c r="C533" s="3">
        <f>IFERROR(__xludf.DUMMYFUNCTION("""COMPUTED_VALUE"""),995.3)</f>
        <v>995.3</v>
      </c>
      <c r="D533" s="3">
        <f>IFERROR(__xludf.DUMMYFUNCTION("""COMPUTED_VALUE"""),983.45)</f>
        <v>983.45</v>
      </c>
      <c r="E533" s="3">
        <f>IFERROR(__xludf.DUMMYFUNCTION("""COMPUTED_VALUE"""),985.7)</f>
        <v>985.7</v>
      </c>
      <c r="F533" s="3">
        <f>IFERROR(__xludf.DUMMYFUNCTION("""COMPUTED_VALUE"""),0.0)</f>
        <v>0</v>
      </c>
    </row>
    <row r="534">
      <c r="A534" s="7">
        <f>IFERROR(__xludf.DUMMYFUNCTION("""COMPUTED_VALUE"""),37494.645833333336)</f>
        <v>37494.64583</v>
      </c>
      <c r="B534" s="3">
        <f>IFERROR(__xludf.DUMMYFUNCTION("""COMPUTED_VALUE"""),992.4)</f>
        <v>992.4</v>
      </c>
      <c r="C534" s="3">
        <f>IFERROR(__xludf.DUMMYFUNCTION("""COMPUTED_VALUE"""),1001.45)</f>
        <v>1001.45</v>
      </c>
      <c r="D534" s="3">
        <f>IFERROR(__xludf.DUMMYFUNCTION("""COMPUTED_VALUE"""),986.15)</f>
        <v>986.15</v>
      </c>
      <c r="E534" s="3">
        <f>IFERROR(__xludf.DUMMYFUNCTION("""COMPUTED_VALUE"""),998.85)</f>
        <v>998.85</v>
      </c>
      <c r="F534" s="3">
        <f>IFERROR(__xludf.DUMMYFUNCTION("""COMPUTED_VALUE"""),0.0)</f>
        <v>0</v>
      </c>
    </row>
    <row r="535">
      <c r="A535" s="7">
        <f>IFERROR(__xludf.DUMMYFUNCTION("""COMPUTED_VALUE"""),37501.645833333336)</f>
        <v>37501.64583</v>
      </c>
      <c r="B535" s="3">
        <f>IFERROR(__xludf.DUMMYFUNCTION("""COMPUTED_VALUE"""),1010.89)</f>
        <v>1010.89</v>
      </c>
      <c r="C535" s="3">
        <f>IFERROR(__xludf.DUMMYFUNCTION("""COMPUTED_VALUE"""),1024.63)</f>
        <v>1024.63</v>
      </c>
      <c r="D535" s="3">
        <f>IFERROR(__xludf.DUMMYFUNCTION("""COMPUTED_VALUE"""),1010.85)</f>
        <v>1010.85</v>
      </c>
      <c r="E535" s="3">
        <f>IFERROR(__xludf.DUMMYFUNCTION("""COMPUTED_VALUE"""),1013.51)</f>
        <v>1013.51</v>
      </c>
      <c r="F535" s="3">
        <f>IFERROR(__xludf.DUMMYFUNCTION("""COMPUTED_VALUE"""),0.0)</f>
        <v>0</v>
      </c>
    </row>
    <row r="536">
      <c r="A536" s="7">
        <f>IFERROR(__xludf.DUMMYFUNCTION("""COMPUTED_VALUE"""),37502.645833333336)</f>
        <v>37502.64583</v>
      </c>
      <c r="B536" s="3">
        <f>IFERROR(__xludf.DUMMYFUNCTION("""COMPUTED_VALUE"""),1013.65)</f>
        <v>1013.65</v>
      </c>
      <c r="C536" s="3">
        <f>IFERROR(__xludf.DUMMYFUNCTION("""COMPUTED_VALUE"""),1014.8)</f>
        <v>1014.8</v>
      </c>
      <c r="D536" s="3">
        <f>IFERROR(__xludf.DUMMYFUNCTION("""COMPUTED_VALUE"""),999.4)</f>
        <v>999.4</v>
      </c>
      <c r="E536" s="3">
        <f>IFERROR(__xludf.DUMMYFUNCTION("""COMPUTED_VALUE"""),1001.1)</f>
        <v>1001.1</v>
      </c>
      <c r="F536" s="3">
        <f>IFERROR(__xludf.DUMMYFUNCTION("""COMPUTED_VALUE"""),0.0)</f>
        <v>0</v>
      </c>
    </row>
    <row r="537">
      <c r="A537" s="7">
        <f>IFERROR(__xludf.DUMMYFUNCTION("""COMPUTED_VALUE"""),37503.645833333336)</f>
        <v>37503.64583</v>
      </c>
      <c r="B537" s="3">
        <f>IFERROR(__xludf.DUMMYFUNCTION("""COMPUTED_VALUE"""),1000.7)</f>
        <v>1000.7</v>
      </c>
      <c r="C537" s="3">
        <f>IFERROR(__xludf.DUMMYFUNCTION("""COMPUTED_VALUE"""),1008.79)</f>
        <v>1008.79</v>
      </c>
      <c r="D537" s="3">
        <f>IFERROR(__xludf.DUMMYFUNCTION("""COMPUTED_VALUE"""),990.86)</f>
        <v>990.86</v>
      </c>
      <c r="E537" s="3">
        <f>IFERROR(__xludf.DUMMYFUNCTION("""COMPUTED_VALUE"""),1006.93)</f>
        <v>1006.93</v>
      </c>
      <c r="F537" s="3">
        <f>IFERROR(__xludf.DUMMYFUNCTION("""COMPUTED_VALUE"""),0.0)</f>
        <v>0</v>
      </c>
    </row>
    <row r="538">
      <c r="A538" s="7">
        <f>IFERROR(__xludf.DUMMYFUNCTION("""COMPUTED_VALUE"""),37504.645833333336)</f>
        <v>37504.64583</v>
      </c>
      <c r="B538" s="3">
        <f>IFERROR(__xludf.DUMMYFUNCTION("""COMPUTED_VALUE"""),1006.88)</f>
        <v>1006.88</v>
      </c>
      <c r="C538" s="3">
        <f>IFERROR(__xludf.DUMMYFUNCTION("""COMPUTED_VALUE"""),1013.46)</f>
        <v>1013.46</v>
      </c>
      <c r="D538" s="3">
        <f>IFERROR(__xludf.DUMMYFUNCTION("""COMPUTED_VALUE"""),1004.22)</f>
        <v>1004.22</v>
      </c>
      <c r="E538" s="3">
        <f>IFERROR(__xludf.DUMMYFUNCTION("""COMPUTED_VALUE"""),1008.58)</f>
        <v>1008.58</v>
      </c>
      <c r="F538" s="3">
        <f>IFERROR(__xludf.DUMMYFUNCTION("""COMPUTED_VALUE"""),0.0)</f>
        <v>0</v>
      </c>
    </row>
    <row r="539">
      <c r="A539" s="7">
        <f>IFERROR(__xludf.DUMMYFUNCTION("""COMPUTED_VALUE"""),37505.645833333336)</f>
        <v>37505.64583</v>
      </c>
      <c r="B539" s="3">
        <f>IFERROR(__xludf.DUMMYFUNCTION("""COMPUTED_VALUE"""),1008.45)</f>
        <v>1008.45</v>
      </c>
      <c r="C539" s="3">
        <f>IFERROR(__xludf.DUMMYFUNCTION("""COMPUTED_VALUE"""),1008.45)</f>
        <v>1008.45</v>
      </c>
      <c r="D539" s="3">
        <f>IFERROR(__xludf.DUMMYFUNCTION("""COMPUTED_VALUE"""),992.69)</f>
        <v>992.69</v>
      </c>
      <c r="E539" s="3">
        <f>IFERROR(__xludf.DUMMYFUNCTION("""COMPUTED_VALUE"""),995.21)</f>
        <v>995.21</v>
      </c>
      <c r="F539" s="3">
        <f>IFERROR(__xludf.DUMMYFUNCTION("""COMPUTED_VALUE"""),0.0)</f>
        <v>0</v>
      </c>
    </row>
    <row r="540">
      <c r="A540" s="7">
        <f>IFERROR(__xludf.DUMMYFUNCTION("""COMPUTED_VALUE"""),37508.645833333336)</f>
        <v>37508.64583</v>
      </c>
      <c r="B540" s="3">
        <f>IFERROR(__xludf.DUMMYFUNCTION("""COMPUTED_VALUE"""),992.06)</f>
        <v>992.06</v>
      </c>
      <c r="C540" s="3">
        <f>IFERROR(__xludf.DUMMYFUNCTION("""COMPUTED_VALUE"""),1005.86)</f>
        <v>1005.86</v>
      </c>
      <c r="D540" s="3">
        <f>IFERROR(__xludf.DUMMYFUNCTION("""COMPUTED_VALUE"""),985.24)</f>
        <v>985.24</v>
      </c>
      <c r="E540" s="3">
        <f>IFERROR(__xludf.DUMMYFUNCTION("""COMPUTED_VALUE"""),998.53)</f>
        <v>998.53</v>
      </c>
      <c r="F540" s="3">
        <f>IFERROR(__xludf.DUMMYFUNCTION("""COMPUTED_VALUE"""),0.0)</f>
        <v>0</v>
      </c>
    </row>
    <row r="541">
      <c r="A541" s="7">
        <f>IFERROR(__xludf.DUMMYFUNCTION("""COMPUTED_VALUE"""),37510.645833333336)</f>
        <v>37510.64583</v>
      </c>
      <c r="B541" s="3">
        <f>IFERROR(__xludf.DUMMYFUNCTION("""COMPUTED_VALUE"""),998.61)</f>
        <v>998.61</v>
      </c>
      <c r="C541" s="3">
        <f>IFERROR(__xludf.DUMMYFUNCTION("""COMPUTED_VALUE"""),1002.33)</f>
        <v>1002.33</v>
      </c>
      <c r="D541" s="3">
        <f>IFERROR(__xludf.DUMMYFUNCTION("""COMPUTED_VALUE"""),993.35)</f>
        <v>993.35</v>
      </c>
      <c r="E541" s="3">
        <f>IFERROR(__xludf.DUMMYFUNCTION("""COMPUTED_VALUE"""),998.85)</f>
        <v>998.85</v>
      </c>
      <c r="F541" s="3">
        <f>IFERROR(__xludf.DUMMYFUNCTION("""COMPUTED_VALUE"""),0.0)</f>
        <v>0</v>
      </c>
    </row>
    <row r="542">
      <c r="A542" s="7">
        <f>IFERROR(__xludf.DUMMYFUNCTION("""COMPUTED_VALUE"""),37511.645833333336)</f>
        <v>37511.64583</v>
      </c>
      <c r="B542" s="3">
        <f>IFERROR(__xludf.DUMMYFUNCTION("""COMPUTED_VALUE"""),998.94)</f>
        <v>998.94</v>
      </c>
      <c r="C542" s="3">
        <f>IFERROR(__xludf.DUMMYFUNCTION("""COMPUTED_VALUE"""),1005.17)</f>
        <v>1005.17</v>
      </c>
      <c r="D542" s="3">
        <f>IFERROR(__xludf.DUMMYFUNCTION("""COMPUTED_VALUE"""),998.82)</f>
        <v>998.82</v>
      </c>
      <c r="E542" s="3">
        <f>IFERROR(__xludf.DUMMYFUNCTION("""COMPUTED_VALUE"""),1001.67)</f>
        <v>1001.67</v>
      </c>
      <c r="F542" s="3">
        <f>IFERROR(__xludf.DUMMYFUNCTION("""COMPUTED_VALUE"""),0.0)</f>
        <v>0</v>
      </c>
    </row>
    <row r="543">
      <c r="A543" s="7">
        <f>IFERROR(__xludf.DUMMYFUNCTION("""COMPUTED_VALUE"""),37512.645833333336)</f>
        <v>37512.64583</v>
      </c>
      <c r="B543" s="3">
        <f>IFERROR(__xludf.DUMMYFUNCTION("""COMPUTED_VALUE"""),1001.41)</f>
        <v>1001.41</v>
      </c>
      <c r="C543" s="3">
        <f>IFERROR(__xludf.DUMMYFUNCTION("""COMPUTED_VALUE"""),1001.41)</f>
        <v>1001.41</v>
      </c>
      <c r="D543" s="3">
        <f>IFERROR(__xludf.DUMMYFUNCTION("""COMPUTED_VALUE"""),989.84)</f>
        <v>989.84</v>
      </c>
      <c r="E543" s="3">
        <f>IFERROR(__xludf.DUMMYFUNCTION("""COMPUTED_VALUE"""),991.99)</f>
        <v>991.99</v>
      </c>
      <c r="F543" s="3">
        <f>IFERROR(__xludf.DUMMYFUNCTION("""COMPUTED_VALUE"""),0.0)</f>
        <v>0</v>
      </c>
    </row>
    <row r="544">
      <c r="A544" s="7">
        <f>IFERROR(__xludf.DUMMYFUNCTION("""COMPUTED_VALUE"""),37515.645833333336)</f>
        <v>37515.64583</v>
      </c>
      <c r="B544" s="3">
        <f>IFERROR(__xludf.DUMMYFUNCTION("""COMPUTED_VALUE"""),991.77)</f>
        <v>991.77</v>
      </c>
      <c r="C544" s="3">
        <f>IFERROR(__xludf.DUMMYFUNCTION("""COMPUTED_VALUE"""),997.0)</f>
        <v>997</v>
      </c>
      <c r="D544" s="3">
        <f>IFERROR(__xludf.DUMMYFUNCTION("""COMPUTED_VALUE"""),983.55)</f>
        <v>983.55</v>
      </c>
      <c r="E544" s="3">
        <f>IFERROR(__xludf.DUMMYFUNCTION("""COMPUTED_VALUE"""),985.75)</f>
        <v>985.75</v>
      </c>
      <c r="F544" s="3">
        <f>IFERROR(__xludf.DUMMYFUNCTION("""COMPUTED_VALUE"""),0.0)</f>
        <v>0</v>
      </c>
    </row>
    <row r="545">
      <c r="A545" s="7">
        <f>IFERROR(__xludf.DUMMYFUNCTION("""COMPUTED_VALUE"""),37516.645833333336)</f>
        <v>37516.64583</v>
      </c>
      <c r="B545" s="3">
        <f>IFERROR(__xludf.DUMMYFUNCTION("""COMPUTED_VALUE"""),985.76)</f>
        <v>985.76</v>
      </c>
      <c r="C545" s="3">
        <f>IFERROR(__xludf.DUMMYFUNCTION("""COMPUTED_VALUE"""),996.79)</f>
        <v>996.79</v>
      </c>
      <c r="D545" s="3">
        <f>IFERROR(__xludf.DUMMYFUNCTION("""COMPUTED_VALUE"""),985.76)</f>
        <v>985.76</v>
      </c>
      <c r="E545" s="3">
        <f>IFERROR(__xludf.DUMMYFUNCTION("""COMPUTED_VALUE"""),994.92)</f>
        <v>994.92</v>
      </c>
      <c r="F545" s="3">
        <f>IFERROR(__xludf.DUMMYFUNCTION("""COMPUTED_VALUE"""),0.0)</f>
        <v>0</v>
      </c>
    </row>
    <row r="546">
      <c r="A546" s="7">
        <f>IFERROR(__xludf.DUMMYFUNCTION("""COMPUTED_VALUE"""),37517.645833333336)</f>
        <v>37517.64583</v>
      </c>
      <c r="B546" s="3">
        <f>IFERROR(__xludf.DUMMYFUNCTION("""COMPUTED_VALUE"""),994.14)</f>
        <v>994.14</v>
      </c>
      <c r="C546" s="3">
        <f>IFERROR(__xludf.DUMMYFUNCTION("""COMPUTED_VALUE"""),994.14)</f>
        <v>994.14</v>
      </c>
      <c r="D546" s="3">
        <f>IFERROR(__xludf.DUMMYFUNCTION("""COMPUTED_VALUE"""),981.61)</f>
        <v>981.61</v>
      </c>
      <c r="E546" s="3">
        <f>IFERROR(__xludf.DUMMYFUNCTION("""COMPUTED_VALUE"""),983.62)</f>
        <v>983.62</v>
      </c>
      <c r="F546" s="3">
        <f>IFERROR(__xludf.DUMMYFUNCTION("""COMPUTED_VALUE"""),0.0)</f>
        <v>0</v>
      </c>
    </row>
    <row r="547">
      <c r="A547" s="7">
        <f>IFERROR(__xludf.DUMMYFUNCTION("""COMPUTED_VALUE"""),37518.645833333336)</f>
        <v>37518.64583</v>
      </c>
      <c r="B547" s="3">
        <f>IFERROR(__xludf.DUMMYFUNCTION("""COMPUTED_VALUE"""),983.46)</f>
        <v>983.46</v>
      </c>
      <c r="C547" s="3">
        <f>IFERROR(__xludf.DUMMYFUNCTION("""COMPUTED_VALUE"""),985.24)</f>
        <v>985.24</v>
      </c>
      <c r="D547" s="3">
        <f>IFERROR(__xludf.DUMMYFUNCTION("""COMPUTED_VALUE"""),970.8)</f>
        <v>970.8</v>
      </c>
      <c r="E547" s="3">
        <f>IFERROR(__xludf.DUMMYFUNCTION("""COMPUTED_VALUE"""),976.04)</f>
        <v>976.04</v>
      </c>
      <c r="F547" s="3">
        <f>IFERROR(__xludf.DUMMYFUNCTION("""COMPUTED_VALUE"""),0.0)</f>
        <v>0</v>
      </c>
    </row>
    <row r="548">
      <c r="A548" s="7">
        <f>IFERROR(__xludf.DUMMYFUNCTION("""COMPUTED_VALUE"""),37519.645833333336)</f>
        <v>37519.64583</v>
      </c>
      <c r="B548" s="3">
        <f>IFERROR(__xludf.DUMMYFUNCTION("""COMPUTED_VALUE"""),975.62)</f>
        <v>975.62</v>
      </c>
      <c r="C548" s="3">
        <f>IFERROR(__xludf.DUMMYFUNCTION("""COMPUTED_VALUE"""),975.62)</f>
        <v>975.62</v>
      </c>
      <c r="D548" s="3">
        <f>IFERROR(__xludf.DUMMYFUNCTION("""COMPUTED_VALUE"""),960.71)</f>
        <v>960.71</v>
      </c>
      <c r="E548" s="3">
        <f>IFERROR(__xludf.DUMMYFUNCTION("""COMPUTED_VALUE"""),969.59)</f>
        <v>969.59</v>
      </c>
      <c r="F548" s="3">
        <f>IFERROR(__xludf.DUMMYFUNCTION("""COMPUTED_VALUE"""),0.0)</f>
        <v>0</v>
      </c>
    </row>
    <row r="549">
      <c r="A549" s="7">
        <f>IFERROR(__xludf.DUMMYFUNCTION("""COMPUTED_VALUE"""),37522.645833333336)</f>
        <v>37522.64583</v>
      </c>
      <c r="B549" s="3">
        <f>IFERROR(__xludf.DUMMYFUNCTION("""COMPUTED_VALUE"""),969.83)</f>
        <v>969.83</v>
      </c>
      <c r="C549" s="3">
        <f>IFERROR(__xludf.DUMMYFUNCTION("""COMPUTED_VALUE"""),974.76)</f>
        <v>974.76</v>
      </c>
      <c r="D549" s="3">
        <f>IFERROR(__xludf.DUMMYFUNCTION("""COMPUTED_VALUE"""),967.37)</f>
        <v>967.37</v>
      </c>
      <c r="E549" s="3">
        <f>IFERROR(__xludf.DUMMYFUNCTION("""COMPUTED_VALUE"""),970.3)</f>
        <v>970.3</v>
      </c>
      <c r="F549" s="3">
        <f>IFERROR(__xludf.DUMMYFUNCTION("""COMPUTED_VALUE"""),0.0)</f>
        <v>0</v>
      </c>
    </row>
    <row r="550">
      <c r="A550" s="7">
        <f>IFERROR(__xludf.DUMMYFUNCTION("""COMPUTED_VALUE"""),37523.645833333336)</f>
        <v>37523.64583</v>
      </c>
      <c r="B550" s="3">
        <f>IFERROR(__xludf.DUMMYFUNCTION("""COMPUTED_VALUE"""),969.93)</f>
        <v>969.93</v>
      </c>
      <c r="C550" s="3">
        <f>IFERROR(__xludf.DUMMYFUNCTION("""COMPUTED_VALUE"""),969.93)</f>
        <v>969.93</v>
      </c>
      <c r="D550" s="3">
        <f>IFERROR(__xludf.DUMMYFUNCTION("""COMPUTED_VALUE"""),960.22)</f>
        <v>960.22</v>
      </c>
      <c r="E550" s="3">
        <f>IFERROR(__xludf.DUMMYFUNCTION("""COMPUTED_VALUE"""),966.22)</f>
        <v>966.22</v>
      </c>
      <c r="F550" s="3">
        <f>IFERROR(__xludf.DUMMYFUNCTION("""COMPUTED_VALUE"""),0.0)</f>
        <v>0</v>
      </c>
    </row>
    <row r="551">
      <c r="A551" s="7">
        <f>IFERROR(__xludf.DUMMYFUNCTION("""COMPUTED_VALUE"""),37524.645833333336)</f>
        <v>37524.64583</v>
      </c>
      <c r="B551" s="3">
        <f>IFERROR(__xludf.DUMMYFUNCTION("""COMPUTED_VALUE"""),964.66)</f>
        <v>964.66</v>
      </c>
      <c r="C551" s="3">
        <f>IFERROR(__xludf.DUMMYFUNCTION("""COMPUTED_VALUE"""),971.87)</f>
        <v>971.87</v>
      </c>
      <c r="D551" s="3">
        <f>IFERROR(__xludf.DUMMYFUNCTION("""COMPUTED_VALUE"""),960.5)</f>
        <v>960.5</v>
      </c>
      <c r="E551" s="3">
        <f>IFERROR(__xludf.DUMMYFUNCTION("""COMPUTED_VALUE"""),970.07)</f>
        <v>970.07</v>
      </c>
      <c r="F551" s="3">
        <f>IFERROR(__xludf.DUMMYFUNCTION("""COMPUTED_VALUE"""),0.0)</f>
        <v>0</v>
      </c>
    </row>
    <row r="552">
      <c r="A552" s="7">
        <f>IFERROR(__xludf.DUMMYFUNCTION("""COMPUTED_VALUE"""),37525.645833333336)</f>
        <v>37525.64583</v>
      </c>
      <c r="B552" s="3">
        <f>IFERROR(__xludf.DUMMYFUNCTION("""COMPUTED_VALUE"""),970.1)</f>
        <v>970.1</v>
      </c>
      <c r="C552" s="3">
        <f>IFERROR(__xludf.DUMMYFUNCTION("""COMPUTED_VALUE"""),976.23)</f>
        <v>976.23</v>
      </c>
      <c r="D552" s="3">
        <f>IFERROR(__xludf.DUMMYFUNCTION("""COMPUTED_VALUE"""),968.26)</f>
        <v>968.26</v>
      </c>
      <c r="E552" s="3">
        <f>IFERROR(__xludf.DUMMYFUNCTION("""COMPUTED_VALUE"""),969.89)</f>
        <v>969.89</v>
      </c>
      <c r="F552" s="3">
        <f>IFERROR(__xludf.DUMMYFUNCTION("""COMPUTED_VALUE"""),0.0)</f>
        <v>0</v>
      </c>
    </row>
    <row r="553">
      <c r="A553" s="7">
        <f>IFERROR(__xludf.DUMMYFUNCTION("""COMPUTED_VALUE"""),37526.645833333336)</f>
        <v>37526.64583</v>
      </c>
      <c r="B553" s="3">
        <f>IFERROR(__xludf.DUMMYFUNCTION("""COMPUTED_VALUE"""),969.96)</f>
        <v>969.96</v>
      </c>
      <c r="C553" s="3">
        <f>IFERROR(__xludf.DUMMYFUNCTION("""COMPUTED_VALUE"""),978.02)</f>
        <v>978.02</v>
      </c>
      <c r="D553" s="3">
        <f>IFERROR(__xludf.DUMMYFUNCTION("""COMPUTED_VALUE"""),969.24)</f>
        <v>969.24</v>
      </c>
      <c r="E553" s="3">
        <f>IFERROR(__xludf.DUMMYFUNCTION("""COMPUTED_VALUE"""),976.47)</f>
        <v>976.47</v>
      </c>
      <c r="F553" s="3">
        <f>IFERROR(__xludf.DUMMYFUNCTION("""COMPUTED_VALUE"""),0.0)</f>
        <v>0</v>
      </c>
    </row>
    <row r="554">
      <c r="A554" s="7">
        <f>IFERROR(__xludf.DUMMYFUNCTION("""COMPUTED_VALUE"""),37529.645833333336)</f>
        <v>37529.64583</v>
      </c>
      <c r="B554" s="3">
        <f>IFERROR(__xludf.DUMMYFUNCTION("""COMPUTED_VALUE"""),976.17)</f>
        <v>976.17</v>
      </c>
      <c r="C554" s="3">
        <f>IFERROR(__xludf.DUMMYFUNCTION("""COMPUTED_VALUE"""),976.17)</f>
        <v>976.17</v>
      </c>
      <c r="D554" s="3">
        <f>IFERROR(__xludf.DUMMYFUNCTION("""COMPUTED_VALUE"""),961.57)</f>
        <v>961.57</v>
      </c>
      <c r="E554" s="3">
        <f>IFERROR(__xludf.DUMMYFUNCTION("""COMPUTED_VALUE"""),963.16)</f>
        <v>963.16</v>
      </c>
      <c r="F554" s="3">
        <f>IFERROR(__xludf.DUMMYFUNCTION("""COMPUTED_VALUE"""),0.0)</f>
        <v>0</v>
      </c>
    </row>
    <row r="555">
      <c r="A555" s="7">
        <f>IFERROR(__xludf.DUMMYFUNCTION("""COMPUTED_VALUE"""),37530.645833333336)</f>
        <v>37530.64583</v>
      </c>
      <c r="B555" s="3">
        <f>IFERROR(__xludf.DUMMYFUNCTION("""COMPUTED_VALUE"""),961.14)</f>
        <v>961.14</v>
      </c>
      <c r="C555" s="3">
        <f>IFERROR(__xludf.DUMMYFUNCTION("""COMPUTED_VALUE"""),964.21)</f>
        <v>964.21</v>
      </c>
      <c r="D555" s="3">
        <f>IFERROR(__xludf.DUMMYFUNCTION("""COMPUTED_VALUE"""),950.3)</f>
        <v>950.3</v>
      </c>
      <c r="E555" s="3">
        <f>IFERROR(__xludf.DUMMYFUNCTION("""COMPUTED_VALUE"""),955.21)</f>
        <v>955.21</v>
      </c>
      <c r="F555" s="3">
        <f>IFERROR(__xludf.DUMMYFUNCTION("""COMPUTED_VALUE"""),0.0)</f>
        <v>0</v>
      </c>
    </row>
    <row r="556">
      <c r="A556" s="7">
        <f>IFERROR(__xludf.DUMMYFUNCTION("""COMPUTED_VALUE"""),37532.645833333336)</f>
        <v>37532.64583</v>
      </c>
      <c r="B556" s="3">
        <f>IFERROR(__xludf.DUMMYFUNCTION("""COMPUTED_VALUE"""),955.34)</f>
        <v>955.34</v>
      </c>
      <c r="C556" s="3">
        <f>IFERROR(__xludf.DUMMYFUNCTION("""COMPUTED_VALUE"""),957.92)</f>
        <v>957.92</v>
      </c>
      <c r="D556" s="3">
        <f>IFERROR(__xludf.DUMMYFUNCTION("""COMPUTED_VALUE"""),945.81)</f>
        <v>945.81</v>
      </c>
      <c r="E556" s="3">
        <f>IFERROR(__xludf.DUMMYFUNCTION("""COMPUTED_VALUE"""),948.18)</f>
        <v>948.18</v>
      </c>
      <c r="F556" s="3">
        <f>IFERROR(__xludf.DUMMYFUNCTION("""COMPUTED_VALUE"""),0.0)</f>
        <v>0</v>
      </c>
    </row>
    <row r="557">
      <c r="A557" s="7">
        <f>IFERROR(__xludf.DUMMYFUNCTION("""COMPUTED_VALUE"""),37533.645833333336)</f>
        <v>37533.64583</v>
      </c>
      <c r="B557" s="3">
        <f>IFERROR(__xludf.DUMMYFUNCTION("""COMPUTED_VALUE"""),948.12)</f>
        <v>948.12</v>
      </c>
      <c r="C557" s="3">
        <f>IFERROR(__xludf.DUMMYFUNCTION("""COMPUTED_VALUE"""),951.81)</f>
        <v>951.81</v>
      </c>
      <c r="D557" s="3">
        <f>IFERROR(__xludf.DUMMYFUNCTION("""COMPUTED_VALUE"""),944.5)</f>
        <v>944.5</v>
      </c>
      <c r="E557" s="3">
        <f>IFERROR(__xludf.DUMMYFUNCTION("""COMPUTED_VALUE"""),948.19)</f>
        <v>948.19</v>
      </c>
      <c r="F557" s="3">
        <f>IFERROR(__xludf.DUMMYFUNCTION("""COMPUTED_VALUE"""),0.0)</f>
        <v>0</v>
      </c>
    </row>
    <row r="558">
      <c r="A558" s="7">
        <f>IFERROR(__xludf.DUMMYFUNCTION("""COMPUTED_VALUE"""),37536.645833333336)</f>
        <v>37536.64583</v>
      </c>
      <c r="B558" s="3">
        <f>IFERROR(__xludf.DUMMYFUNCTION("""COMPUTED_VALUE"""),947.81)</f>
        <v>947.81</v>
      </c>
      <c r="C558" s="3">
        <f>IFERROR(__xludf.DUMMYFUNCTION("""COMPUTED_VALUE"""),956.34)</f>
        <v>956.34</v>
      </c>
      <c r="D558" s="3">
        <f>IFERROR(__xludf.DUMMYFUNCTION("""COMPUTED_VALUE"""),946.27)</f>
        <v>946.27</v>
      </c>
      <c r="E558" s="3">
        <f>IFERROR(__xludf.DUMMYFUNCTION("""COMPUTED_VALUE"""),954.76)</f>
        <v>954.76</v>
      </c>
      <c r="F558" s="3">
        <f>IFERROR(__xludf.DUMMYFUNCTION("""COMPUTED_VALUE"""),0.0)</f>
        <v>0</v>
      </c>
    </row>
    <row r="559">
      <c r="A559" s="7">
        <f>IFERROR(__xludf.DUMMYFUNCTION("""COMPUTED_VALUE"""),37537.645833333336)</f>
        <v>37537.64583</v>
      </c>
      <c r="B559" s="3">
        <f>IFERROR(__xludf.DUMMYFUNCTION("""COMPUTED_VALUE"""),954.79)</f>
        <v>954.79</v>
      </c>
      <c r="C559" s="3">
        <f>IFERROR(__xludf.DUMMYFUNCTION("""COMPUTED_VALUE"""),963.16)</f>
        <v>963.16</v>
      </c>
      <c r="D559" s="3">
        <f>IFERROR(__xludf.DUMMYFUNCTION("""COMPUTED_VALUE"""),952.48)</f>
        <v>952.48</v>
      </c>
      <c r="E559" s="3">
        <f>IFERROR(__xludf.DUMMYFUNCTION("""COMPUTED_VALUE"""),960.78)</f>
        <v>960.78</v>
      </c>
      <c r="F559" s="3">
        <f>IFERROR(__xludf.DUMMYFUNCTION("""COMPUTED_VALUE"""),0.0)</f>
        <v>0</v>
      </c>
    </row>
    <row r="560">
      <c r="A560" s="7">
        <f>IFERROR(__xludf.DUMMYFUNCTION("""COMPUTED_VALUE"""),37538.645833333336)</f>
        <v>37538.64583</v>
      </c>
      <c r="B560" s="3">
        <f>IFERROR(__xludf.DUMMYFUNCTION("""COMPUTED_VALUE"""),960.85)</f>
        <v>960.85</v>
      </c>
      <c r="C560" s="3">
        <f>IFERROR(__xludf.DUMMYFUNCTION("""COMPUTED_VALUE"""),968.75)</f>
        <v>968.75</v>
      </c>
      <c r="D560" s="3">
        <f>IFERROR(__xludf.DUMMYFUNCTION("""COMPUTED_VALUE"""),952.97)</f>
        <v>952.97</v>
      </c>
      <c r="E560" s="3">
        <f>IFERROR(__xludf.DUMMYFUNCTION("""COMPUTED_VALUE"""),954.77)</f>
        <v>954.77</v>
      </c>
      <c r="F560" s="3">
        <f>IFERROR(__xludf.DUMMYFUNCTION("""COMPUTED_VALUE"""),0.0)</f>
        <v>0</v>
      </c>
    </row>
    <row r="561">
      <c r="A561" s="7">
        <f>IFERROR(__xludf.DUMMYFUNCTION("""COMPUTED_VALUE"""),37539.645833333336)</f>
        <v>37539.64583</v>
      </c>
      <c r="B561" s="3">
        <f>IFERROR(__xludf.DUMMYFUNCTION("""COMPUTED_VALUE"""),954.8)</f>
        <v>954.8</v>
      </c>
      <c r="C561" s="3">
        <f>IFERROR(__xludf.DUMMYFUNCTION("""COMPUTED_VALUE"""),960.44)</f>
        <v>960.44</v>
      </c>
      <c r="D561" s="3">
        <f>IFERROR(__xludf.DUMMYFUNCTION("""COMPUTED_VALUE"""),945.02)</f>
        <v>945.02</v>
      </c>
      <c r="E561" s="3">
        <f>IFERROR(__xludf.DUMMYFUNCTION("""COMPUTED_VALUE"""),958.43)</f>
        <v>958.43</v>
      </c>
      <c r="F561" s="3">
        <f>IFERROR(__xludf.DUMMYFUNCTION("""COMPUTED_VALUE"""),0.0)</f>
        <v>0</v>
      </c>
    </row>
    <row r="562">
      <c r="A562" s="7">
        <f>IFERROR(__xludf.DUMMYFUNCTION("""COMPUTED_VALUE"""),37540.645833333336)</f>
        <v>37540.64583</v>
      </c>
      <c r="B562" s="3">
        <f>IFERROR(__xludf.DUMMYFUNCTION("""COMPUTED_VALUE"""),958.45)</f>
        <v>958.45</v>
      </c>
      <c r="C562" s="3">
        <f>IFERROR(__xludf.DUMMYFUNCTION("""COMPUTED_VALUE"""),973.52)</f>
        <v>973.52</v>
      </c>
      <c r="D562" s="3">
        <f>IFERROR(__xludf.DUMMYFUNCTION("""COMPUTED_VALUE"""),958.45)</f>
        <v>958.45</v>
      </c>
      <c r="E562" s="3">
        <f>IFERROR(__xludf.DUMMYFUNCTION("""COMPUTED_VALUE"""),971.03)</f>
        <v>971.03</v>
      </c>
      <c r="F562" s="3">
        <f>IFERROR(__xludf.DUMMYFUNCTION("""COMPUTED_VALUE"""),0.0)</f>
        <v>0</v>
      </c>
    </row>
    <row r="563">
      <c r="A563" s="7">
        <f>IFERROR(__xludf.DUMMYFUNCTION("""COMPUTED_VALUE"""),37543.645833333336)</f>
        <v>37543.64583</v>
      </c>
      <c r="B563" s="3">
        <f>IFERROR(__xludf.DUMMYFUNCTION("""COMPUTED_VALUE"""),971.5)</f>
        <v>971.5</v>
      </c>
      <c r="C563" s="3">
        <f>IFERROR(__xludf.DUMMYFUNCTION("""COMPUTED_VALUE"""),976.5)</f>
        <v>976.5</v>
      </c>
      <c r="D563" s="3">
        <f>IFERROR(__xludf.DUMMYFUNCTION("""COMPUTED_VALUE"""),968.99)</f>
        <v>968.99</v>
      </c>
      <c r="E563" s="3">
        <f>IFERROR(__xludf.DUMMYFUNCTION("""COMPUTED_VALUE"""),972.43)</f>
        <v>972.43</v>
      </c>
      <c r="F563" s="3">
        <f>IFERROR(__xludf.DUMMYFUNCTION("""COMPUTED_VALUE"""),0.0)</f>
        <v>0</v>
      </c>
    </row>
    <row r="564">
      <c r="A564" s="7">
        <f>IFERROR(__xludf.DUMMYFUNCTION("""COMPUTED_VALUE"""),37545.645833333336)</f>
        <v>37545.64583</v>
      </c>
      <c r="B564" s="3">
        <f>IFERROR(__xludf.DUMMYFUNCTION("""COMPUTED_VALUE"""),972.91)</f>
        <v>972.91</v>
      </c>
      <c r="C564" s="3">
        <f>IFERROR(__xludf.DUMMYFUNCTION("""COMPUTED_VALUE"""),983.61)</f>
        <v>983.61</v>
      </c>
      <c r="D564" s="3">
        <f>IFERROR(__xludf.DUMMYFUNCTION("""COMPUTED_VALUE"""),971.71)</f>
        <v>971.71</v>
      </c>
      <c r="E564" s="3">
        <f>IFERROR(__xludf.DUMMYFUNCTION("""COMPUTED_VALUE"""),973.6)</f>
        <v>973.6</v>
      </c>
      <c r="F564" s="3">
        <f>IFERROR(__xludf.DUMMYFUNCTION("""COMPUTED_VALUE"""),0.0)</f>
        <v>0</v>
      </c>
    </row>
    <row r="565">
      <c r="A565" s="7">
        <f>IFERROR(__xludf.DUMMYFUNCTION("""COMPUTED_VALUE"""),37546.645833333336)</f>
        <v>37546.64583</v>
      </c>
      <c r="B565" s="3">
        <f>IFERROR(__xludf.DUMMYFUNCTION("""COMPUTED_VALUE"""),973.69)</f>
        <v>973.69</v>
      </c>
      <c r="C565" s="3">
        <f>IFERROR(__xludf.DUMMYFUNCTION("""COMPUTED_VALUE"""),976.07)</f>
        <v>976.07</v>
      </c>
      <c r="D565" s="3">
        <f>IFERROR(__xludf.DUMMYFUNCTION("""COMPUTED_VALUE"""),966.57)</f>
        <v>966.57</v>
      </c>
      <c r="E565" s="3">
        <f>IFERROR(__xludf.DUMMYFUNCTION("""COMPUTED_VALUE"""),973.32)</f>
        <v>973.32</v>
      </c>
      <c r="F565" s="3">
        <f>IFERROR(__xludf.DUMMYFUNCTION("""COMPUTED_VALUE"""),0.0)</f>
        <v>0</v>
      </c>
    </row>
    <row r="566">
      <c r="A566" s="7">
        <f>IFERROR(__xludf.DUMMYFUNCTION("""COMPUTED_VALUE"""),37547.645833333336)</f>
        <v>37547.64583</v>
      </c>
      <c r="B566" s="3">
        <f>IFERROR(__xludf.DUMMYFUNCTION("""COMPUTED_VALUE"""),973.78)</f>
        <v>973.78</v>
      </c>
      <c r="C566" s="3">
        <f>IFERROR(__xludf.DUMMYFUNCTION("""COMPUTED_VALUE"""),982.51)</f>
        <v>982.51</v>
      </c>
      <c r="D566" s="3">
        <f>IFERROR(__xludf.DUMMYFUNCTION("""COMPUTED_VALUE"""),968.81)</f>
        <v>968.81</v>
      </c>
      <c r="E566" s="3">
        <f>IFERROR(__xludf.DUMMYFUNCTION("""COMPUTED_VALUE"""),971.66)</f>
        <v>971.66</v>
      </c>
      <c r="F566" s="3">
        <f>IFERROR(__xludf.DUMMYFUNCTION("""COMPUTED_VALUE"""),0.0)</f>
        <v>0</v>
      </c>
    </row>
    <row r="567">
      <c r="A567" s="7">
        <f>IFERROR(__xludf.DUMMYFUNCTION("""COMPUTED_VALUE"""),37550.645833333336)</f>
        <v>37550.64583</v>
      </c>
      <c r="B567" s="3">
        <f>IFERROR(__xludf.DUMMYFUNCTION("""COMPUTED_VALUE"""),971.76)</f>
        <v>971.76</v>
      </c>
      <c r="C567" s="3">
        <f>IFERROR(__xludf.DUMMYFUNCTION("""COMPUTED_VALUE"""),976.2)</f>
        <v>976.2</v>
      </c>
      <c r="D567" s="3">
        <f>IFERROR(__xludf.DUMMYFUNCTION("""COMPUTED_VALUE"""),965.64)</f>
        <v>965.64</v>
      </c>
      <c r="E567" s="3">
        <f>IFERROR(__xludf.DUMMYFUNCTION("""COMPUTED_VALUE"""),967.35)</f>
        <v>967.35</v>
      </c>
      <c r="F567" s="3">
        <f>IFERROR(__xludf.DUMMYFUNCTION("""COMPUTED_VALUE"""),0.0)</f>
        <v>0</v>
      </c>
    </row>
    <row r="568">
      <c r="A568" s="7">
        <f>IFERROR(__xludf.DUMMYFUNCTION("""COMPUTED_VALUE"""),37551.645833333336)</f>
        <v>37551.64583</v>
      </c>
      <c r="B568" s="3">
        <f>IFERROR(__xludf.DUMMYFUNCTION("""COMPUTED_VALUE"""),967.51)</f>
        <v>967.51</v>
      </c>
      <c r="C568" s="3">
        <f>IFERROR(__xludf.DUMMYFUNCTION("""COMPUTED_VALUE"""),976.34)</f>
        <v>976.34</v>
      </c>
      <c r="D568" s="3">
        <f>IFERROR(__xludf.DUMMYFUNCTION("""COMPUTED_VALUE"""),961.63)</f>
        <v>961.63</v>
      </c>
      <c r="E568" s="3">
        <f>IFERROR(__xludf.DUMMYFUNCTION("""COMPUTED_VALUE"""),962.51)</f>
        <v>962.51</v>
      </c>
      <c r="F568" s="3">
        <f>IFERROR(__xludf.DUMMYFUNCTION("""COMPUTED_VALUE"""),0.0)</f>
        <v>0</v>
      </c>
    </row>
    <row r="569">
      <c r="A569" s="7">
        <f>IFERROR(__xludf.DUMMYFUNCTION("""COMPUTED_VALUE"""),37552.645833333336)</f>
        <v>37552.64583</v>
      </c>
      <c r="B569" s="3">
        <f>IFERROR(__xludf.DUMMYFUNCTION("""COMPUTED_VALUE"""),962.91)</f>
        <v>962.91</v>
      </c>
      <c r="C569" s="3">
        <f>IFERROR(__xludf.DUMMYFUNCTION("""COMPUTED_VALUE"""),963.75)</f>
        <v>963.75</v>
      </c>
      <c r="D569" s="3">
        <f>IFERROR(__xludf.DUMMYFUNCTION("""COMPUTED_VALUE"""),955.43)</f>
        <v>955.43</v>
      </c>
      <c r="E569" s="3">
        <f>IFERROR(__xludf.DUMMYFUNCTION("""COMPUTED_VALUE"""),957.35)</f>
        <v>957.35</v>
      </c>
      <c r="F569" s="3">
        <f>IFERROR(__xludf.DUMMYFUNCTION("""COMPUTED_VALUE"""),0.0)</f>
        <v>0</v>
      </c>
    </row>
    <row r="570">
      <c r="A570" s="7">
        <f>IFERROR(__xludf.DUMMYFUNCTION("""COMPUTED_VALUE"""),37553.645833333336)</f>
        <v>37553.64583</v>
      </c>
      <c r="B570" s="3">
        <f>IFERROR(__xludf.DUMMYFUNCTION("""COMPUTED_VALUE"""),957.68)</f>
        <v>957.68</v>
      </c>
      <c r="C570" s="3">
        <f>IFERROR(__xludf.DUMMYFUNCTION("""COMPUTED_VALUE"""),959.8)</f>
        <v>959.8</v>
      </c>
      <c r="D570" s="3">
        <f>IFERROR(__xludf.DUMMYFUNCTION("""COMPUTED_VALUE"""),945.0)</f>
        <v>945</v>
      </c>
      <c r="E570" s="3">
        <f>IFERROR(__xludf.DUMMYFUNCTION("""COMPUTED_VALUE"""),946.9)</f>
        <v>946.9</v>
      </c>
      <c r="F570" s="3">
        <f>IFERROR(__xludf.DUMMYFUNCTION("""COMPUTED_VALUE"""),0.0)</f>
        <v>0</v>
      </c>
    </row>
    <row r="571">
      <c r="A571" s="7">
        <f>IFERROR(__xludf.DUMMYFUNCTION("""COMPUTED_VALUE"""),37554.645833333336)</f>
        <v>37554.64583</v>
      </c>
      <c r="B571" s="3">
        <f>IFERROR(__xludf.DUMMYFUNCTION("""COMPUTED_VALUE"""),946.81)</f>
        <v>946.81</v>
      </c>
      <c r="C571" s="3">
        <f>IFERROR(__xludf.DUMMYFUNCTION("""COMPUTED_VALUE"""),946.81)</f>
        <v>946.81</v>
      </c>
      <c r="D571" s="3">
        <f>IFERROR(__xludf.DUMMYFUNCTION("""COMPUTED_VALUE"""),929.25)</f>
        <v>929.25</v>
      </c>
      <c r="E571" s="3">
        <f>IFERROR(__xludf.DUMMYFUNCTION("""COMPUTED_VALUE"""),932.18)</f>
        <v>932.18</v>
      </c>
      <c r="F571" s="3">
        <f>IFERROR(__xludf.DUMMYFUNCTION("""COMPUTED_VALUE"""),0.0)</f>
        <v>0</v>
      </c>
    </row>
    <row r="572">
      <c r="A572" s="7">
        <f>IFERROR(__xludf.DUMMYFUNCTION("""COMPUTED_VALUE"""),37557.645833333336)</f>
        <v>37557.64583</v>
      </c>
      <c r="B572" s="3">
        <f>IFERROR(__xludf.DUMMYFUNCTION("""COMPUTED_VALUE"""),932.36)</f>
        <v>932.36</v>
      </c>
      <c r="C572" s="3">
        <f>IFERROR(__xludf.DUMMYFUNCTION("""COMPUTED_VALUE"""),934.9)</f>
        <v>934.9</v>
      </c>
      <c r="D572" s="3">
        <f>IFERROR(__xludf.DUMMYFUNCTION("""COMPUTED_VALUE"""),920.08)</f>
        <v>920.08</v>
      </c>
      <c r="E572" s="3">
        <f>IFERROR(__xludf.DUMMYFUNCTION("""COMPUTED_VALUE"""),922.68)</f>
        <v>922.68</v>
      </c>
      <c r="F572" s="3">
        <f>IFERROR(__xludf.DUMMYFUNCTION("""COMPUTED_VALUE"""),0.0)</f>
        <v>0</v>
      </c>
    </row>
    <row r="573">
      <c r="A573" s="7">
        <f>IFERROR(__xludf.DUMMYFUNCTION("""COMPUTED_VALUE"""),37558.645833333336)</f>
        <v>37558.64583</v>
      </c>
      <c r="B573" s="3">
        <f>IFERROR(__xludf.DUMMYFUNCTION("""COMPUTED_VALUE"""),922.57)</f>
        <v>922.57</v>
      </c>
      <c r="C573" s="3">
        <f>IFERROR(__xludf.DUMMYFUNCTION("""COMPUTED_VALUE"""),939.69)</f>
        <v>939.69</v>
      </c>
      <c r="D573" s="3">
        <f>IFERROR(__xludf.DUMMYFUNCTION("""COMPUTED_VALUE"""),921.64)</f>
        <v>921.64</v>
      </c>
      <c r="E573" s="3">
        <f>IFERROR(__xludf.DUMMYFUNCTION("""COMPUTED_VALUE"""),936.89)</f>
        <v>936.89</v>
      </c>
      <c r="F573" s="3">
        <f>IFERROR(__xludf.DUMMYFUNCTION("""COMPUTED_VALUE"""),0.0)</f>
        <v>0</v>
      </c>
    </row>
    <row r="574">
      <c r="A574" s="7">
        <f>IFERROR(__xludf.DUMMYFUNCTION("""COMPUTED_VALUE"""),37559.645833333336)</f>
        <v>37559.64583</v>
      </c>
      <c r="B574" s="3">
        <f>IFERROR(__xludf.DUMMYFUNCTION("""COMPUTED_VALUE"""),936.17)</f>
        <v>936.17</v>
      </c>
      <c r="C574" s="3">
        <f>IFERROR(__xludf.DUMMYFUNCTION("""COMPUTED_VALUE"""),944.35)</f>
        <v>944.35</v>
      </c>
      <c r="D574" s="3">
        <f>IFERROR(__xludf.DUMMYFUNCTION("""COMPUTED_VALUE"""),935.9)</f>
        <v>935.9</v>
      </c>
      <c r="E574" s="3">
        <f>IFERROR(__xludf.DUMMYFUNCTION("""COMPUTED_VALUE"""),937.77)</f>
        <v>937.77</v>
      </c>
      <c r="F574" s="3">
        <f>IFERROR(__xludf.DUMMYFUNCTION("""COMPUTED_VALUE"""),0.0)</f>
        <v>0</v>
      </c>
    </row>
    <row r="575">
      <c r="A575" s="7">
        <f>IFERROR(__xludf.DUMMYFUNCTION("""COMPUTED_VALUE"""),37560.645833333336)</f>
        <v>37560.64583</v>
      </c>
      <c r="B575" s="3">
        <f>IFERROR(__xludf.DUMMYFUNCTION("""COMPUTED_VALUE"""),937.36)</f>
        <v>937.36</v>
      </c>
      <c r="C575" s="3">
        <f>IFERROR(__xludf.DUMMYFUNCTION("""COMPUTED_VALUE"""),953.31)</f>
        <v>953.31</v>
      </c>
      <c r="D575" s="3">
        <f>IFERROR(__xludf.DUMMYFUNCTION("""COMPUTED_VALUE"""),937.06)</f>
        <v>937.06</v>
      </c>
      <c r="E575" s="3">
        <f>IFERROR(__xludf.DUMMYFUNCTION("""COMPUTED_VALUE"""),951.4)</f>
        <v>951.4</v>
      </c>
      <c r="F575" s="3">
        <f>IFERROR(__xludf.DUMMYFUNCTION("""COMPUTED_VALUE"""),0.0)</f>
        <v>0</v>
      </c>
    </row>
    <row r="576">
      <c r="A576" s="7">
        <f>IFERROR(__xludf.DUMMYFUNCTION("""COMPUTED_VALUE"""),37561.645833333336)</f>
        <v>37561.64583</v>
      </c>
      <c r="B576" s="3">
        <f>IFERROR(__xludf.DUMMYFUNCTION("""COMPUTED_VALUE"""),951.46)</f>
        <v>951.46</v>
      </c>
      <c r="C576" s="3">
        <f>IFERROR(__xludf.DUMMYFUNCTION("""COMPUTED_VALUE"""),956.95)</f>
        <v>956.95</v>
      </c>
      <c r="D576" s="3">
        <f>IFERROR(__xludf.DUMMYFUNCTION("""COMPUTED_VALUE"""),946.39)</f>
        <v>946.39</v>
      </c>
      <c r="E576" s="3">
        <f>IFERROR(__xludf.DUMMYFUNCTION("""COMPUTED_VALUE"""),951.47)</f>
        <v>951.47</v>
      </c>
      <c r="F576" s="3">
        <f>IFERROR(__xludf.DUMMYFUNCTION("""COMPUTED_VALUE"""),0.0)</f>
        <v>0</v>
      </c>
    </row>
    <row r="577">
      <c r="A577" s="7">
        <f>IFERROR(__xludf.DUMMYFUNCTION("""COMPUTED_VALUE"""),37564.645833333336)</f>
        <v>37564.64583</v>
      </c>
      <c r="B577" s="3">
        <f>IFERROR(__xludf.DUMMYFUNCTION("""COMPUTED_VALUE"""),951.59)</f>
        <v>951.59</v>
      </c>
      <c r="C577" s="3">
        <f>IFERROR(__xludf.DUMMYFUNCTION("""COMPUTED_VALUE"""),965.52)</f>
        <v>965.52</v>
      </c>
      <c r="D577" s="3">
        <f>IFERROR(__xludf.DUMMYFUNCTION("""COMPUTED_VALUE"""),951.59)</f>
        <v>951.59</v>
      </c>
      <c r="E577" s="3">
        <f>IFERROR(__xludf.DUMMYFUNCTION("""COMPUTED_VALUE"""),962.08)</f>
        <v>962.08</v>
      </c>
      <c r="F577" s="3">
        <f>IFERROR(__xludf.DUMMYFUNCTION("""COMPUTED_VALUE"""),0.0)</f>
        <v>0</v>
      </c>
    </row>
    <row r="578">
      <c r="A578" s="7">
        <f>IFERROR(__xludf.DUMMYFUNCTION("""COMPUTED_VALUE"""),37565.645833333336)</f>
        <v>37565.64583</v>
      </c>
      <c r="B578" s="3">
        <f>IFERROR(__xludf.DUMMYFUNCTION("""COMPUTED_VALUE"""),962.83)</f>
        <v>962.83</v>
      </c>
      <c r="C578" s="3">
        <f>IFERROR(__xludf.DUMMYFUNCTION("""COMPUTED_VALUE"""),963.72)</f>
        <v>963.72</v>
      </c>
      <c r="D578" s="3">
        <f>IFERROR(__xludf.DUMMYFUNCTION("""COMPUTED_VALUE"""),957.18)</f>
        <v>957.18</v>
      </c>
      <c r="E578" s="3">
        <f>IFERROR(__xludf.DUMMYFUNCTION("""COMPUTED_VALUE"""),962.3)</f>
        <v>962.3</v>
      </c>
      <c r="F578" s="3">
        <f>IFERROR(__xludf.DUMMYFUNCTION("""COMPUTED_VALUE"""),0.0)</f>
        <v>0</v>
      </c>
    </row>
    <row r="579">
      <c r="A579" s="7">
        <f>IFERROR(__xludf.DUMMYFUNCTION("""COMPUTED_VALUE"""),37568.645833333336)</f>
        <v>37568.64583</v>
      </c>
      <c r="B579" s="3">
        <f>IFERROR(__xludf.DUMMYFUNCTION("""COMPUTED_VALUE"""),960.52)</f>
        <v>960.52</v>
      </c>
      <c r="C579" s="3">
        <f>IFERROR(__xludf.DUMMYFUNCTION("""COMPUTED_VALUE"""),960.95)</f>
        <v>960.95</v>
      </c>
      <c r="D579" s="3">
        <f>IFERROR(__xludf.DUMMYFUNCTION("""COMPUTED_VALUE"""),954.34)</f>
        <v>954.34</v>
      </c>
      <c r="E579" s="3">
        <f>IFERROR(__xludf.DUMMYFUNCTION("""COMPUTED_VALUE"""),956.94)</f>
        <v>956.94</v>
      </c>
      <c r="F579" s="3">
        <f>IFERROR(__xludf.DUMMYFUNCTION("""COMPUTED_VALUE"""),0.0)</f>
        <v>0</v>
      </c>
    </row>
    <row r="580">
      <c r="A580" s="7">
        <f>IFERROR(__xludf.DUMMYFUNCTION("""COMPUTED_VALUE"""),37571.645833333336)</f>
        <v>37571.64583</v>
      </c>
      <c r="B580" s="3">
        <f>IFERROR(__xludf.DUMMYFUNCTION("""COMPUTED_VALUE"""),957.56)</f>
        <v>957.56</v>
      </c>
      <c r="C580" s="3">
        <f>IFERROR(__xludf.DUMMYFUNCTION("""COMPUTED_VALUE"""),958.55)</f>
        <v>958.55</v>
      </c>
      <c r="D580" s="3">
        <f>IFERROR(__xludf.DUMMYFUNCTION("""COMPUTED_VALUE"""),952.12)</f>
        <v>952.12</v>
      </c>
      <c r="E580" s="3">
        <f>IFERROR(__xludf.DUMMYFUNCTION("""COMPUTED_VALUE"""),954.03)</f>
        <v>954.03</v>
      </c>
      <c r="F580" s="3">
        <f>IFERROR(__xludf.DUMMYFUNCTION("""COMPUTED_VALUE"""),0.0)</f>
        <v>0</v>
      </c>
    </row>
    <row r="581">
      <c r="A581" s="7">
        <f>IFERROR(__xludf.DUMMYFUNCTION("""COMPUTED_VALUE"""),37572.645833333336)</f>
        <v>37572.64583</v>
      </c>
      <c r="B581" s="3">
        <f>IFERROR(__xludf.DUMMYFUNCTION("""COMPUTED_VALUE"""),953.92)</f>
        <v>953.92</v>
      </c>
      <c r="C581" s="3">
        <f>IFERROR(__xludf.DUMMYFUNCTION("""COMPUTED_VALUE"""),960.86)</f>
        <v>960.86</v>
      </c>
      <c r="D581" s="3">
        <f>IFERROR(__xludf.DUMMYFUNCTION("""COMPUTED_VALUE"""),948.07)</f>
        <v>948.07</v>
      </c>
      <c r="E581" s="3">
        <f>IFERROR(__xludf.DUMMYFUNCTION("""COMPUTED_VALUE"""),959.86)</f>
        <v>959.86</v>
      </c>
      <c r="F581" s="3">
        <f>IFERROR(__xludf.DUMMYFUNCTION("""COMPUTED_VALUE"""),0.0)</f>
        <v>0</v>
      </c>
    </row>
    <row r="582">
      <c r="A582" s="7">
        <f>IFERROR(__xludf.DUMMYFUNCTION("""COMPUTED_VALUE"""),37573.645833333336)</f>
        <v>37573.64583</v>
      </c>
      <c r="B582" s="3">
        <f>IFERROR(__xludf.DUMMYFUNCTION("""COMPUTED_VALUE"""),960.37)</f>
        <v>960.37</v>
      </c>
      <c r="C582" s="3">
        <f>IFERROR(__xludf.DUMMYFUNCTION("""COMPUTED_VALUE"""),965.76)</f>
        <v>965.76</v>
      </c>
      <c r="D582" s="3">
        <f>IFERROR(__xludf.DUMMYFUNCTION("""COMPUTED_VALUE"""),956.9)</f>
        <v>956.9</v>
      </c>
      <c r="E582" s="3">
        <f>IFERROR(__xludf.DUMMYFUNCTION("""COMPUTED_VALUE"""),962.65)</f>
        <v>962.65</v>
      </c>
      <c r="F582" s="3">
        <f>IFERROR(__xludf.DUMMYFUNCTION("""COMPUTED_VALUE"""),0.0)</f>
        <v>0</v>
      </c>
    </row>
    <row r="583">
      <c r="A583" s="7">
        <f>IFERROR(__xludf.DUMMYFUNCTION("""COMPUTED_VALUE"""),37574.645833333336)</f>
        <v>37574.64583</v>
      </c>
      <c r="B583" s="3">
        <f>IFERROR(__xludf.DUMMYFUNCTION("""COMPUTED_VALUE"""),964.17)</f>
        <v>964.17</v>
      </c>
      <c r="C583" s="3">
        <f>IFERROR(__xludf.DUMMYFUNCTION("""COMPUTED_VALUE"""),974.12)</f>
        <v>974.12</v>
      </c>
      <c r="D583" s="3">
        <f>IFERROR(__xludf.DUMMYFUNCTION("""COMPUTED_VALUE"""),963.51)</f>
        <v>963.51</v>
      </c>
      <c r="E583" s="3">
        <f>IFERROR(__xludf.DUMMYFUNCTION("""COMPUTED_VALUE"""),971.92)</f>
        <v>971.92</v>
      </c>
      <c r="F583" s="3">
        <f>IFERROR(__xludf.DUMMYFUNCTION("""COMPUTED_VALUE"""),0.0)</f>
        <v>0</v>
      </c>
    </row>
    <row r="584">
      <c r="A584" s="7">
        <f>IFERROR(__xludf.DUMMYFUNCTION("""COMPUTED_VALUE"""),37575.645833333336)</f>
        <v>37575.64583</v>
      </c>
      <c r="B584" s="3">
        <f>IFERROR(__xludf.DUMMYFUNCTION("""COMPUTED_VALUE"""),972.32)</f>
        <v>972.32</v>
      </c>
      <c r="C584" s="3">
        <f>IFERROR(__xludf.DUMMYFUNCTION("""COMPUTED_VALUE"""),992.04)</f>
        <v>992.04</v>
      </c>
      <c r="D584" s="3">
        <f>IFERROR(__xludf.DUMMYFUNCTION("""COMPUTED_VALUE"""),972.32)</f>
        <v>972.32</v>
      </c>
      <c r="E584" s="3">
        <f>IFERROR(__xludf.DUMMYFUNCTION("""COMPUTED_VALUE"""),990.33)</f>
        <v>990.33</v>
      </c>
      <c r="F584" s="3">
        <f>IFERROR(__xludf.DUMMYFUNCTION("""COMPUTED_VALUE"""),0.0)</f>
        <v>0</v>
      </c>
    </row>
    <row r="585">
      <c r="A585" s="7">
        <f>IFERROR(__xludf.DUMMYFUNCTION("""COMPUTED_VALUE"""),37578.645833333336)</f>
        <v>37578.64583</v>
      </c>
      <c r="B585" s="3">
        <f>IFERROR(__xludf.DUMMYFUNCTION("""COMPUTED_VALUE"""),990.33)</f>
        <v>990.33</v>
      </c>
      <c r="C585" s="3">
        <f>IFERROR(__xludf.DUMMYFUNCTION("""COMPUTED_VALUE"""),1000.29)</f>
        <v>1000.29</v>
      </c>
      <c r="D585" s="3">
        <f>IFERROR(__xludf.DUMMYFUNCTION("""COMPUTED_VALUE"""),989.06)</f>
        <v>989.06</v>
      </c>
      <c r="E585" s="3">
        <f>IFERROR(__xludf.DUMMYFUNCTION("""COMPUTED_VALUE"""),996.86)</f>
        <v>996.86</v>
      </c>
      <c r="F585" s="3">
        <f>IFERROR(__xludf.DUMMYFUNCTION("""COMPUTED_VALUE"""),0.0)</f>
        <v>0</v>
      </c>
    </row>
    <row r="586">
      <c r="A586" s="7">
        <f>IFERROR(__xludf.DUMMYFUNCTION("""COMPUTED_VALUE"""),37580.645833333336)</f>
        <v>37580.64583</v>
      </c>
      <c r="B586" s="3">
        <f>IFERROR(__xludf.DUMMYFUNCTION("""COMPUTED_VALUE"""),996.86)</f>
        <v>996.86</v>
      </c>
      <c r="C586" s="3">
        <f>IFERROR(__xludf.DUMMYFUNCTION("""COMPUTED_VALUE"""),1007.18)</f>
        <v>1007.18</v>
      </c>
      <c r="D586" s="3">
        <f>IFERROR(__xludf.DUMMYFUNCTION("""COMPUTED_VALUE"""),992.31)</f>
        <v>992.31</v>
      </c>
      <c r="E586" s="3">
        <f>IFERROR(__xludf.DUMMYFUNCTION("""COMPUTED_VALUE"""),1001.59)</f>
        <v>1001.59</v>
      </c>
      <c r="F586" s="3">
        <f>IFERROR(__xludf.DUMMYFUNCTION("""COMPUTED_VALUE"""),0.0)</f>
        <v>0</v>
      </c>
    </row>
    <row r="587">
      <c r="A587" s="7">
        <f>IFERROR(__xludf.DUMMYFUNCTION("""COMPUTED_VALUE"""),37581.645833333336)</f>
        <v>37581.64583</v>
      </c>
      <c r="B587" s="3">
        <f>IFERROR(__xludf.DUMMYFUNCTION("""COMPUTED_VALUE"""),1001.79)</f>
        <v>1001.79</v>
      </c>
      <c r="C587" s="3">
        <f>IFERROR(__xludf.DUMMYFUNCTION("""COMPUTED_VALUE"""),1012.73)</f>
        <v>1012.73</v>
      </c>
      <c r="D587" s="3">
        <f>IFERROR(__xludf.DUMMYFUNCTION("""COMPUTED_VALUE"""),1001.79)</f>
        <v>1001.79</v>
      </c>
      <c r="E587" s="3">
        <f>IFERROR(__xludf.DUMMYFUNCTION("""COMPUTED_VALUE"""),1008.74)</f>
        <v>1008.74</v>
      </c>
      <c r="F587" s="3">
        <f>IFERROR(__xludf.DUMMYFUNCTION("""COMPUTED_VALUE"""),0.0)</f>
        <v>0</v>
      </c>
    </row>
    <row r="588">
      <c r="A588" s="7">
        <f>IFERROR(__xludf.DUMMYFUNCTION("""COMPUTED_VALUE"""),37582.645833333336)</f>
        <v>37582.64583</v>
      </c>
      <c r="B588" s="3">
        <f>IFERROR(__xludf.DUMMYFUNCTION("""COMPUTED_VALUE"""),1009.52)</f>
        <v>1009.52</v>
      </c>
      <c r="C588" s="3">
        <f>IFERROR(__xludf.DUMMYFUNCTION("""COMPUTED_VALUE"""),1025.98)</f>
        <v>1025.98</v>
      </c>
      <c r="D588" s="3">
        <f>IFERROR(__xludf.DUMMYFUNCTION("""COMPUTED_VALUE"""),1009.52)</f>
        <v>1009.52</v>
      </c>
      <c r="E588" s="3">
        <f>IFERROR(__xludf.DUMMYFUNCTION("""COMPUTED_VALUE"""),1020.16)</f>
        <v>1020.16</v>
      </c>
      <c r="F588" s="3">
        <f>IFERROR(__xludf.DUMMYFUNCTION("""COMPUTED_VALUE"""),0.0)</f>
        <v>0</v>
      </c>
    </row>
    <row r="589">
      <c r="A589" s="7">
        <f>IFERROR(__xludf.DUMMYFUNCTION("""COMPUTED_VALUE"""),37585.645833333336)</f>
        <v>37585.64583</v>
      </c>
      <c r="B589" s="3">
        <f>IFERROR(__xludf.DUMMYFUNCTION("""COMPUTED_VALUE"""),1020.89)</f>
        <v>1020.89</v>
      </c>
      <c r="C589" s="3">
        <f>IFERROR(__xludf.DUMMYFUNCTION("""COMPUTED_VALUE"""),1030.33)</f>
        <v>1030.33</v>
      </c>
      <c r="D589" s="3">
        <f>IFERROR(__xludf.DUMMYFUNCTION("""COMPUTED_VALUE"""),1017.51)</f>
        <v>1017.51</v>
      </c>
      <c r="E589" s="3">
        <f>IFERROR(__xludf.DUMMYFUNCTION("""COMPUTED_VALUE"""),1026.22)</f>
        <v>1026.22</v>
      </c>
      <c r="F589" s="3">
        <f>IFERROR(__xludf.DUMMYFUNCTION("""COMPUTED_VALUE"""),0.0)</f>
        <v>0</v>
      </c>
    </row>
    <row r="590">
      <c r="A590" s="7">
        <f>IFERROR(__xludf.DUMMYFUNCTION("""COMPUTED_VALUE"""),37586.645833333336)</f>
        <v>37586.64583</v>
      </c>
      <c r="B590" s="3">
        <f>IFERROR(__xludf.DUMMYFUNCTION("""COMPUTED_VALUE"""),1026.41)</f>
        <v>1026.41</v>
      </c>
      <c r="C590" s="3">
        <f>IFERROR(__xludf.DUMMYFUNCTION("""COMPUTED_VALUE"""),1040.47)</f>
        <v>1040.47</v>
      </c>
      <c r="D590" s="3">
        <f>IFERROR(__xludf.DUMMYFUNCTION("""COMPUTED_VALUE"""),1025.99)</f>
        <v>1025.99</v>
      </c>
      <c r="E590" s="3">
        <f>IFERROR(__xludf.DUMMYFUNCTION("""COMPUTED_VALUE"""),1036.16)</f>
        <v>1036.16</v>
      </c>
      <c r="F590" s="3">
        <f>IFERROR(__xludf.DUMMYFUNCTION("""COMPUTED_VALUE"""),0.0)</f>
        <v>0</v>
      </c>
    </row>
    <row r="591">
      <c r="A591" s="7">
        <f>IFERROR(__xludf.DUMMYFUNCTION("""COMPUTED_VALUE"""),37587.645833333336)</f>
        <v>37587.64583</v>
      </c>
      <c r="B591" s="3">
        <f>IFERROR(__xludf.DUMMYFUNCTION("""COMPUTED_VALUE"""),1036.33)</f>
        <v>1036.33</v>
      </c>
      <c r="C591" s="3">
        <f>IFERROR(__xludf.DUMMYFUNCTION("""COMPUTED_VALUE"""),1042.19)</f>
        <v>1042.19</v>
      </c>
      <c r="D591" s="3">
        <f>IFERROR(__xludf.DUMMYFUNCTION("""COMPUTED_VALUE"""),1027.72)</f>
        <v>1027.72</v>
      </c>
      <c r="E591" s="3">
        <f>IFERROR(__xludf.DUMMYFUNCTION("""COMPUTED_VALUE"""),1031.1)</f>
        <v>1031.1</v>
      </c>
      <c r="F591" s="3">
        <f>IFERROR(__xludf.DUMMYFUNCTION("""COMPUTED_VALUE"""),0.0)</f>
        <v>0</v>
      </c>
    </row>
    <row r="592">
      <c r="A592" s="7">
        <f>IFERROR(__xludf.DUMMYFUNCTION("""COMPUTED_VALUE"""),37588.645833333336)</f>
        <v>37588.64583</v>
      </c>
      <c r="B592" s="3">
        <f>IFERROR(__xludf.DUMMYFUNCTION("""COMPUTED_VALUE"""),1031.23)</f>
        <v>1031.23</v>
      </c>
      <c r="C592" s="3">
        <f>IFERROR(__xludf.DUMMYFUNCTION("""COMPUTED_VALUE"""),1051.74)</f>
        <v>1051.74</v>
      </c>
      <c r="D592" s="3">
        <f>IFERROR(__xludf.DUMMYFUNCTION("""COMPUTED_VALUE"""),1031.23)</f>
        <v>1031.23</v>
      </c>
      <c r="E592" s="3">
        <f>IFERROR(__xludf.DUMMYFUNCTION("""COMPUTED_VALUE"""),1049.7)</f>
        <v>1049.7</v>
      </c>
      <c r="F592" s="3">
        <f>IFERROR(__xludf.DUMMYFUNCTION("""COMPUTED_VALUE"""),0.0)</f>
        <v>0</v>
      </c>
    </row>
    <row r="593">
      <c r="A593" s="7">
        <f>IFERROR(__xludf.DUMMYFUNCTION("""COMPUTED_VALUE"""),37589.645833333336)</f>
        <v>37589.64583</v>
      </c>
      <c r="B593" s="3">
        <f>IFERROR(__xludf.DUMMYFUNCTION("""COMPUTED_VALUE"""),1049.54)</f>
        <v>1049.54</v>
      </c>
      <c r="C593" s="3">
        <f>IFERROR(__xludf.DUMMYFUNCTION("""COMPUTED_VALUE"""),1057.44)</f>
        <v>1057.44</v>
      </c>
      <c r="D593" s="3">
        <f>IFERROR(__xludf.DUMMYFUNCTION("""COMPUTED_VALUE"""),1040.93)</f>
        <v>1040.93</v>
      </c>
      <c r="E593" s="3">
        <f>IFERROR(__xludf.DUMMYFUNCTION("""COMPUTED_VALUE"""),1050.14)</f>
        <v>1050.14</v>
      </c>
      <c r="F593" s="3">
        <f>IFERROR(__xludf.DUMMYFUNCTION("""COMPUTED_VALUE"""),0.0)</f>
        <v>0</v>
      </c>
    </row>
    <row r="594">
      <c r="A594" s="7">
        <f>IFERROR(__xludf.DUMMYFUNCTION("""COMPUTED_VALUE"""),37592.645833333336)</f>
        <v>37592.64583</v>
      </c>
      <c r="B594" s="3">
        <f>IFERROR(__xludf.DUMMYFUNCTION("""COMPUTED_VALUE"""),1050.15)</f>
        <v>1050.15</v>
      </c>
      <c r="C594" s="3">
        <f>IFERROR(__xludf.DUMMYFUNCTION("""COMPUTED_VALUE"""),1070.13)</f>
        <v>1070.13</v>
      </c>
      <c r="D594" s="3">
        <f>IFERROR(__xludf.DUMMYFUNCTION("""COMPUTED_VALUE"""),1050.15)</f>
        <v>1050.15</v>
      </c>
      <c r="E594" s="3">
        <f>IFERROR(__xludf.DUMMYFUNCTION("""COMPUTED_VALUE"""),1067.92)</f>
        <v>1067.92</v>
      </c>
      <c r="F594" s="3">
        <f>IFERROR(__xludf.DUMMYFUNCTION("""COMPUTED_VALUE"""),0.0)</f>
        <v>0</v>
      </c>
    </row>
    <row r="595">
      <c r="A595" s="7">
        <f>IFERROR(__xludf.DUMMYFUNCTION("""COMPUTED_VALUE"""),37593.645833333336)</f>
        <v>37593.64583</v>
      </c>
      <c r="B595" s="3">
        <f>IFERROR(__xludf.DUMMYFUNCTION("""COMPUTED_VALUE"""),1067.68)</f>
        <v>1067.68</v>
      </c>
      <c r="C595" s="3">
        <f>IFERROR(__xludf.DUMMYFUNCTION("""COMPUTED_VALUE"""),1075.74)</f>
        <v>1075.74</v>
      </c>
      <c r="D595" s="3">
        <f>IFERROR(__xludf.DUMMYFUNCTION("""COMPUTED_VALUE"""),1051.81)</f>
        <v>1051.81</v>
      </c>
      <c r="E595" s="3">
        <f>IFERROR(__xludf.DUMMYFUNCTION("""COMPUTED_VALUE"""),1055.01)</f>
        <v>1055.01</v>
      </c>
      <c r="F595" s="3">
        <f>IFERROR(__xludf.DUMMYFUNCTION("""COMPUTED_VALUE"""),0.0)</f>
        <v>0</v>
      </c>
    </row>
    <row r="596">
      <c r="A596" s="7">
        <f>IFERROR(__xludf.DUMMYFUNCTION("""COMPUTED_VALUE"""),37594.645833333336)</f>
        <v>37594.64583</v>
      </c>
      <c r="B596" s="3">
        <f>IFERROR(__xludf.DUMMYFUNCTION("""COMPUTED_VALUE"""),1055.73)</f>
        <v>1055.73</v>
      </c>
      <c r="C596" s="3">
        <f>IFERROR(__xludf.DUMMYFUNCTION("""COMPUTED_VALUE"""),1055.73)</f>
        <v>1055.73</v>
      </c>
      <c r="D596" s="3">
        <f>IFERROR(__xludf.DUMMYFUNCTION("""COMPUTED_VALUE"""),1034.11)</f>
        <v>1034.11</v>
      </c>
      <c r="E596" s="3">
        <f>IFERROR(__xludf.DUMMYFUNCTION("""COMPUTED_VALUE"""),1036.42)</f>
        <v>1036.42</v>
      </c>
      <c r="F596" s="3">
        <f>IFERROR(__xludf.DUMMYFUNCTION("""COMPUTED_VALUE"""),0.0)</f>
        <v>0</v>
      </c>
    </row>
    <row r="597">
      <c r="A597" s="7">
        <f>IFERROR(__xludf.DUMMYFUNCTION("""COMPUTED_VALUE"""),37595.645833333336)</f>
        <v>37595.64583</v>
      </c>
      <c r="B597" s="3">
        <f>IFERROR(__xludf.DUMMYFUNCTION("""COMPUTED_VALUE"""),1036.74)</f>
        <v>1036.74</v>
      </c>
      <c r="C597" s="3">
        <f>IFERROR(__xludf.DUMMYFUNCTION("""COMPUTED_VALUE"""),1052.44)</f>
        <v>1052.44</v>
      </c>
      <c r="D597" s="3">
        <f>IFERROR(__xludf.DUMMYFUNCTION("""COMPUTED_VALUE"""),1036.74)</f>
        <v>1036.74</v>
      </c>
      <c r="E597" s="3">
        <f>IFERROR(__xludf.DUMMYFUNCTION("""COMPUTED_VALUE"""),1045.94)</f>
        <v>1045.94</v>
      </c>
      <c r="F597" s="3">
        <f>IFERROR(__xludf.DUMMYFUNCTION("""COMPUTED_VALUE"""),0.0)</f>
        <v>0</v>
      </c>
    </row>
    <row r="598">
      <c r="A598" s="7">
        <f>IFERROR(__xludf.DUMMYFUNCTION("""COMPUTED_VALUE"""),37596.645833333336)</f>
        <v>37596.64583</v>
      </c>
      <c r="B598" s="3">
        <f>IFERROR(__xludf.DUMMYFUNCTION("""COMPUTED_VALUE"""),1047.57)</f>
        <v>1047.57</v>
      </c>
      <c r="C598" s="3">
        <f>IFERROR(__xludf.DUMMYFUNCTION("""COMPUTED_VALUE"""),1072.27)</f>
        <v>1072.27</v>
      </c>
      <c r="D598" s="3">
        <f>IFERROR(__xludf.DUMMYFUNCTION("""COMPUTED_VALUE"""),1047.57)</f>
        <v>1047.57</v>
      </c>
      <c r="E598" s="3">
        <f>IFERROR(__xludf.DUMMYFUNCTION("""COMPUTED_VALUE"""),1069.81)</f>
        <v>1069.81</v>
      </c>
      <c r="F598" s="3">
        <f>IFERROR(__xludf.DUMMYFUNCTION("""COMPUTED_VALUE"""),0.0)</f>
        <v>0</v>
      </c>
    </row>
    <row r="599">
      <c r="A599" s="7">
        <f>IFERROR(__xludf.DUMMYFUNCTION("""COMPUTED_VALUE"""),37599.645833333336)</f>
        <v>37599.64583</v>
      </c>
      <c r="B599" s="3">
        <f>IFERROR(__xludf.DUMMYFUNCTION("""COMPUTED_VALUE"""),1070.5)</f>
        <v>1070.5</v>
      </c>
      <c r="C599" s="3">
        <f>IFERROR(__xludf.DUMMYFUNCTION("""COMPUTED_VALUE"""),1085.75)</f>
        <v>1085.75</v>
      </c>
      <c r="D599" s="3">
        <f>IFERROR(__xludf.DUMMYFUNCTION("""COMPUTED_VALUE"""),1054.97)</f>
        <v>1054.97</v>
      </c>
      <c r="E599" s="3">
        <f>IFERROR(__xludf.DUMMYFUNCTION("""COMPUTED_VALUE"""),1058.67)</f>
        <v>1058.67</v>
      </c>
      <c r="F599" s="3">
        <f>IFERROR(__xludf.DUMMYFUNCTION("""COMPUTED_VALUE"""),0.0)</f>
        <v>0</v>
      </c>
    </row>
    <row r="600">
      <c r="A600" s="7">
        <f>IFERROR(__xludf.DUMMYFUNCTION("""COMPUTED_VALUE"""),37600.645833333336)</f>
        <v>37600.64583</v>
      </c>
      <c r="B600" s="3">
        <f>IFERROR(__xludf.DUMMYFUNCTION("""COMPUTED_VALUE"""),1058.37)</f>
        <v>1058.37</v>
      </c>
      <c r="C600" s="3">
        <f>IFERROR(__xludf.DUMMYFUNCTION("""COMPUTED_VALUE"""),1066.1)</f>
        <v>1066.1</v>
      </c>
      <c r="D600" s="3">
        <f>IFERROR(__xludf.DUMMYFUNCTION("""COMPUTED_VALUE"""),1045.64)</f>
        <v>1045.64</v>
      </c>
      <c r="E600" s="3">
        <f>IFERROR(__xludf.DUMMYFUNCTION("""COMPUTED_VALUE"""),1063.71)</f>
        <v>1063.71</v>
      </c>
      <c r="F600" s="3">
        <f>IFERROR(__xludf.DUMMYFUNCTION("""COMPUTED_VALUE"""),0.0)</f>
        <v>0</v>
      </c>
    </row>
    <row r="601">
      <c r="A601" s="7">
        <f>IFERROR(__xludf.DUMMYFUNCTION("""COMPUTED_VALUE"""),37601.645833333336)</f>
        <v>37601.64583</v>
      </c>
      <c r="B601" s="3">
        <f>IFERROR(__xludf.DUMMYFUNCTION("""COMPUTED_VALUE"""),1064.1)</f>
        <v>1064.1</v>
      </c>
      <c r="C601" s="3">
        <f>IFERROR(__xludf.DUMMYFUNCTION("""COMPUTED_VALUE"""),1076.95)</f>
        <v>1076.95</v>
      </c>
      <c r="D601" s="3">
        <f>IFERROR(__xludf.DUMMYFUNCTION("""COMPUTED_VALUE"""),1062.28)</f>
        <v>1062.28</v>
      </c>
      <c r="E601" s="3">
        <f>IFERROR(__xludf.DUMMYFUNCTION("""COMPUTED_VALUE"""),1069.76)</f>
        <v>1069.76</v>
      </c>
      <c r="F601" s="3">
        <f>IFERROR(__xludf.DUMMYFUNCTION("""COMPUTED_VALUE"""),0.0)</f>
        <v>0</v>
      </c>
    </row>
    <row r="602">
      <c r="A602" s="7">
        <f>IFERROR(__xludf.DUMMYFUNCTION("""COMPUTED_VALUE"""),37602.645833333336)</f>
        <v>37602.64583</v>
      </c>
      <c r="B602" s="3">
        <f>IFERROR(__xludf.DUMMYFUNCTION("""COMPUTED_VALUE"""),1069.93)</f>
        <v>1069.93</v>
      </c>
      <c r="C602" s="3">
        <f>IFERROR(__xludf.DUMMYFUNCTION("""COMPUTED_VALUE"""),1078.83)</f>
        <v>1078.83</v>
      </c>
      <c r="D602" s="3">
        <f>IFERROR(__xludf.DUMMYFUNCTION("""COMPUTED_VALUE"""),1066.81)</f>
        <v>1066.81</v>
      </c>
      <c r="E602" s="3">
        <f>IFERROR(__xludf.DUMMYFUNCTION("""COMPUTED_VALUE"""),1077.0)</f>
        <v>1077</v>
      </c>
      <c r="F602" s="3">
        <f>IFERROR(__xludf.DUMMYFUNCTION("""COMPUTED_VALUE"""),0.0)</f>
        <v>0</v>
      </c>
    </row>
    <row r="603">
      <c r="A603" s="7">
        <f>IFERROR(__xludf.DUMMYFUNCTION("""COMPUTED_VALUE"""),37603.645833333336)</f>
        <v>37603.64583</v>
      </c>
      <c r="B603" s="3">
        <f>IFERROR(__xludf.DUMMYFUNCTION("""COMPUTED_VALUE"""),1074.47)</f>
        <v>1074.47</v>
      </c>
      <c r="C603" s="3">
        <f>IFERROR(__xludf.DUMMYFUNCTION("""COMPUTED_VALUE"""),1087.35)</f>
        <v>1087.35</v>
      </c>
      <c r="D603" s="3">
        <f>IFERROR(__xludf.DUMMYFUNCTION("""COMPUTED_VALUE"""),1074.47)</f>
        <v>1074.47</v>
      </c>
      <c r="E603" s="3">
        <f>IFERROR(__xludf.DUMMYFUNCTION("""COMPUTED_VALUE"""),1086.21)</f>
        <v>1086.21</v>
      </c>
      <c r="F603" s="3">
        <f>IFERROR(__xludf.DUMMYFUNCTION("""COMPUTED_VALUE"""),0.0)</f>
        <v>0</v>
      </c>
    </row>
    <row r="604">
      <c r="A604" s="7">
        <f>IFERROR(__xludf.DUMMYFUNCTION("""COMPUTED_VALUE"""),37606.645833333336)</f>
        <v>37606.64583</v>
      </c>
      <c r="B604" s="3">
        <f>IFERROR(__xludf.DUMMYFUNCTION("""COMPUTED_VALUE"""),1089.0)</f>
        <v>1089</v>
      </c>
      <c r="C604" s="3">
        <f>IFERROR(__xludf.DUMMYFUNCTION("""COMPUTED_VALUE"""),1100.0)</f>
        <v>1100</v>
      </c>
      <c r="D604" s="3">
        <f>IFERROR(__xludf.DUMMYFUNCTION("""COMPUTED_VALUE"""),1075.55)</f>
        <v>1075.55</v>
      </c>
      <c r="E604" s="3">
        <f>IFERROR(__xludf.DUMMYFUNCTION("""COMPUTED_VALUE"""),1078.46)</f>
        <v>1078.46</v>
      </c>
      <c r="F604" s="3">
        <f>IFERROR(__xludf.DUMMYFUNCTION("""COMPUTED_VALUE"""),0.0)</f>
        <v>0</v>
      </c>
    </row>
    <row r="605">
      <c r="A605" s="7">
        <f>IFERROR(__xludf.DUMMYFUNCTION("""COMPUTED_VALUE"""),37607.645833333336)</f>
        <v>37607.64583</v>
      </c>
      <c r="B605" s="3">
        <f>IFERROR(__xludf.DUMMYFUNCTION("""COMPUTED_VALUE"""),1078.71)</f>
        <v>1078.71</v>
      </c>
      <c r="C605" s="3">
        <f>IFERROR(__xludf.DUMMYFUNCTION("""COMPUTED_VALUE"""),1084.93)</f>
        <v>1084.93</v>
      </c>
      <c r="D605" s="3">
        <f>IFERROR(__xludf.DUMMYFUNCTION("""COMPUTED_VALUE"""),1069.01)</f>
        <v>1069.01</v>
      </c>
      <c r="E605" s="3">
        <f>IFERROR(__xludf.DUMMYFUNCTION("""COMPUTED_VALUE"""),1073.23)</f>
        <v>1073.23</v>
      </c>
      <c r="F605" s="3">
        <f>IFERROR(__xludf.DUMMYFUNCTION("""COMPUTED_VALUE"""),0.0)</f>
        <v>0</v>
      </c>
    </row>
    <row r="606">
      <c r="A606" s="7">
        <f>IFERROR(__xludf.DUMMYFUNCTION("""COMPUTED_VALUE"""),37608.645833333336)</f>
        <v>37608.64583</v>
      </c>
      <c r="B606" s="3">
        <f>IFERROR(__xludf.DUMMYFUNCTION("""COMPUTED_VALUE"""),1073.19)</f>
        <v>1073.19</v>
      </c>
      <c r="C606" s="3">
        <f>IFERROR(__xludf.DUMMYFUNCTION("""COMPUTED_VALUE"""),1083.63)</f>
        <v>1083.63</v>
      </c>
      <c r="D606" s="3">
        <f>IFERROR(__xludf.DUMMYFUNCTION("""COMPUTED_VALUE"""),1072.83)</f>
        <v>1072.83</v>
      </c>
      <c r="E606" s="3">
        <f>IFERROR(__xludf.DUMMYFUNCTION("""COMPUTED_VALUE"""),1077.94)</f>
        <v>1077.94</v>
      </c>
      <c r="F606" s="3">
        <f>IFERROR(__xludf.DUMMYFUNCTION("""COMPUTED_VALUE"""),0.0)</f>
        <v>0</v>
      </c>
    </row>
    <row r="607">
      <c r="A607" s="7">
        <f>IFERROR(__xludf.DUMMYFUNCTION("""COMPUTED_VALUE"""),37609.645833333336)</f>
        <v>37609.64583</v>
      </c>
      <c r="B607" s="3">
        <f>IFERROR(__xludf.DUMMYFUNCTION("""COMPUTED_VALUE"""),1077.87)</f>
        <v>1077.87</v>
      </c>
      <c r="C607" s="3">
        <f>IFERROR(__xludf.DUMMYFUNCTION("""COMPUTED_VALUE"""),1079.92)</f>
        <v>1079.92</v>
      </c>
      <c r="D607" s="3">
        <f>IFERROR(__xludf.DUMMYFUNCTION("""COMPUTED_VALUE"""),1070.52)</f>
        <v>1070.52</v>
      </c>
      <c r="E607" s="3">
        <f>IFERROR(__xludf.DUMMYFUNCTION("""COMPUTED_VALUE"""),1076.01)</f>
        <v>1076.01</v>
      </c>
      <c r="F607" s="3">
        <f>IFERROR(__xludf.DUMMYFUNCTION("""COMPUTED_VALUE"""),0.0)</f>
        <v>0</v>
      </c>
    </row>
    <row r="608">
      <c r="A608" s="7">
        <f>IFERROR(__xludf.DUMMYFUNCTION("""COMPUTED_VALUE"""),37610.645833333336)</f>
        <v>37610.64583</v>
      </c>
      <c r="B608" s="3">
        <f>IFERROR(__xludf.DUMMYFUNCTION("""COMPUTED_VALUE"""),1075.44)</f>
        <v>1075.44</v>
      </c>
      <c r="C608" s="3">
        <f>IFERROR(__xludf.DUMMYFUNCTION("""COMPUTED_VALUE"""),1084.94)</f>
        <v>1084.94</v>
      </c>
      <c r="D608" s="3">
        <f>IFERROR(__xludf.DUMMYFUNCTION("""COMPUTED_VALUE"""),1075.4)</f>
        <v>1075.4</v>
      </c>
      <c r="E608" s="3">
        <f>IFERROR(__xludf.DUMMYFUNCTION("""COMPUTED_VALUE"""),1079.29)</f>
        <v>1079.29</v>
      </c>
      <c r="F608" s="3">
        <f>IFERROR(__xludf.DUMMYFUNCTION("""COMPUTED_VALUE"""),0.0)</f>
        <v>0</v>
      </c>
    </row>
    <row r="609">
      <c r="A609" s="7">
        <f>IFERROR(__xludf.DUMMYFUNCTION("""COMPUTED_VALUE"""),37613.645833333336)</f>
        <v>37613.64583</v>
      </c>
      <c r="B609" s="3">
        <f>IFERROR(__xludf.DUMMYFUNCTION("""COMPUTED_VALUE"""),1079.28)</f>
        <v>1079.28</v>
      </c>
      <c r="C609" s="3">
        <f>IFERROR(__xludf.DUMMYFUNCTION("""COMPUTED_VALUE"""),1082.59)</f>
        <v>1082.59</v>
      </c>
      <c r="D609" s="3">
        <f>IFERROR(__xludf.DUMMYFUNCTION("""COMPUTED_VALUE"""),1073.33)</f>
        <v>1073.33</v>
      </c>
      <c r="E609" s="3">
        <f>IFERROR(__xludf.DUMMYFUNCTION("""COMPUTED_VALUE"""),1075.98)</f>
        <v>1075.98</v>
      </c>
      <c r="F609" s="3">
        <f>IFERROR(__xludf.DUMMYFUNCTION("""COMPUTED_VALUE"""),0.0)</f>
        <v>0</v>
      </c>
    </row>
    <row r="610">
      <c r="A610" s="7">
        <f>IFERROR(__xludf.DUMMYFUNCTION("""COMPUTED_VALUE"""),37614.645833333336)</f>
        <v>37614.64583</v>
      </c>
      <c r="B610" s="3">
        <f>IFERROR(__xludf.DUMMYFUNCTION("""COMPUTED_VALUE"""),1075.96)</f>
        <v>1075.96</v>
      </c>
      <c r="C610" s="3">
        <f>IFERROR(__xludf.DUMMYFUNCTION("""COMPUTED_VALUE"""),1086.98)</f>
        <v>1086.98</v>
      </c>
      <c r="D610" s="3">
        <f>IFERROR(__xludf.DUMMYFUNCTION("""COMPUTED_VALUE"""),1072.63)</f>
        <v>1072.63</v>
      </c>
      <c r="E610" s="3">
        <f>IFERROR(__xludf.DUMMYFUNCTION("""COMPUTED_VALUE"""),1085.01)</f>
        <v>1085.01</v>
      </c>
      <c r="F610" s="3">
        <f>IFERROR(__xludf.DUMMYFUNCTION("""COMPUTED_VALUE"""),0.0)</f>
        <v>0</v>
      </c>
    </row>
    <row r="611">
      <c r="A611" s="7">
        <f>IFERROR(__xludf.DUMMYFUNCTION("""COMPUTED_VALUE"""),37616.645833333336)</f>
        <v>37616.64583</v>
      </c>
      <c r="B611" s="3">
        <f>IFERROR(__xludf.DUMMYFUNCTION("""COMPUTED_VALUE"""),1085.04)</f>
        <v>1085.04</v>
      </c>
      <c r="C611" s="3">
        <f>IFERROR(__xludf.DUMMYFUNCTION("""COMPUTED_VALUE"""),1100.4)</f>
        <v>1100.4</v>
      </c>
      <c r="D611" s="3">
        <f>IFERROR(__xludf.DUMMYFUNCTION("""COMPUTED_VALUE"""),1085.04)</f>
        <v>1085.04</v>
      </c>
      <c r="E611" s="3">
        <f>IFERROR(__xludf.DUMMYFUNCTION("""COMPUTED_VALUE"""),1094.79)</f>
        <v>1094.79</v>
      </c>
      <c r="F611" s="3">
        <f>IFERROR(__xludf.DUMMYFUNCTION("""COMPUTED_VALUE"""),0.0)</f>
        <v>0</v>
      </c>
    </row>
    <row r="612">
      <c r="A612" s="7">
        <f>IFERROR(__xludf.DUMMYFUNCTION("""COMPUTED_VALUE"""),37617.645833333336)</f>
        <v>37617.64583</v>
      </c>
      <c r="B612" s="3">
        <f>IFERROR(__xludf.DUMMYFUNCTION("""COMPUTED_VALUE"""),1095.65)</f>
        <v>1095.65</v>
      </c>
      <c r="C612" s="3">
        <f>IFERROR(__xludf.DUMMYFUNCTION("""COMPUTED_VALUE"""),1103.94)</f>
        <v>1103.94</v>
      </c>
      <c r="D612" s="3">
        <f>IFERROR(__xludf.DUMMYFUNCTION("""COMPUTED_VALUE"""),1095.61)</f>
        <v>1095.61</v>
      </c>
      <c r="E612" s="3">
        <f>IFERROR(__xludf.DUMMYFUNCTION("""COMPUTED_VALUE"""),1098.38)</f>
        <v>1098.38</v>
      </c>
      <c r="F612" s="3">
        <f>IFERROR(__xludf.DUMMYFUNCTION("""COMPUTED_VALUE"""),0.0)</f>
        <v>0</v>
      </c>
    </row>
    <row r="613">
      <c r="A613" s="7">
        <f>IFERROR(__xludf.DUMMYFUNCTION("""COMPUTED_VALUE"""),37620.645833333336)</f>
        <v>37620.64583</v>
      </c>
      <c r="B613" s="3">
        <f>IFERROR(__xludf.DUMMYFUNCTION("""COMPUTED_VALUE"""),1095.82)</f>
        <v>1095.82</v>
      </c>
      <c r="C613" s="3">
        <f>IFERROR(__xludf.DUMMYFUNCTION("""COMPUTED_VALUE"""),1095.82)</f>
        <v>1095.82</v>
      </c>
      <c r="D613" s="3">
        <f>IFERROR(__xludf.DUMMYFUNCTION("""COMPUTED_VALUE"""),1084.34)</f>
        <v>1084.34</v>
      </c>
      <c r="E613" s="3">
        <f>IFERROR(__xludf.DUMMYFUNCTION("""COMPUTED_VALUE"""),1091.94)</f>
        <v>1091.94</v>
      </c>
      <c r="F613" s="3">
        <f>IFERROR(__xludf.DUMMYFUNCTION("""COMPUTED_VALUE"""),0.0)</f>
        <v>0</v>
      </c>
    </row>
    <row r="614">
      <c r="A614" s="7">
        <f>IFERROR(__xludf.DUMMYFUNCTION("""COMPUTED_VALUE"""),37621.645833333336)</f>
        <v>37621.64583</v>
      </c>
      <c r="B614" s="3">
        <f>IFERROR(__xludf.DUMMYFUNCTION("""COMPUTED_VALUE"""),1091.86)</f>
        <v>1091.86</v>
      </c>
      <c r="C614" s="3">
        <f>IFERROR(__xludf.DUMMYFUNCTION("""COMPUTED_VALUE"""),1100.1)</f>
        <v>1100.1</v>
      </c>
      <c r="D614" s="3">
        <f>IFERROR(__xludf.DUMMYFUNCTION("""COMPUTED_VALUE"""),1091.71)</f>
        <v>1091.71</v>
      </c>
      <c r="E614" s="3">
        <f>IFERROR(__xludf.DUMMYFUNCTION("""COMPUTED_VALUE"""),1093.52)</f>
        <v>1093.52</v>
      </c>
      <c r="F614" s="3">
        <f>IFERROR(__xludf.DUMMYFUNCTION("""COMPUTED_VALUE"""),0.0)</f>
        <v>0</v>
      </c>
    </row>
    <row r="615">
      <c r="A615" s="7">
        <f>IFERROR(__xludf.DUMMYFUNCTION("""COMPUTED_VALUE"""),37622.645833333336)</f>
        <v>37622.64583</v>
      </c>
      <c r="B615" s="3">
        <f>IFERROR(__xludf.DUMMYFUNCTION("""COMPUTED_VALUE"""),1093.59)</f>
        <v>1093.59</v>
      </c>
      <c r="C615" s="3">
        <f>IFERROR(__xludf.DUMMYFUNCTION("""COMPUTED_VALUE"""),1102.08)</f>
        <v>1102.08</v>
      </c>
      <c r="D615" s="3">
        <f>IFERROR(__xludf.DUMMYFUNCTION("""COMPUTED_VALUE"""),1093.59)</f>
        <v>1093.59</v>
      </c>
      <c r="E615" s="3">
        <f>IFERROR(__xludf.DUMMYFUNCTION("""COMPUTED_VALUE"""),1100.15)</f>
        <v>1100.15</v>
      </c>
      <c r="F615" s="3">
        <f>IFERROR(__xludf.DUMMYFUNCTION("""COMPUTED_VALUE"""),0.0)</f>
        <v>0</v>
      </c>
    </row>
    <row r="616">
      <c r="A616" s="7">
        <f>IFERROR(__xludf.DUMMYFUNCTION("""COMPUTED_VALUE"""),37623.645833333336)</f>
        <v>37623.64583</v>
      </c>
      <c r="B616" s="3">
        <f>IFERROR(__xludf.DUMMYFUNCTION("""COMPUTED_VALUE"""),1100.56)</f>
        <v>1100.56</v>
      </c>
      <c r="C616" s="3">
        <f>IFERROR(__xludf.DUMMYFUNCTION("""COMPUTED_VALUE"""),1105.59)</f>
        <v>1105.59</v>
      </c>
      <c r="D616" s="3">
        <f>IFERROR(__xludf.DUMMYFUNCTION("""COMPUTED_VALUE"""),1091.22)</f>
        <v>1091.22</v>
      </c>
      <c r="E616" s="3">
        <f>IFERROR(__xludf.DUMMYFUNCTION("""COMPUTED_VALUE"""),1093.05)</f>
        <v>1093.05</v>
      </c>
      <c r="F616" s="3">
        <f>IFERROR(__xludf.DUMMYFUNCTION("""COMPUTED_VALUE"""),0.0)</f>
        <v>0</v>
      </c>
    </row>
    <row r="617">
      <c r="A617" s="7">
        <f>IFERROR(__xludf.DUMMYFUNCTION("""COMPUTED_VALUE"""),37624.645833333336)</f>
        <v>37624.64583</v>
      </c>
      <c r="B617" s="3">
        <f>IFERROR(__xludf.DUMMYFUNCTION("""COMPUTED_VALUE"""),1094.44)</f>
        <v>1094.44</v>
      </c>
      <c r="C617" s="3">
        <f>IFERROR(__xludf.DUMMYFUNCTION("""COMPUTED_VALUE"""),1099.84)</f>
        <v>1099.84</v>
      </c>
      <c r="D617" s="3">
        <f>IFERROR(__xludf.DUMMYFUNCTION("""COMPUTED_VALUE"""),1087.32)</f>
        <v>1087.32</v>
      </c>
      <c r="E617" s="3">
        <f>IFERROR(__xludf.DUMMYFUNCTION("""COMPUTED_VALUE"""),1089.59)</f>
        <v>1089.59</v>
      </c>
      <c r="F617" s="3">
        <f>IFERROR(__xludf.DUMMYFUNCTION("""COMPUTED_VALUE"""),0.0)</f>
        <v>0</v>
      </c>
    </row>
    <row r="618">
      <c r="A618" s="7">
        <f>IFERROR(__xludf.DUMMYFUNCTION("""COMPUTED_VALUE"""),37627.645833333336)</f>
        <v>37627.64583</v>
      </c>
      <c r="B618" s="3">
        <f>IFERROR(__xludf.DUMMYFUNCTION("""COMPUTED_VALUE"""),1089.77)</f>
        <v>1089.77</v>
      </c>
      <c r="C618" s="3">
        <f>IFERROR(__xludf.DUMMYFUNCTION("""COMPUTED_VALUE"""),1093.03)</f>
        <v>1093.03</v>
      </c>
      <c r="D618" s="3">
        <f>IFERROR(__xludf.DUMMYFUNCTION("""COMPUTED_VALUE"""),1081.24)</f>
        <v>1081.24</v>
      </c>
      <c r="E618" s="3">
        <f>IFERROR(__xludf.DUMMYFUNCTION("""COMPUTED_VALUE"""),1084.37)</f>
        <v>1084.37</v>
      </c>
      <c r="F618" s="3">
        <f>IFERROR(__xludf.DUMMYFUNCTION("""COMPUTED_VALUE"""),0.0)</f>
        <v>0</v>
      </c>
    </row>
    <row r="619">
      <c r="A619" s="7">
        <f>IFERROR(__xludf.DUMMYFUNCTION("""COMPUTED_VALUE"""),37628.645833333336)</f>
        <v>37628.64583</v>
      </c>
      <c r="B619" s="3">
        <f>IFERROR(__xludf.DUMMYFUNCTION("""COMPUTED_VALUE"""),1084.38)</f>
        <v>1084.38</v>
      </c>
      <c r="C619" s="3">
        <f>IFERROR(__xludf.DUMMYFUNCTION("""COMPUTED_VALUE"""),1089.86)</f>
        <v>1089.86</v>
      </c>
      <c r="D619" s="3">
        <f>IFERROR(__xludf.DUMMYFUNCTION("""COMPUTED_VALUE"""),1078.96)</f>
        <v>1078.96</v>
      </c>
      <c r="E619" s="3">
        <f>IFERROR(__xludf.DUMMYFUNCTION("""COMPUTED_VALUE"""),1081.81)</f>
        <v>1081.81</v>
      </c>
      <c r="F619" s="3">
        <f>IFERROR(__xludf.DUMMYFUNCTION("""COMPUTED_VALUE"""),0.0)</f>
        <v>0</v>
      </c>
    </row>
    <row r="620">
      <c r="A620" s="7">
        <f>IFERROR(__xludf.DUMMYFUNCTION("""COMPUTED_VALUE"""),37629.645833333336)</f>
        <v>37629.64583</v>
      </c>
      <c r="B620" s="3">
        <f>IFERROR(__xludf.DUMMYFUNCTION("""COMPUTED_VALUE"""),1082.38)</f>
        <v>1082.38</v>
      </c>
      <c r="C620" s="3">
        <f>IFERROR(__xludf.DUMMYFUNCTION("""COMPUTED_VALUE"""),1091.43)</f>
        <v>1091.43</v>
      </c>
      <c r="D620" s="3">
        <f>IFERROR(__xludf.DUMMYFUNCTION("""COMPUTED_VALUE"""),1082.28)</f>
        <v>1082.28</v>
      </c>
      <c r="E620" s="3">
        <f>IFERROR(__xludf.DUMMYFUNCTION("""COMPUTED_VALUE"""),1089.36)</f>
        <v>1089.36</v>
      </c>
      <c r="F620" s="3">
        <f>IFERROR(__xludf.DUMMYFUNCTION("""COMPUTED_VALUE"""),0.0)</f>
        <v>0</v>
      </c>
    </row>
    <row r="621">
      <c r="A621" s="7">
        <f>IFERROR(__xludf.DUMMYFUNCTION("""COMPUTED_VALUE"""),37630.645833333336)</f>
        <v>37630.64583</v>
      </c>
      <c r="B621" s="3">
        <f>IFERROR(__xludf.DUMMYFUNCTION("""COMPUTED_VALUE"""),1089.74)</f>
        <v>1089.74</v>
      </c>
      <c r="C621" s="3">
        <f>IFERROR(__xludf.DUMMYFUNCTION("""COMPUTED_VALUE"""),1099.13)</f>
        <v>1099.13</v>
      </c>
      <c r="D621" s="3">
        <f>IFERROR(__xludf.DUMMYFUNCTION("""COMPUTED_VALUE"""),1087.77)</f>
        <v>1087.77</v>
      </c>
      <c r="E621" s="3">
        <f>IFERROR(__xludf.DUMMYFUNCTION("""COMPUTED_VALUE"""),1097.34)</f>
        <v>1097.34</v>
      </c>
      <c r="F621" s="3">
        <f>IFERROR(__xludf.DUMMYFUNCTION("""COMPUTED_VALUE"""),0.0)</f>
        <v>0</v>
      </c>
    </row>
    <row r="622">
      <c r="A622" s="7">
        <f>IFERROR(__xludf.DUMMYFUNCTION("""COMPUTED_VALUE"""),37631.645833333336)</f>
        <v>37631.64583</v>
      </c>
      <c r="B622" s="3">
        <f>IFERROR(__xludf.DUMMYFUNCTION("""COMPUTED_VALUE"""),1097.58)</f>
        <v>1097.58</v>
      </c>
      <c r="C622" s="3">
        <f>IFERROR(__xludf.DUMMYFUNCTION("""COMPUTED_VALUE"""),1103.25)</f>
        <v>1103.25</v>
      </c>
      <c r="D622" s="3">
        <f>IFERROR(__xludf.DUMMYFUNCTION("""COMPUTED_VALUE"""),1077.42)</f>
        <v>1077.42</v>
      </c>
      <c r="E622" s="3">
        <f>IFERROR(__xludf.DUMMYFUNCTION("""COMPUTED_VALUE"""),1080.25)</f>
        <v>1080.25</v>
      </c>
      <c r="F622" s="3">
        <f>IFERROR(__xludf.DUMMYFUNCTION("""COMPUTED_VALUE"""),0.0)</f>
        <v>0</v>
      </c>
    </row>
    <row r="623">
      <c r="A623" s="7">
        <f>IFERROR(__xludf.DUMMYFUNCTION("""COMPUTED_VALUE"""),37634.645833333336)</f>
        <v>37634.64583</v>
      </c>
      <c r="B623" s="3">
        <f>IFERROR(__xludf.DUMMYFUNCTION("""COMPUTED_VALUE"""),1080.23)</f>
        <v>1080.23</v>
      </c>
      <c r="C623" s="3">
        <f>IFERROR(__xludf.DUMMYFUNCTION("""COMPUTED_VALUE"""),1080.4)</f>
        <v>1080.4</v>
      </c>
      <c r="D623" s="3">
        <f>IFERROR(__xludf.DUMMYFUNCTION("""COMPUTED_VALUE"""),1070.76)</f>
        <v>1070.76</v>
      </c>
      <c r="E623" s="3">
        <f>IFERROR(__xludf.DUMMYFUNCTION("""COMPUTED_VALUE"""),1073.73)</f>
        <v>1073.73</v>
      </c>
      <c r="F623" s="3">
        <f>IFERROR(__xludf.DUMMYFUNCTION("""COMPUTED_VALUE"""),0.0)</f>
        <v>0</v>
      </c>
    </row>
    <row r="624">
      <c r="A624" s="7">
        <f>IFERROR(__xludf.DUMMYFUNCTION("""COMPUTED_VALUE"""),37635.645833333336)</f>
        <v>37635.64583</v>
      </c>
      <c r="B624" s="3">
        <f>IFERROR(__xludf.DUMMYFUNCTION("""COMPUTED_VALUE"""),1072.71)</f>
        <v>1072.71</v>
      </c>
      <c r="C624" s="3">
        <f>IFERROR(__xludf.DUMMYFUNCTION("""COMPUTED_VALUE"""),1080.79)</f>
        <v>1080.79</v>
      </c>
      <c r="D624" s="3">
        <f>IFERROR(__xludf.DUMMYFUNCTION("""COMPUTED_VALUE"""),1070.28)</f>
        <v>1070.28</v>
      </c>
      <c r="E624" s="3">
        <f>IFERROR(__xludf.DUMMYFUNCTION("""COMPUTED_VALUE"""),1078.97)</f>
        <v>1078.97</v>
      </c>
      <c r="F624" s="3">
        <f>IFERROR(__xludf.DUMMYFUNCTION("""COMPUTED_VALUE"""),0.0)</f>
        <v>0</v>
      </c>
    </row>
    <row r="625">
      <c r="A625" s="7">
        <f>IFERROR(__xludf.DUMMYFUNCTION("""COMPUTED_VALUE"""),37636.645833333336)</f>
        <v>37636.64583</v>
      </c>
      <c r="B625" s="3">
        <f>IFERROR(__xludf.DUMMYFUNCTION("""COMPUTED_VALUE"""),1077.89)</f>
        <v>1077.89</v>
      </c>
      <c r="C625" s="3">
        <f>IFERROR(__xludf.DUMMYFUNCTION("""COMPUTED_VALUE"""),1087.51)</f>
        <v>1087.51</v>
      </c>
      <c r="D625" s="3">
        <f>IFERROR(__xludf.DUMMYFUNCTION("""COMPUTED_VALUE"""),1077.78)</f>
        <v>1077.78</v>
      </c>
      <c r="E625" s="3">
        <f>IFERROR(__xludf.DUMMYFUNCTION("""COMPUTED_VALUE"""),1085.02)</f>
        <v>1085.02</v>
      </c>
      <c r="F625" s="3">
        <f>IFERROR(__xludf.DUMMYFUNCTION("""COMPUTED_VALUE"""),0.0)</f>
        <v>0</v>
      </c>
    </row>
    <row r="626">
      <c r="A626" s="7">
        <f>IFERROR(__xludf.DUMMYFUNCTION("""COMPUTED_VALUE"""),37637.645833333336)</f>
        <v>37637.64583</v>
      </c>
      <c r="B626" s="3">
        <f>IFERROR(__xludf.DUMMYFUNCTION("""COMPUTED_VALUE"""),1085.03)</f>
        <v>1085.03</v>
      </c>
      <c r="C626" s="3">
        <f>IFERROR(__xludf.DUMMYFUNCTION("""COMPUTED_VALUE"""),1091.34)</f>
        <v>1091.34</v>
      </c>
      <c r="D626" s="3">
        <f>IFERROR(__xludf.DUMMYFUNCTION("""COMPUTED_VALUE"""),1083.93)</f>
        <v>1083.93</v>
      </c>
      <c r="E626" s="3">
        <f>IFERROR(__xludf.DUMMYFUNCTION("""COMPUTED_VALUE"""),1088.37)</f>
        <v>1088.37</v>
      </c>
      <c r="F626" s="3">
        <f>IFERROR(__xludf.DUMMYFUNCTION("""COMPUTED_VALUE"""),0.0)</f>
        <v>0</v>
      </c>
    </row>
    <row r="627">
      <c r="A627" s="7">
        <f>IFERROR(__xludf.DUMMYFUNCTION("""COMPUTED_VALUE"""),37638.645833333336)</f>
        <v>37638.64583</v>
      </c>
      <c r="B627" s="3">
        <f>IFERROR(__xludf.DUMMYFUNCTION("""COMPUTED_VALUE"""),1089.28)</f>
        <v>1089.28</v>
      </c>
      <c r="C627" s="3">
        <f>IFERROR(__xludf.DUMMYFUNCTION("""COMPUTED_VALUE"""),1090.25)</f>
        <v>1090.25</v>
      </c>
      <c r="D627" s="3">
        <f>IFERROR(__xludf.DUMMYFUNCTION("""COMPUTED_VALUE"""),1083.21)</f>
        <v>1083.21</v>
      </c>
      <c r="E627" s="3">
        <f>IFERROR(__xludf.DUMMYFUNCTION("""COMPUTED_VALUE"""),1086.49)</f>
        <v>1086.49</v>
      </c>
      <c r="F627" s="3">
        <f>IFERROR(__xludf.DUMMYFUNCTION("""COMPUTED_VALUE"""),0.0)</f>
        <v>0</v>
      </c>
    </row>
    <row r="628">
      <c r="A628" s="7">
        <f>IFERROR(__xludf.DUMMYFUNCTION("""COMPUTED_VALUE"""),37641.645833333336)</f>
        <v>37641.64583</v>
      </c>
      <c r="B628" s="3">
        <f>IFERROR(__xludf.DUMMYFUNCTION("""COMPUTED_VALUE"""),1086.27)</f>
        <v>1086.27</v>
      </c>
      <c r="C628" s="3">
        <f>IFERROR(__xludf.DUMMYFUNCTION("""COMPUTED_VALUE"""),1086.98)</f>
        <v>1086.98</v>
      </c>
      <c r="D628" s="3">
        <f>IFERROR(__xludf.DUMMYFUNCTION("""COMPUTED_VALUE"""),1074.2)</f>
        <v>1074.2</v>
      </c>
      <c r="E628" s="3">
        <f>IFERROR(__xludf.DUMMYFUNCTION("""COMPUTED_VALUE"""),1076.36)</f>
        <v>1076.36</v>
      </c>
      <c r="F628" s="3">
        <f>IFERROR(__xludf.DUMMYFUNCTION("""COMPUTED_VALUE"""),0.0)</f>
        <v>0</v>
      </c>
    </row>
    <row r="629">
      <c r="A629" s="7">
        <f>IFERROR(__xludf.DUMMYFUNCTION("""COMPUTED_VALUE"""),37642.645833333336)</f>
        <v>37642.64583</v>
      </c>
      <c r="B629" s="3">
        <f>IFERROR(__xludf.DUMMYFUNCTION("""COMPUTED_VALUE"""),1076.29)</f>
        <v>1076.29</v>
      </c>
      <c r="C629" s="3">
        <f>IFERROR(__xludf.DUMMYFUNCTION("""COMPUTED_VALUE"""),1080.49)</f>
        <v>1080.49</v>
      </c>
      <c r="D629" s="3">
        <f>IFERROR(__xludf.DUMMYFUNCTION("""COMPUTED_VALUE"""),1074.12)</f>
        <v>1074.12</v>
      </c>
      <c r="E629" s="3">
        <f>IFERROR(__xludf.DUMMYFUNCTION("""COMPUTED_VALUE"""),1077.91)</f>
        <v>1077.91</v>
      </c>
      <c r="F629" s="3">
        <f>IFERROR(__xludf.DUMMYFUNCTION("""COMPUTED_VALUE"""),0.0)</f>
        <v>0</v>
      </c>
    </row>
    <row r="630">
      <c r="A630" s="7">
        <f>IFERROR(__xludf.DUMMYFUNCTION("""COMPUTED_VALUE"""),37643.645833333336)</f>
        <v>37643.64583</v>
      </c>
      <c r="B630" s="3">
        <f>IFERROR(__xludf.DUMMYFUNCTION("""COMPUTED_VALUE"""),1078.46)</f>
        <v>1078.46</v>
      </c>
      <c r="C630" s="3">
        <f>IFERROR(__xludf.DUMMYFUNCTION("""COMPUTED_VALUE"""),1086.19)</f>
        <v>1086.19</v>
      </c>
      <c r="D630" s="3">
        <f>IFERROR(__xludf.DUMMYFUNCTION("""COMPUTED_VALUE"""),1073.62)</f>
        <v>1073.62</v>
      </c>
      <c r="E630" s="3">
        <f>IFERROR(__xludf.DUMMYFUNCTION("""COMPUTED_VALUE"""),1082.9)</f>
        <v>1082.9</v>
      </c>
      <c r="F630" s="3">
        <f>IFERROR(__xludf.DUMMYFUNCTION("""COMPUTED_VALUE"""),0.0)</f>
        <v>0</v>
      </c>
    </row>
    <row r="631">
      <c r="A631" s="7">
        <f>IFERROR(__xludf.DUMMYFUNCTION("""COMPUTED_VALUE"""),37644.645833333336)</f>
        <v>37644.64583</v>
      </c>
      <c r="B631" s="3">
        <f>IFERROR(__xludf.DUMMYFUNCTION("""COMPUTED_VALUE"""),1081.42)</f>
        <v>1081.42</v>
      </c>
      <c r="C631" s="3">
        <f>IFERROR(__xludf.DUMMYFUNCTION("""COMPUTED_VALUE"""),1083.17)</f>
        <v>1083.17</v>
      </c>
      <c r="D631" s="3">
        <f>IFERROR(__xludf.DUMMYFUNCTION("""COMPUTED_VALUE"""),1069.03)</f>
        <v>1069.03</v>
      </c>
      <c r="E631" s="3">
        <f>IFERROR(__xludf.DUMMYFUNCTION("""COMPUTED_VALUE"""),1070.88)</f>
        <v>1070.88</v>
      </c>
      <c r="F631" s="3">
        <f>IFERROR(__xludf.DUMMYFUNCTION("""COMPUTED_VALUE"""),0.0)</f>
        <v>0</v>
      </c>
    </row>
    <row r="632">
      <c r="A632" s="7">
        <f>IFERROR(__xludf.DUMMYFUNCTION("""COMPUTED_VALUE"""),37645.645833333336)</f>
        <v>37645.64583</v>
      </c>
      <c r="B632" s="3">
        <f>IFERROR(__xludf.DUMMYFUNCTION("""COMPUTED_VALUE"""),1070.62)</f>
        <v>1070.62</v>
      </c>
      <c r="C632" s="3">
        <f>IFERROR(__xludf.DUMMYFUNCTION("""COMPUTED_VALUE"""),1075.18)</f>
        <v>1075.18</v>
      </c>
      <c r="D632" s="3">
        <f>IFERROR(__xludf.DUMMYFUNCTION("""COMPUTED_VALUE"""),1053.39)</f>
        <v>1053.39</v>
      </c>
      <c r="E632" s="3">
        <f>IFERROR(__xludf.DUMMYFUNCTION("""COMPUTED_VALUE"""),1056.03)</f>
        <v>1056.03</v>
      </c>
      <c r="F632" s="3">
        <f>IFERROR(__xludf.DUMMYFUNCTION("""COMPUTED_VALUE"""),0.0)</f>
        <v>0</v>
      </c>
    </row>
    <row r="633">
      <c r="A633" s="7">
        <f>IFERROR(__xludf.DUMMYFUNCTION("""COMPUTED_VALUE"""),37648.645833333336)</f>
        <v>37648.64583</v>
      </c>
      <c r="B633" s="3">
        <f>IFERROR(__xludf.DUMMYFUNCTION("""COMPUTED_VALUE"""),1057.82)</f>
        <v>1057.82</v>
      </c>
      <c r="C633" s="3">
        <f>IFERROR(__xludf.DUMMYFUNCTION("""COMPUTED_VALUE"""),1059.34)</f>
        <v>1059.34</v>
      </c>
      <c r="D633" s="3">
        <f>IFERROR(__xludf.DUMMYFUNCTION("""COMPUTED_VALUE"""),1030.35)</f>
        <v>1030.35</v>
      </c>
      <c r="E633" s="3">
        <f>IFERROR(__xludf.DUMMYFUNCTION("""COMPUTED_VALUE"""),1037.66)</f>
        <v>1037.66</v>
      </c>
      <c r="F633" s="3">
        <f>IFERROR(__xludf.DUMMYFUNCTION("""COMPUTED_VALUE"""),0.0)</f>
        <v>0</v>
      </c>
    </row>
    <row r="634">
      <c r="A634" s="7">
        <f>IFERROR(__xludf.DUMMYFUNCTION("""COMPUTED_VALUE"""),37649.645833333336)</f>
        <v>37649.64583</v>
      </c>
      <c r="B634" s="3">
        <f>IFERROR(__xludf.DUMMYFUNCTION("""COMPUTED_VALUE"""),1036.36)</f>
        <v>1036.36</v>
      </c>
      <c r="C634" s="3">
        <f>IFERROR(__xludf.DUMMYFUNCTION("""COMPUTED_VALUE"""),1047.93)</f>
        <v>1047.93</v>
      </c>
      <c r="D634" s="3">
        <f>IFERROR(__xludf.DUMMYFUNCTION("""COMPUTED_VALUE"""),1026.73)</f>
        <v>1026.73</v>
      </c>
      <c r="E634" s="3">
        <f>IFERROR(__xludf.DUMMYFUNCTION("""COMPUTED_VALUE"""),1046.21)</f>
        <v>1046.21</v>
      </c>
      <c r="F634" s="3">
        <f>IFERROR(__xludf.DUMMYFUNCTION("""COMPUTED_VALUE"""),0.0)</f>
        <v>0</v>
      </c>
    </row>
    <row r="635">
      <c r="A635" s="7">
        <f>IFERROR(__xludf.DUMMYFUNCTION("""COMPUTED_VALUE"""),37650.645833333336)</f>
        <v>37650.64583</v>
      </c>
      <c r="B635" s="3">
        <f>IFERROR(__xludf.DUMMYFUNCTION("""COMPUTED_VALUE"""),1059.78)</f>
        <v>1059.78</v>
      </c>
      <c r="C635" s="3">
        <f>IFERROR(__xludf.DUMMYFUNCTION("""COMPUTED_VALUE"""),1059.78)</f>
        <v>1059.78</v>
      </c>
      <c r="D635" s="3">
        <f>IFERROR(__xludf.DUMMYFUNCTION("""COMPUTED_VALUE"""),1033.31)</f>
        <v>1033.31</v>
      </c>
      <c r="E635" s="3">
        <f>IFERROR(__xludf.DUMMYFUNCTION("""COMPUTED_VALUE"""),1037.2)</f>
        <v>1037.2</v>
      </c>
      <c r="F635" s="3">
        <f>IFERROR(__xludf.DUMMYFUNCTION("""COMPUTED_VALUE"""),0.0)</f>
        <v>0</v>
      </c>
    </row>
    <row r="636">
      <c r="A636" s="7">
        <f>IFERROR(__xludf.DUMMYFUNCTION("""COMPUTED_VALUE"""),37651.645833333336)</f>
        <v>37651.64583</v>
      </c>
      <c r="B636" s="3">
        <f>IFERROR(__xludf.DUMMYFUNCTION("""COMPUTED_VALUE"""),1037.17)</f>
        <v>1037.17</v>
      </c>
      <c r="C636" s="3">
        <f>IFERROR(__xludf.DUMMYFUNCTION("""COMPUTED_VALUE"""),1050.56)</f>
        <v>1050.56</v>
      </c>
      <c r="D636" s="3">
        <f>IFERROR(__xludf.DUMMYFUNCTION("""COMPUTED_VALUE"""),1031.33)</f>
        <v>1031.33</v>
      </c>
      <c r="E636" s="3">
        <f>IFERROR(__xludf.DUMMYFUNCTION("""COMPUTED_VALUE"""),1034.62)</f>
        <v>1034.62</v>
      </c>
      <c r="F636" s="3">
        <f>IFERROR(__xludf.DUMMYFUNCTION("""COMPUTED_VALUE"""),0.0)</f>
        <v>0</v>
      </c>
    </row>
    <row r="637">
      <c r="A637" s="7">
        <f>IFERROR(__xludf.DUMMYFUNCTION("""COMPUTED_VALUE"""),37652.645833333336)</f>
        <v>37652.64583</v>
      </c>
      <c r="B637" s="3">
        <f>IFERROR(__xludf.DUMMYFUNCTION("""COMPUTED_VALUE"""),1034.77)</f>
        <v>1034.77</v>
      </c>
      <c r="C637" s="3">
        <f>IFERROR(__xludf.DUMMYFUNCTION("""COMPUTED_VALUE"""),1044.26)</f>
        <v>1044.26</v>
      </c>
      <c r="D637" s="3">
        <f>IFERROR(__xludf.DUMMYFUNCTION("""COMPUTED_VALUE"""),1026.22)</f>
        <v>1026.22</v>
      </c>
      <c r="E637" s="3">
        <f>IFERROR(__xludf.DUMMYFUNCTION("""COMPUTED_VALUE"""),1041.87)</f>
        <v>1041.87</v>
      </c>
      <c r="F637" s="3">
        <f>IFERROR(__xludf.DUMMYFUNCTION("""COMPUTED_VALUE"""),0.0)</f>
        <v>0</v>
      </c>
    </row>
    <row r="638">
      <c r="A638" s="7">
        <f>IFERROR(__xludf.DUMMYFUNCTION("""COMPUTED_VALUE"""),37655.645833333336)</f>
        <v>37655.64583</v>
      </c>
      <c r="B638" s="3">
        <f>IFERROR(__xludf.DUMMYFUNCTION("""COMPUTED_VALUE"""),1040.23)</f>
        <v>1040.23</v>
      </c>
      <c r="C638" s="3">
        <f>IFERROR(__xludf.DUMMYFUNCTION("""COMPUTED_VALUE"""),1056.62)</f>
        <v>1056.62</v>
      </c>
      <c r="D638" s="3">
        <f>IFERROR(__xludf.DUMMYFUNCTION("""COMPUTED_VALUE"""),1036.51)</f>
        <v>1036.51</v>
      </c>
      <c r="E638" s="3">
        <f>IFERROR(__xludf.DUMMYFUNCTION("""COMPUTED_VALUE"""),1055.31)</f>
        <v>1055.31</v>
      </c>
      <c r="F638" s="3">
        <f>IFERROR(__xludf.DUMMYFUNCTION("""COMPUTED_VALUE"""),0.0)</f>
        <v>0</v>
      </c>
    </row>
    <row r="639">
      <c r="A639" s="7">
        <f>IFERROR(__xludf.DUMMYFUNCTION("""COMPUTED_VALUE"""),37656.645833333336)</f>
        <v>37656.64583</v>
      </c>
      <c r="B639" s="3">
        <f>IFERROR(__xludf.DUMMYFUNCTION("""COMPUTED_VALUE"""),1056.54)</f>
        <v>1056.54</v>
      </c>
      <c r="C639" s="3">
        <f>IFERROR(__xludf.DUMMYFUNCTION("""COMPUTED_VALUE"""),1063.72)</f>
        <v>1063.72</v>
      </c>
      <c r="D639" s="3">
        <f>IFERROR(__xludf.DUMMYFUNCTION("""COMPUTED_VALUE"""),1050.46)</f>
        <v>1050.46</v>
      </c>
      <c r="E639" s="3">
        <f>IFERROR(__xludf.DUMMYFUNCTION("""COMPUTED_VALUE"""),1054.79)</f>
        <v>1054.79</v>
      </c>
      <c r="F639" s="3">
        <f>IFERROR(__xludf.DUMMYFUNCTION("""COMPUTED_VALUE"""),0.0)</f>
        <v>0</v>
      </c>
    </row>
    <row r="640">
      <c r="A640" s="7">
        <f>IFERROR(__xludf.DUMMYFUNCTION("""COMPUTED_VALUE"""),37657.645833333336)</f>
        <v>37657.64583</v>
      </c>
      <c r="B640" s="3">
        <f>IFERROR(__xludf.DUMMYFUNCTION("""COMPUTED_VALUE"""),1054.32)</f>
        <v>1054.32</v>
      </c>
      <c r="C640" s="3">
        <f>IFERROR(__xludf.DUMMYFUNCTION("""COMPUTED_VALUE"""),1054.65)</f>
        <v>1054.65</v>
      </c>
      <c r="D640" s="3">
        <f>IFERROR(__xludf.DUMMYFUNCTION("""COMPUTED_VALUE"""),1041.74)</f>
        <v>1041.74</v>
      </c>
      <c r="E640" s="3">
        <f>IFERROR(__xludf.DUMMYFUNCTION("""COMPUTED_VALUE"""),1047.4)</f>
        <v>1047.4</v>
      </c>
      <c r="F640" s="3">
        <f>IFERROR(__xludf.DUMMYFUNCTION("""COMPUTED_VALUE"""),0.0)</f>
        <v>0</v>
      </c>
    </row>
    <row r="641">
      <c r="A641" s="7">
        <f>IFERROR(__xludf.DUMMYFUNCTION("""COMPUTED_VALUE"""),37658.645833333336)</f>
        <v>37658.64583</v>
      </c>
      <c r="B641" s="3">
        <f>IFERROR(__xludf.DUMMYFUNCTION("""COMPUTED_VALUE"""),1047.24)</f>
        <v>1047.24</v>
      </c>
      <c r="C641" s="3">
        <f>IFERROR(__xludf.DUMMYFUNCTION("""COMPUTED_VALUE"""),1065.97)</f>
        <v>1065.97</v>
      </c>
      <c r="D641" s="3">
        <f>IFERROR(__xludf.DUMMYFUNCTION("""COMPUTED_VALUE"""),1043.68)</f>
        <v>1043.68</v>
      </c>
      <c r="E641" s="3">
        <f>IFERROR(__xludf.DUMMYFUNCTION("""COMPUTED_VALUE"""),1063.59)</f>
        <v>1063.59</v>
      </c>
      <c r="F641" s="3">
        <f>IFERROR(__xludf.DUMMYFUNCTION("""COMPUTED_VALUE"""),0.0)</f>
        <v>0</v>
      </c>
    </row>
    <row r="642">
      <c r="A642" s="7">
        <f>IFERROR(__xludf.DUMMYFUNCTION("""COMPUTED_VALUE"""),37659.645833333336)</f>
        <v>37659.64583</v>
      </c>
      <c r="B642" s="3">
        <f>IFERROR(__xludf.DUMMYFUNCTION("""COMPUTED_VALUE"""),1063.74)</f>
        <v>1063.74</v>
      </c>
      <c r="C642" s="3">
        <f>IFERROR(__xludf.DUMMYFUNCTION("""COMPUTED_VALUE"""),1065.78)</f>
        <v>1065.78</v>
      </c>
      <c r="D642" s="3">
        <f>IFERROR(__xludf.DUMMYFUNCTION("""COMPUTED_VALUE"""),1055.49)</f>
        <v>1055.49</v>
      </c>
      <c r="E642" s="3">
        <f>IFERROR(__xludf.DUMMYFUNCTION("""COMPUTED_VALUE"""),1057.52)</f>
        <v>1057.52</v>
      </c>
      <c r="F642" s="3">
        <f>IFERROR(__xludf.DUMMYFUNCTION("""COMPUTED_VALUE"""),0.0)</f>
        <v>0</v>
      </c>
    </row>
    <row r="643">
      <c r="A643" s="7">
        <f>IFERROR(__xludf.DUMMYFUNCTION("""COMPUTED_VALUE"""),37662.645833333336)</f>
        <v>37662.64583</v>
      </c>
      <c r="B643" s="3">
        <f>IFERROR(__xludf.DUMMYFUNCTION("""COMPUTED_VALUE"""),1058.18)</f>
        <v>1058.18</v>
      </c>
      <c r="C643" s="3">
        <f>IFERROR(__xludf.DUMMYFUNCTION("""COMPUTED_VALUE"""),1058.75)</f>
        <v>1058.75</v>
      </c>
      <c r="D643" s="3">
        <f>IFERROR(__xludf.DUMMYFUNCTION("""COMPUTED_VALUE"""),1047.14)</f>
        <v>1047.14</v>
      </c>
      <c r="E643" s="3">
        <f>IFERROR(__xludf.DUMMYFUNCTION("""COMPUTED_VALUE"""),1048.58)</f>
        <v>1048.58</v>
      </c>
      <c r="F643" s="3">
        <f>IFERROR(__xludf.DUMMYFUNCTION("""COMPUTED_VALUE"""),0.0)</f>
        <v>0</v>
      </c>
    </row>
    <row r="644">
      <c r="A644" s="7">
        <f>IFERROR(__xludf.DUMMYFUNCTION("""COMPUTED_VALUE"""),37663.645833333336)</f>
        <v>37663.64583</v>
      </c>
      <c r="B644" s="3">
        <f>IFERROR(__xludf.DUMMYFUNCTION("""COMPUTED_VALUE"""),1048.61)</f>
        <v>1048.61</v>
      </c>
      <c r="C644" s="3">
        <f>IFERROR(__xludf.DUMMYFUNCTION("""COMPUTED_VALUE"""),1055.8)</f>
        <v>1055.8</v>
      </c>
      <c r="D644" s="3">
        <f>IFERROR(__xludf.DUMMYFUNCTION("""COMPUTED_VALUE"""),1044.55)</f>
        <v>1044.55</v>
      </c>
      <c r="E644" s="3">
        <f>IFERROR(__xludf.DUMMYFUNCTION("""COMPUTED_VALUE"""),1048.02)</f>
        <v>1048.02</v>
      </c>
      <c r="F644" s="3">
        <f>IFERROR(__xludf.DUMMYFUNCTION("""COMPUTED_VALUE"""),0.0)</f>
        <v>0</v>
      </c>
    </row>
    <row r="645">
      <c r="A645" s="7">
        <f>IFERROR(__xludf.DUMMYFUNCTION("""COMPUTED_VALUE"""),37664.645833333336)</f>
        <v>37664.64583</v>
      </c>
      <c r="B645" s="3">
        <f>IFERROR(__xludf.DUMMYFUNCTION("""COMPUTED_VALUE"""),1048.16)</f>
        <v>1048.16</v>
      </c>
      <c r="C645" s="3">
        <f>IFERROR(__xludf.DUMMYFUNCTION("""COMPUTED_VALUE"""),1051.01)</f>
        <v>1051.01</v>
      </c>
      <c r="D645" s="3">
        <f>IFERROR(__xludf.DUMMYFUNCTION("""COMPUTED_VALUE"""),1040.41)</f>
        <v>1040.41</v>
      </c>
      <c r="E645" s="3">
        <f>IFERROR(__xludf.DUMMYFUNCTION("""COMPUTED_VALUE"""),1044.47)</f>
        <v>1044.47</v>
      </c>
      <c r="F645" s="3">
        <f>IFERROR(__xludf.DUMMYFUNCTION("""COMPUTED_VALUE"""),0.0)</f>
        <v>0</v>
      </c>
    </row>
    <row r="646">
      <c r="A646" s="7">
        <f>IFERROR(__xludf.DUMMYFUNCTION("""COMPUTED_VALUE"""),37666.645833333336)</f>
        <v>37666.64583</v>
      </c>
      <c r="B646" s="3">
        <f>IFERROR(__xludf.DUMMYFUNCTION("""COMPUTED_VALUE"""),1044.44)</f>
        <v>1044.44</v>
      </c>
      <c r="C646" s="3">
        <f>IFERROR(__xludf.DUMMYFUNCTION("""COMPUTED_VALUE"""),1047.05)</f>
        <v>1047.05</v>
      </c>
      <c r="D646" s="3">
        <f>IFERROR(__xludf.DUMMYFUNCTION("""COMPUTED_VALUE"""),1034.1)</f>
        <v>1034.1</v>
      </c>
      <c r="E646" s="3">
        <f>IFERROR(__xludf.DUMMYFUNCTION("""COMPUTED_VALUE"""),1035.99)</f>
        <v>1035.99</v>
      </c>
      <c r="F646" s="3">
        <f>IFERROR(__xludf.DUMMYFUNCTION("""COMPUTED_VALUE"""),0.0)</f>
        <v>0</v>
      </c>
    </row>
    <row r="647">
      <c r="A647" s="7">
        <f>IFERROR(__xludf.DUMMYFUNCTION("""COMPUTED_VALUE"""),37669.645833333336)</f>
        <v>37669.64583</v>
      </c>
      <c r="B647" s="3">
        <f>IFERROR(__xludf.DUMMYFUNCTION("""COMPUTED_VALUE"""),1036.21)</f>
        <v>1036.21</v>
      </c>
      <c r="C647" s="3">
        <f>IFERROR(__xludf.DUMMYFUNCTION("""COMPUTED_VALUE"""),1060.51)</f>
        <v>1060.51</v>
      </c>
      <c r="D647" s="3">
        <f>IFERROR(__xludf.DUMMYFUNCTION("""COMPUTED_VALUE"""),1036.21)</f>
        <v>1036.21</v>
      </c>
      <c r="E647" s="3">
        <f>IFERROR(__xludf.DUMMYFUNCTION("""COMPUTED_VALUE"""),1058.22)</f>
        <v>1058.22</v>
      </c>
      <c r="F647" s="3">
        <f>IFERROR(__xludf.DUMMYFUNCTION("""COMPUTED_VALUE"""),0.0)</f>
        <v>0</v>
      </c>
    </row>
    <row r="648">
      <c r="A648" s="7">
        <f>IFERROR(__xludf.DUMMYFUNCTION("""COMPUTED_VALUE"""),37670.645833333336)</f>
        <v>37670.64583</v>
      </c>
      <c r="B648" s="3">
        <f>IFERROR(__xludf.DUMMYFUNCTION("""COMPUTED_VALUE"""),1058.95)</f>
        <v>1058.95</v>
      </c>
      <c r="C648" s="3">
        <f>IFERROR(__xludf.DUMMYFUNCTION("""COMPUTED_VALUE"""),1065.13)</f>
        <v>1065.13</v>
      </c>
      <c r="D648" s="3">
        <f>IFERROR(__xludf.DUMMYFUNCTION("""COMPUTED_VALUE"""),1057.61)</f>
        <v>1057.61</v>
      </c>
      <c r="E648" s="3">
        <f>IFERROR(__xludf.DUMMYFUNCTION("""COMPUTED_VALUE"""),1059.29)</f>
        <v>1059.29</v>
      </c>
      <c r="F648" s="3">
        <f>IFERROR(__xludf.DUMMYFUNCTION("""COMPUTED_VALUE"""),0.0)</f>
        <v>0</v>
      </c>
    </row>
    <row r="649">
      <c r="A649" s="7">
        <f>IFERROR(__xludf.DUMMYFUNCTION("""COMPUTED_VALUE"""),37671.645833333336)</f>
        <v>37671.64583</v>
      </c>
      <c r="B649" s="3">
        <f>IFERROR(__xludf.DUMMYFUNCTION("""COMPUTED_VALUE"""),1059.29)</f>
        <v>1059.29</v>
      </c>
      <c r="C649" s="3">
        <f>IFERROR(__xludf.DUMMYFUNCTION("""COMPUTED_VALUE"""),1068.8)</f>
        <v>1068.8</v>
      </c>
      <c r="D649" s="3">
        <f>IFERROR(__xludf.DUMMYFUNCTION("""COMPUTED_VALUE"""),1059.29)</f>
        <v>1059.29</v>
      </c>
      <c r="E649" s="3">
        <f>IFERROR(__xludf.DUMMYFUNCTION("""COMPUTED_VALUE"""),1064.28)</f>
        <v>1064.28</v>
      </c>
      <c r="F649" s="3">
        <f>IFERROR(__xludf.DUMMYFUNCTION("""COMPUTED_VALUE"""),0.0)</f>
        <v>0</v>
      </c>
    </row>
    <row r="650">
      <c r="A650" s="7">
        <f>IFERROR(__xludf.DUMMYFUNCTION("""COMPUTED_VALUE"""),37672.645833333336)</f>
        <v>37672.64583</v>
      </c>
      <c r="B650" s="3">
        <f>IFERROR(__xludf.DUMMYFUNCTION("""COMPUTED_VALUE"""),1064.16)</f>
        <v>1064.16</v>
      </c>
      <c r="C650" s="3">
        <f>IFERROR(__xludf.DUMMYFUNCTION("""COMPUTED_VALUE"""),1071.71)</f>
        <v>1071.71</v>
      </c>
      <c r="D650" s="3">
        <f>IFERROR(__xludf.DUMMYFUNCTION("""COMPUTED_VALUE"""),1058.35)</f>
        <v>1058.35</v>
      </c>
      <c r="E650" s="3">
        <f>IFERROR(__xludf.DUMMYFUNCTION("""COMPUTED_VALUE"""),1065.61)</f>
        <v>1065.61</v>
      </c>
      <c r="F650" s="3">
        <f>IFERROR(__xludf.DUMMYFUNCTION("""COMPUTED_VALUE"""),0.0)</f>
        <v>0</v>
      </c>
    </row>
    <row r="651">
      <c r="A651" s="7">
        <f>IFERROR(__xludf.DUMMYFUNCTION("""COMPUTED_VALUE"""),37673.645833333336)</f>
        <v>37673.64583</v>
      </c>
      <c r="B651" s="3">
        <f>IFERROR(__xludf.DUMMYFUNCTION("""COMPUTED_VALUE"""),1065.6)</f>
        <v>1065.6</v>
      </c>
      <c r="C651" s="3">
        <f>IFERROR(__xludf.DUMMYFUNCTION("""COMPUTED_VALUE"""),1069.21)</f>
        <v>1069.21</v>
      </c>
      <c r="D651" s="3">
        <f>IFERROR(__xludf.DUMMYFUNCTION("""COMPUTED_VALUE"""),1061.12)</f>
        <v>1061.12</v>
      </c>
      <c r="E651" s="3">
        <f>IFERROR(__xludf.DUMMYFUNCTION("""COMPUTED_VALUE"""),1066.14)</f>
        <v>1066.14</v>
      </c>
      <c r="F651" s="3">
        <f>IFERROR(__xludf.DUMMYFUNCTION("""COMPUTED_VALUE"""),0.0)</f>
        <v>0</v>
      </c>
    </row>
    <row r="652">
      <c r="A652" s="7">
        <f>IFERROR(__xludf.DUMMYFUNCTION("""COMPUTED_VALUE"""),37676.645833333336)</f>
        <v>37676.64583</v>
      </c>
      <c r="B652" s="3">
        <f>IFERROR(__xludf.DUMMYFUNCTION("""COMPUTED_VALUE"""),1066.21)</f>
        <v>1066.21</v>
      </c>
      <c r="C652" s="3">
        <f>IFERROR(__xludf.DUMMYFUNCTION("""COMPUTED_VALUE"""),1075.52)</f>
        <v>1075.52</v>
      </c>
      <c r="D652" s="3">
        <f>IFERROR(__xludf.DUMMYFUNCTION("""COMPUTED_VALUE"""),1066.21)</f>
        <v>1066.21</v>
      </c>
      <c r="E652" s="3">
        <f>IFERROR(__xludf.DUMMYFUNCTION("""COMPUTED_VALUE"""),1070.14)</f>
        <v>1070.14</v>
      </c>
      <c r="F652" s="3">
        <f>IFERROR(__xludf.DUMMYFUNCTION("""COMPUTED_VALUE"""),0.0)</f>
        <v>0</v>
      </c>
    </row>
    <row r="653">
      <c r="A653" s="7">
        <f>IFERROR(__xludf.DUMMYFUNCTION("""COMPUTED_VALUE"""),37677.645833333336)</f>
        <v>37677.64583</v>
      </c>
      <c r="B653" s="3">
        <f>IFERROR(__xludf.DUMMYFUNCTION("""COMPUTED_VALUE"""),1070.1)</f>
        <v>1070.1</v>
      </c>
      <c r="C653" s="3">
        <f>IFERROR(__xludf.DUMMYFUNCTION("""COMPUTED_VALUE"""),1073.24)</f>
        <v>1073.24</v>
      </c>
      <c r="D653" s="3">
        <f>IFERROR(__xludf.DUMMYFUNCTION("""COMPUTED_VALUE"""),1054.92)</f>
        <v>1054.92</v>
      </c>
      <c r="E653" s="3">
        <f>IFERROR(__xludf.DUMMYFUNCTION("""COMPUTED_VALUE"""),1055.55)</f>
        <v>1055.55</v>
      </c>
      <c r="F653" s="3">
        <f>IFERROR(__xludf.DUMMYFUNCTION("""COMPUTED_VALUE"""),0.0)</f>
        <v>0</v>
      </c>
    </row>
    <row r="654">
      <c r="A654" s="7">
        <f>IFERROR(__xludf.DUMMYFUNCTION("""COMPUTED_VALUE"""),37678.645833333336)</f>
        <v>37678.64583</v>
      </c>
      <c r="B654" s="3">
        <f>IFERROR(__xludf.DUMMYFUNCTION("""COMPUTED_VALUE"""),1055.61)</f>
        <v>1055.61</v>
      </c>
      <c r="C654" s="3">
        <f>IFERROR(__xludf.DUMMYFUNCTION("""COMPUTED_VALUE"""),1059.61)</f>
        <v>1059.61</v>
      </c>
      <c r="D654" s="3">
        <f>IFERROR(__xludf.DUMMYFUNCTION("""COMPUTED_VALUE"""),1048.18)</f>
        <v>1048.18</v>
      </c>
      <c r="E654" s="3">
        <f>IFERROR(__xludf.DUMMYFUNCTION("""COMPUTED_VALUE"""),1049.63)</f>
        <v>1049.63</v>
      </c>
      <c r="F654" s="3">
        <f>IFERROR(__xludf.DUMMYFUNCTION("""COMPUTED_VALUE"""),0.0)</f>
        <v>0</v>
      </c>
    </row>
    <row r="655">
      <c r="A655" s="7">
        <f>IFERROR(__xludf.DUMMYFUNCTION("""COMPUTED_VALUE"""),37679.645833333336)</f>
        <v>37679.64583</v>
      </c>
      <c r="B655" s="3">
        <f>IFERROR(__xludf.DUMMYFUNCTION("""COMPUTED_VALUE"""),1049.59)</f>
        <v>1049.59</v>
      </c>
      <c r="C655" s="3">
        <f>IFERROR(__xludf.DUMMYFUNCTION("""COMPUTED_VALUE"""),1057.46)</f>
        <v>1057.46</v>
      </c>
      <c r="D655" s="3">
        <f>IFERROR(__xludf.DUMMYFUNCTION("""COMPUTED_VALUE"""),1044.89)</f>
        <v>1044.89</v>
      </c>
      <c r="E655" s="3">
        <f>IFERROR(__xludf.DUMMYFUNCTION("""COMPUTED_VALUE"""),1052.97)</f>
        <v>1052.97</v>
      </c>
      <c r="F655" s="3">
        <f>IFERROR(__xludf.DUMMYFUNCTION("""COMPUTED_VALUE"""),0.0)</f>
        <v>0</v>
      </c>
    </row>
    <row r="656">
      <c r="A656" s="7">
        <f>IFERROR(__xludf.DUMMYFUNCTION("""COMPUTED_VALUE"""),37680.645833333336)</f>
        <v>37680.64583</v>
      </c>
      <c r="B656" s="3">
        <f>IFERROR(__xludf.DUMMYFUNCTION("""COMPUTED_VALUE"""),1053.66)</f>
        <v>1053.66</v>
      </c>
      <c r="C656" s="3">
        <f>IFERROR(__xludf.DUMMYFUNCTION("""COMPUTED_VALUE"""),1068.67)</f>
        <v>1068.67</v>
      </c>
      <c r="D656" s="3">
        <f>IFERROR(__xludf.DUMMYFUNCTION("""COMPUTED_VALUE"""),1053.66)</f>
        <v>1053.66</v>
      </c>
      <c r="E656" s="3">
        <f>IFERROR(__xludf.DUMMYFUNCTION("""COMPUTED_VALUE"""),1063.38)</f>
        <v>1063.38</v>
      </c>
      <c r="F656" s="3">
        <f>IFERROR(__xludf.DUMMYFUNCTION("""COMPUTED_VALUE"""),0.0)</f>
        <v>0</v>
      </c>
    </row>
    <row r="657">
      <c r="A657" s="7">
        <f>IFERROR(__xludf.DUMMYFUNCTION("""COMPUTED_VALUE"""),37683.645833333336)</f>
        <v>37683.64583</v>
      </c>
      <c r="B657" s="3">
        <f>IFERROR(__xludf.DUMMYFUNCTION("""COMPUTED_VALUE"""),1063.53)</f>
        <v>1063.53</v>
      </c>
      <c r="C657" s="3">
        <f>IFERROR(__xludf.DUMMYFUNCTION("""COMPUTED_VALUE"""),1070.85)</f>
        <v>1070.85</v>
      </c>
      <c r="D657" s="3">
        <f>IFERROR(__xludf.DUMMYFUNCTION("""COMPUTED_VALUE"""),1057.53)</f>
        <v>1057.53</v>
      </c>
      <c r="E657" s="3">
        <f>IFERROR(__xludf.DUMMYFUNCTION("""COMPUTED_VALUE"""),1058.84)</f>
        <v>1058.84</v>
      </c>
      <c r="F657" s="3">
        <f>IFERROR(__xludf.DUMMYFUNCTION("""COMPUTED_VALUE"""),0.0)</f>
        <v>0</v>
      </c>
    </row>
    <row r="658">
      <c r="A658" s="7">
        <f>IFERROR(__xludf.DUMMYFUNCTION("""COMPUTED_VALUE"""),37684.645833333336)</f>
        <v>37684.64583</v>
      </c>
      <c r="B658" s="3">
        <f>IFERROR(__xludf.DUMMYFUNCTION("""COMPUTED_VALUE"""),1058.69)</f>
        <v>1058.69</v>
      </c>
      <c r="C658" s="3">
        <f>IFERROR(__xludf.DUMMYFUNCTION("""COMPUTED_VALUE"""),1058.69)</f>
        <v>1058.69</v>
      </c>
      <c r="D658" s="3">
        <f>IFERROR(__xludf.DUMMYFUNCTION("""COMPUTED_VALUE"""),1045.22)</f>
        <v>1045.22</v>
      </c>
      <c r="E658" s="3">
        <f>IFERROR(__xludf.DUMMYFUNCTION("""COMPUTED_VALUE"""),1046.62)</f>
        <v>1046.62</v>
      </c>
      <c r="F658" s="3">
        <f>IFERROR(__xludf.DUMMYFUNCTION("""COMPUTED_VALUE"""),0.0)</f>
        <v>0</v>
      </c>
    </row>
    <row r="659">
      <c r="A659" s="7">
        <f>IFERROR(__xludf.DUMMYFUNCTION("""COMPUTED_VALUE"""),37685.645833333336)</f>
        <v>37685.64583</v>
      </c>
      <c r="B659" s="3">
        <f>IFERROR(__xludf.DUMMYFUNCTION("""COMPUTED_VALUE"""),1046.55)</f>
        <v>1046.55</v>
      </c>
      <c r="C659" s="3">
        <f>IFERROR(__xludf.DUMMYFUNCTION("""COMPUTED_VALUE"""),1046.55)</f>
        <v>1046.55</v>
      </c>
      <c r="D659" s="3">
        <f>IFERROR(__xludf.DUMMYFUNCTION("""COMPUTED_VALUE"""),1029.9)</f>
        <v>1029.9</v>
      </c>
      <c r="E659" s="3">
        <f>IFERROR(__xludf.DUMMYFUNCTION("""COMPUTED_VALUE"""),1040.69)</f>
        <v>1040.69</v>
      </c>
      <c r="F659" s="3">
        <f>IFERROR(__xludf.DUMMYFUNCTION("""COMPUTED_VALUE"""),0.0)</f>
        <v>0</v>
      </c>
    </row>
    <row r="660">
      <c r="A660" s="7">
        <f>IFERROR(__xludf.DUMMYFUNCTION("""COMPUTED_VALUE"""),37686.645833333336)</f>
        <v>37686.64583</v>
      </c>
      <c r="B660" s="3">
        <f>IFERROR(__xludf.DUMMYFUNCTION("""COMPUTED_VALUE"""),1040.31)</f>
        <v>1040.31</v>
      </c>
      <c r="C660" s="3">
        <f>IFERROR(__xludf.DUMMYFUNCTION("""COMPUTED_VALUE"""),1040.77)</f>
        <v>1040.77</v>
      </c>
      <c r="D660" s="3">
        <f>IFERROR(__xludf.DUMMYFUNCTION("""COMPUTED_VALUE"""),1029.55)</f>
        <v>1029.55</v>
      </c>
      <c r="E660" s="3">
        <f>IFERROR(__xludf.DUMMYFUNCTION("""COMPUTED_VALUE"""),1031.27)</f>
        <v>1031.27</v>
      </c>
      <c r="F660" s="3">
        <f>IFERROR(__xludf.DUMMYFUNCTION("""COMPUTED_VALUE"""),0.0)</f>
        <v>0</v>
      </c>
    </row>
    <row r="661">
      <c r="A661" s="7">
        <f>IFERROR(__xludf.DUMMYFUNCTION("""COMPUTED_VALUE"""),37687.645833333336)</f>
        <v>37687.64583</v>
      </c>
      <c r="B661" s="3">
        <f>IFERROR(__xludf.DUMMYFUNCTION("""COMPUTED_VALUE"""),1031.04)</f>
        <v>1031.04</v>
      </c>
      <c r="C661" s="3">
        <f>IFERROR(__xludf.DUMMYFUNCTION("""COMPUTED_VALUE"""),1031.04)</f>
        <v>1031.04</v>
      </c>
      <c r="D661" s="3">
        <f>IFERROR(__xludf.DUMMYFUNCTION("""COMPUTED_VALUE"""),1014.29)</f>
        <v>1014.29</v>
      </c>
      <c r="E661" s="3">
        <f>IFERROR(__xludf.DUMMYFUNCTION("""COMPUTED_VALUE"""),1017.08)</f>
        <v>1017.08</v>
      </c>
      <c r="F661" s="3">
        <f>IFERROR(__xludf.DUMMYFUNCTION("""COMPUTED_VALUE"""),0.0)</f>
        <v>0</v>
      </c>
    </row>
    <row r="662">
      <c r="A662" s="7">
        <f>IFERROR(__xludf.DUMMYFUNCTION("""COMPUTED_VALUE"""),37690.645833333336)</f>
        <v>37690.64583</v>
      </c>
      <c r="B662" s="3">
        <f>IFERROR(__xludf.DUMMYFUNCTION("""COMPUTED_VALUE"""),1017.08)</f>
        <v>1017.08</v>
      </c>
      <c r="C662" s="3">
        <f>IFERROR(__xludf.DUMMYFUNCTION("""COMPUTED_VALUE"""),1021.51)</f>
        <v>1021.51</v>
      </c>
      <c r="D662" s="3">
        <f>IFERROR(__xludf.DUMMYFUNCTION("""COMPUTED_VALUE"""),1004.36)</f>
        <v>1004.36</v>
      </c>
      <c r="E662" s="3">
        <f>IFERROR(__xludf.DUMMYFUNCTION("""COMPUTED_VALUE"""),1006.69)</f>
        <v>1006.69</v>
      </c>
      <c r="F662" s="3">
        <f>IFERROR(__xludf.DUMMYFUNCTION("""COMPUTED_VALUE"""),0.0)</f>
        <v>0</v>
      </c>
    </row>
    <row r="663">
      <c r="A663" s="7">
        <f>IFERROR(__xludf.DUMMYFUNCTION("""COMPUTED_VALUE"""),37691.645833333336)</f>
        <v>37691.64583</v>
      </c>
      <c r="B663" s="3">
        <f>IFERROR(__xludf.DUMMYFUNCTION("""COMPUTED_VALUE"""),1006.63)</f>
        <v>1006.63</v>
      </c>
      <c r="C663" s="3">
        <f>IFERROR(__xludf.DUMMYFUNCTION("""COMPUTED_VALUE"""),1016.69)</f>
        <v>1016.69</v>
      </c>
      <c r="D663" s="3">
        <f>IFERROR(__xludf.DUMMYFUNCTION("""COMPUTED_VALUE"""),998.93)</f>
        <v>998.93</v>
      </c>
      <c r="E663" s="3">
        <f>IFERROR(__xludf.DUMMYFUNCTION("""COMPUTED_VALUE"""),1014.55)</f>
        <v>1014.55</v>
      </c>
      <c r="F663" s="3">
        <f>IFERROR(__xludf.DUMMYFUNCTION("""COMPUTED_VALUE"""),0.0)</f>
        <v>0</v>
      </c>
    </row>
    <row r="664">
      <c r="A664" s="7">
        <f>IFERROR(__xludf.DUMMYFUNCTION("""COMPUTED_VALUE"""),37692.645833333336)</f>
        <v>37692.64583</v>
      </c>
      <c r="B664" s="3">
        <f>IFERROR(__xludf.DUMMYFUNCTION("""COMPUTED_VALUE"""),1014.24)</f>
        <v>1014.24</v>
      </c>
      <c r="C664" s="3">
        <f>IFERROR(__xludf.DUMMYFUNCTION("""COMPUTED_VALUE"""),1017.75)</f>
        <v>1017.75</v>
      </c>
      <c r="D664" s="3">
        <f>IFERROR(__xludf.DUMMYFUNCTION("""COMPUTED_VALUE"""),1000.04)</f>
        <v>1000.04</v>
      </c>
      <c r="E664" s="3">
        <f>IFERROR(__xludf.DUMMYFUNCTION("""COMPUTED_VALUE"""),1001.7)</f>
        <v>1001.7</v>
      </c>
      <c r="F664" s="3">
        <f>IFERROR(__xludf.DUMMYFUNCTION("""COMPUTED_VALUE"""),0.0)</f>
        <v>0</v>
      </c>
    </row>
    <row r="665">
      <c r="A665" s="7">
        <f>IFERROR(__xludf.DUMMYFUNCTION("""COMPUTED_VALUE"""),37693.645833333336)</f>
        <v>37693.64583</v>
      </c>
      <c r="B665" s="3">
        <f>IFERROR(__xludf.DUMMYFUNCTION("""COMPUTED_VALUE"""),1001.5)</f>
        <v>1001.5</v>
      </c>
      <c r="C665" s="3">
        <f>IFERROR(__xludf.DUMMYFUNCTION("""COMPUTED_VALUE"""),1006.38)</f>
        <v>1006.38</v>
      </c>
      <c r="D665" s="3">
        <f>IFERROR(__xludf.DUMMYFUNCTION("""COMPUTED_VALUE"""),994.18)</f>
        <v>994.18</v>
      </c>
      <c r="E665" s="3">
        <f>IFERROR(__xludf.DUMMYFUNCTION("""COMPUTED_VALUE"""),999.65)</f>
        <v>999.65</v>
      </c>
      <c r="F665" s="3">
        <f>IFERROR(__xludf.DUMMYFUNCTION("""COMPUTED_VALUE"""),0.0)</f>
        <v>0</v>
      </c>
    </row>
    <row r="666">
      <c r="A666" s="7">
        <f>IFERROR(__xludf.DUMMYFUNCTION("""COMPUTED_VALUE"""),37697.645833333336)</f>
        <v>37697.64583</v>
      </c>
      <c r="B666" s="3">
        <f>IFERROR(__xludf.DUMMYFUNCTION("""COMPUTED_VALUE"""),999.7)</f>
        <v>999.7</v>
      </c>
      <c r="C666" s="3">
        <f>IFERROR(__xludf.DUMMYFUNCTION("""COMPUTED_VALUE"""),1000.87)</f>
        <v>1000.87</v>
      </c>
      <c r="D666" s="3">
        <f>IFERROR(__xludf.DUMMYFUNCTION("""COMPUTED_VALUE"""),982.7)</f>
        <v>982.7</v>
      </c>
      <c r="E666" s="3">
        <f>IFERROR(__xludf.DUMMYFUNCTION("""COMPUTED_VALUE"""),993.01)</f>
        <v>993.01</v>
      </c>
      <c r="F666" s="3">
        <f>IFERROR(__xludf.DUMMYFUNCTION("""COMPUTED_VALUE"""),0.0)</f>
        <v>0</v>
      </c>
    </row>
    <row r="667">
      <c r="A667" s="7">
        <f>IFERROR(__xludf.DUMMYFUNCTION("""COMPUTED_VALUE"""),37699.645833333336)</f>
        <v>37699.64583</v>
      </c>
      <c r="B667" s="3">
        <f>IFERROR(__xludf.DUMMYFUNCTION("""COMPUTED_VALUE"""),993.33)</f>
        <v>993.33</v>
      </c>
      <c r="C667" s="3">
        <f>IFERROR(__xludf.DUMMYFUNCTION("""COMPUTED_VALUE"""),1011.44)</f>
        <v>1011.44</v>
      </c>
      <c r="D667" s="3">
        <f>IFERROR(__xludf.DUMMYFUNCTION("""COMPUTED_VALUE"""),992.9)</f>
        <v>992.9</v>
      </c>
      <c r="E667" s="3">
        <f>IFERROR(__xludf.DUMMYFUNCTION("""COMPUTED_VALUE"""),1003.91)</f>
        <v>1003.91</v>
      </c>
      <c r="F667" s="3">
        <f>IFERROR(__xludf.DUMMYFUNCTION("""COMPUTED_VALUE"""),0.0)</f>
        <v>0</v>
      </c>
    </row>
    <row r="668">
      <c r="A668" s="7">
        <f>IFERROR(__xludf.DUMMYFUNCTION("""COMPUTED_VALUE"""),37700.645833333336)</f>
        <v>37700.64583</v>
      </c>
      <c r="B668" s="3">
        <f>IFERROR(__xludf.DUMMYFUNCTION("""COMPUTED_VALUE"""),1003.44)</f>
        <v>1003.44</v>
      </c>
      <c r="C668" s="3">
        <f>IFERROR(__xludf.DUMMYFUNCTION("""COMPUTED_VALUE"""),1028.88)</f>
        <v>1028.88</v>
      </c>
      <c r="D668" s="3">
        <f>IFERROR(__xludf.DUMMYFUNCTION("""COMPUTED_VALUE"""),1001.76)</f>
        <v>1001.76</v>
      </c>
      <c r="E668" s="3">
        <f>IFERROR(__xludf.DUMMYFUNCTION("""COMPUTED_VALUE"""),1025.26)</f>
        <v>1025.26</v>
      </c>
      <c r="F668" s="3">
        <f>IFERROR(__xludf.DUMMYFUNCTION("""COMPUTED_VALUE"""),0.0)</f>
        <v>0</v>
      </c>
    </row>
    <row r="669">
      <c r="A669" s="7">
        <f>IFERROR(__xludf.DUMMYFUNCTION("""COMPUTED_VALUE"""),37701.645833333336)</f>
        <v>37701.64583</v>
      </c>
      <c r="B669" s="3">
        <f>IFERROR(__xludf.DUMMYFUNCTION("""COMPUTED_VALUE"""),1025.57)</f>
        <v>1025.57</v>
      </c>
      <c r="C669" s="3">
        <f>IFERROR(__xludf.DUMMYFUNCTION("""COMPUTED_VALUE"""),1033.71)</f>
        <v>1033.71</v>
      </c>
      <c r="D669" s="3">
        <f>IFERROR(__xludf.DUMMYFUNCTION("""COMPUTED_VALUE"""),1022.07)</f>
        <v>1022.07</v>
      </c>
      <c r="E669" s="3">
        <f>IFERROR(__xludf.DUMMYFUNCTION("""COMPUTED_VALUE"""),1030.57)</f>
        <v>1030.57</v>
      </c>
      <c r="F669" s="3">
        <f>IFERROR(__xludf.DUMMYFUNCTION("""COMPUTED_VALUE"""),0.0)</f>
        <v>0</v>
      </c>
    </row>
    <row r="670">
      <c r="A670" s="7">
        <f>IFERROR(__xludf.DUMMYFUNCTION("""COMPUTED_VALUE"""),37704.645833333336)</f>
        <v>37704.64583</v>
      </c>
      <c r="B670" s="3">
        <f>IFERROR(__xludf.DUMMYFUNCTION("""COMPUTED_VALUE"""),1037.14)</f>
        <v>1037.14</v>
      </c>
      <c r="C670" s="3">
        <f>IFERROR(__xludf.DUMMYFUNCTION("""COMPUTED_VALUE"""),1038.57)</f>
        <v>1038.57</v>
      </c>
      <c r="D670" s="3">
        <f>IFERROR(__xludf.DUMMYFUNCTION("""COMPUTED_VALUE"""),1011.95)</f>
        <v>1011.95</v>
      </c>
      <c r="E670" s="3">
        <f>IFERROR(__xludf.DUMMYFUNCTION("""COMPUTED_VALUE"""),1013.91)</f>
        <v>1013.91</v>
      </c>
      <c r="F670" s="3">
        <f>IFERROR(__xludf.DUMMYFUNCTION("""COMPUTED_VALUE"""),0.0)</f>
        <v>0</v>
      </c>
    </row>
    <row r="671">
      <c r="A671" s="7">
        <f>IFERROR(__xludf.DUMMYFUNCTION("""COMPUTED_VALUE"""),37705.645833333336)</f>
        <v>37705.64583</v>
      </c>
      <c r="B671" s="3">
        <f>IFERROR(__xludf.DUMMYFUNCTION("""COMPUTED_VALUE"""),1013.48)</f>
        <v>1013.48</v>
      </c>
      <c r="C671" s="3">
        <f>IFERROR(__xludf.DUMMYFUNCTION("""COMPUTED_VALUE"""),1013.48)</f>
        <v>1013.48</v>
      </c>
      <c r="D671" s="3">
        <f>IFERROR(__xludf.DUMMYFUNCTION("""COMPUTED_VALUE"""),998.39)</f>
        <v>998.39</v>
      </c>
      <c r="E671" s="3">
        <f>IFERROR(__xludf.DUMMYFUNCTION("""COMPUTED_VALUE"""),1011.31)</f>
        <v>1011.31</v>
      </c>
      <c r="F671" s="3">
        <f>IFERROR(__xludf.DUMMYFUNCTION("""COMPUTED_VALUE"""),0.0)</f>
        <v>0</v>
      </c>
    </row>
    <row r="672">
      <c r="A672" s="7">
        <f>IFERROR(__xludf.DUMMYFUNCTION("""COMPUTED_VALUE"""),37706.645833333336)</f>
        <v>37706.64583</v>
      </c>
      <c r="B672" s="3">
        <f>IFERROR(__xludf.DUMMYFUNCTION("""COMPUTED_VALUE"""),1011.56)</f>
        <v>1011.56</v>
      </c>
      <c r="C672" s="3">
        <f>IFERROR(__xludf.DUMMYFUNCTION("""COMPUTED_VALUE"""),1019.92)</f>
        <v>1019.92</v>
      </c>
      <c r="D672" s="3">
        <f>IFERROR(__xludf.DUMMYFUNCTION("""COMPUTED_VALUE"""),1004.84)</f>
        <v>1004.84</v>
      </c>
      <c r="E672" s="3">
        <f>IFERROR(__xludf.DUMMYFUNCTION("""COMPUTED_VALUE"""),1013.84)</f>
        <v>1013.84</v>
      </c>
      <c r="F672" s="3">
        <f>IFERROR(__xludf.DUMMYFUNCTION("""COMPUTED_VALUE"""),0.0)</f>
        <v>0</v>
      </c>
    </row>
    <row r="673">
      <c r="A673" s="7">
        <f>IFERROR(__xludf.DUMMYFUNCTION("""COMPUTED_VALUE"""),37707.645833333336)</f>
        <v>37707.64583</v>
      </c>
      <c r="B673" s="3">
        <f>IFERROR(__xludf.DUMMYFUNCTION("""COMPUTED_VALUE"""),1013.91)</f>
        <v>1013.91</v>
      </c>
      <c r="C673" s="3">
        <f>IFERROR(__xludf.DUMMYFUNCTION("""COMPUTED_VALUE"""),1013.91)</f>
        <v>1013.91</v>
      </c>
      <c r="D673" s="3">
        <f>IFERROR(__xludf.DUMMYFUNCTION("""COMPUTED_VALUE"""),999.61)</f>
        <v>999.61</v>
      </c>
      <c r="E673" s="3">
        <f>IFERROR(__xludf.DUMMYFUNCTION("""COMPUTED_VALUE"""),1002.7)</f>
        <v>1002.7</v>
      </c>
      <c r="F673" s="3">
        <f>IFERROR(__xludf.DUMMYFUNCTION("""COMPUTED_VALUE"""),0.0)</f>
        <v>0</v>
      </c>
    </row>
    <row r="674">
      <c r="A674" s="7">
        <f>IFERROR(__xludf.DUMMYFUNCTION("""COMPUTED_VALUE"""),37708.645833333336)</f>
        <v>37708.64583</v>
      </c>
      <c r="B674" s="3">
        <f>IFERROR(__xludf.DUMMYFUNCTION("""COMPUTED_VALUE"""),1002.8)</f>
        <v>1002.8</v>
      </c>
      <c r="C674" s="3">
        <f>IFERROR(__xludf.DUMMYFUNCTION("""COMPUTED_VALUE"""),1006.29)</f>
        <v>1006.29</v>
      </c>
      <c r="D674" s="3">
        <f>IFERROR(__xludf.DUMMYFUNCTION("""COMPUTED_VALUE"""),996.74)</f>
        <v>996.74</v>
      </c>
      <c r="E674" s="3">
        <f>IFERROR(__xludf.DUMMYFUNCTION("""COMPUTED_VALUE"""),1000.59)</f>
        <v>1000.59</v>
      </c>
      <c r="F674" s="3">
        <f>IFERROR(__xludf.DUMMYFUNCTION("""COMPUTED_VALUE"""),0.0)</f>
        <v>0</v>
      </c>
    </row>
    <row r="675">
      <c r="A675" s="7">
        <f>IFERROR(__xludf.DUMMYFUNCTION("""COMPUTED_VALUE"""),37711.645833333336)</f>
        <v>37711.64583</v>
      </c>
      <c r="B675" s="3">
        <f>IFERROR(__xludf.DUMMYFUNCTION("""COMPUTED_VALUE"""),1000.62)</f>
        <v>1000.62</v>
      </c>
      <c r="C675" s="3">
        <f>IFERROR(__xludf.DUMMYFUNCTION("""COMPUTED_VALUE"""),1000.62)</f>
        <v>1000.62</v>
      </c>
      <c r="D675" s="3">
        <f>IFERROR(__xludf.DUMMYFUNCTION("""COMPUTED_VALUE"""),974.08)</f>
        <v>974.08</v>
      </c>
      <c r="E675" s="3">
        <f>IFERROR(__xludf.DUMMYFUNCTION("""COMPUTED_VALUE"""),978.2)</f>
        <v>978.2</v>
      </c>
      <c r="F675" s="3">
        <f>IFERROR(__xludf.DUMMYFUNCTION("""COMPUTED_VALUE"""),0.0)</f>
        <v>0</v>
      </c>
    </row>
    <row r="676">
      <c r="A676" s="7">
        <f>IFERROR(__xludf.DUMMYFUNCTION("""COMPUTED_VALUE"""),37712.645833333336)</f>
        <v>37712.64583</v>
      </c>
      <c r="B676" s="3">
        <f>IFERROR(__xludf.DUMMYFUNCTION("""COMPUTED_VALUE"""),977.42)</f>
        <v>977.42</v>
      </c>
      <c r="C676" s="3">
        <f>IFERROR(__xludf.DUMMYFUNCTION("""COMPUTED_VALUE"""),992.07)</f>
        <v>992.07</v>
      </c>
      <c r="D676" s="3">
        <f>IFERROR(__xludf.DUMMYFUNCTION("""COMPUTED_VALUE"""),973.5)</f>
        <v>973.5</v>
      </c>
      <c r="E676" s="3">
        <f>IFERROR(__xludf.DUMMYFUNCTION("""COMPUTED_VALUE"""),984.28)</f>
        <v>984.28</v>
      </c>
      <c r="F676" s="3">
        <f>IFERROR(__xludf.DUMMYFUNCTION("""COMPUTED_VALUE"""),0.0)</f>
        <v>0</v>
      </c>
    </row>
    <row r="677">
      <c r="A677" s="7">
        <f>IFERROR(__xludf.DUMMYFUNCTION("""COMPUTED_VALUE"""),37713.645833333336)</f>
        <v>37713.64583</v>
      </c>
      <c r="B677" s="3">
        <f>IFERROR(__xludf.DUMMYFUNCTION("""COMPUTED_VALUE"""),984.43)</f>
        <v>984.43</v>
      </c>
      <c r="C677" s="3">
        <f>IFERROR(__xludf.DUMMYFUNCTION("""COMPUTED_VALUE"""),1002.1)</f>
        <v>1002.1</v>
      </c>
      <c r="D677" s="3">
        <f>IFERROR(__xludf.DUMMYFUNCTION("""COMPUTED_VALUE"""),984.43)</f>
        <v>984.43</v>
      </c>
      <c r="E677" s="3">
        <f>IFERROR(__xludf.DUMMYFUNCTION("""COMPUTED_VALUE"""),999.4)</f>
        <v>999.4</v>
      </c>
      <c r="F677" s="3">
        <f>IFERROR(__xludf.DUMMYFUNCTION("""COMPUTED_VALUE"""),0.0)</f>
        <v>0</v>
      </c>
    </row>
    <row r="678">
      <c r="A678" s="7">
        <f>IFERROR(__xludf.DUMMYFUNCTION("""COMPUTED_VALUE"""),37714.645833333336)</f>
        <v>37714.64583</v>
      </c>
      <c r="B678" s="3">
        <f>IFERROR(__xludf.DUMMYFUNCTION("""COMPUTED_VALUE"""),999.57)</f>
        <v>999.57</v>
      </c>
      <c r="C678" s="3">
        <f>IFERROR(__xludf.DUMMYFUNCTION("""COMPUTED_VALUE"""),1010.74)</f>
        <v>1010.74</v>
      </c>
      <c r="D678" s="3">
        <f>IFERROR(__xludf.DUMMYFUNCTION("""COMPUTED_VALUE"""),999.57)</f>
        <v>999.57</v>
      </c>
      <c r="E678" s="3">
        <f>IFERROR(__xludf.DUMMYFUNCTION("""COMPUTED_VALUE"""),1009.16)</f>
        <v>1009.16</v>
      </c>
      <c r="F678" s="3">
        <f>IFERROR(__xludf.DUMMYFUNCTION("""COMPUTED_VALUE"""),0.0)</f>
        <v>0</v>
      </c>
    </row>
    <row r="679">
      <c r="A679" s="7">
        <f>IFERROR(__xludf.DUMMYFUNCTION("""COMPUTED_VALUE"""),37715.645833333336)</f>
        <v>37715.64583</v>
      </c>
      <c r="B679" s="3">
        <f>IFERROR(__xludf.DUMMYFUNCTION("""COMPUTED_VALUE"""),1009.16)</f>
        <v>1009.16</v>
      </c>
      <c r="C679" s="3">
        <f>IFERROR(__xludf.DUMMYFUNCTION("""COMPUTED_VALUE"""),1018.27)</f>
        <v>1018.27</v>
      </c>
      <c r="D679" s="3">
        <f>IFERROR(__xludf.DUMMYFUNCTION("""COMPUTED_VALUE"""),1002.77)</f>
        <v>1002.77</v>
      </c>
      <c r="E679" s="3">
        <f>IFERROR(__xludf.DUMMYFUNCTION("""COMPUTED_VALUE"""),1016.93)</f>
        <v>1016.93</v>
      </c>
      <c r="F679" s="3">
        <f>IFERROR(__xludf.DUMMYFUNCTION("""COMPUTED_VALUE"""),0.0)</f>
        <v>0</v>
      </c>
    </row>
    <row r="680">
      <c r="A680" s="7">
        <f>IFERROR(__xludf.DUMMYFUNCTION("""COMPUTED_VALUE"""),37718.645833333336)</f>
        <v>37718.64583</v>
      </c>
      <c r="B680" s="3">
        <f>IFERROR(__xludf.DUMMYFUNCTION("""COMPUTED_VALUE"""),1017.05)</f>
        <v>1017.05</v>
      </c>
      <c r="C680" s="3">
        <f>IFERROR(__xludf.DUMMYFUNCTION("""COMPUTED_VALUE"""),1033.47)</f>
        <v>1033.47</v>
      </c>
      <c r="D680" s="3">
        <f>IFERROR(__xludf.DUMMYFUNCTION("""COMPUTED_VALUE"""),1017.05)</f>
        <v>1017.05</v>
      </c>
      <c r="E680" s="3">
        <f>IFERROR(__xludf.DUMMYFUNCTION("""COMPUTED_VALUE"""),1031.48)</f>
        <v>1031.48</v>
      </c>
      <c r="F680" s="3">
        <f>IFERROR(__xludf.DUMMYFUNCTION("""COMPUTED_VALUE"""),0.0)</f>
        <v>0</v>
      </c>
    </row>
    <row r="681">
      <c r="A681" s="7">
        <f>IFERROR(__xludf.DUMMYFUNCTION("""COMPUTED_VALUE"""),37719.645833333336)</f>
        <v>37719.64583</v>
      </c>
      <c r="B681" s="3">
        <f>IFERROR(__xludf.DUMMYFUNCTION("""COMPUTED_VALUE"""),1031.99)</f>
        <v>1031.99</v>
      </c>
      <c r="C681" s="3">
        <f>IFERROR(__xludf.DUMMYFUNCTION("""COMPUTED_VALUE"""),1031.99)</f>
        <v>1031.99</v>
      </c>
      <c r="D681" s="3">
        <f>IFERROR(__xludf.DUMMYFUNCTION("""COMPUTED_VALUE"""),1016.61)</f>
        <v>1016.61</v>
      </c>
      <c r="E681" s="3">
        <f>IFERROR(__xludf.DUMMYFUNCTION("""COMPUTED_VALUE"""),1018.1)</f>
        <v>1018.1</v>
      </c>
      <c r="F681" s="3">
        <f>IFERROR(__xludf.DUMMYFUNCTION("""COMPUTED_VALUE"""),0.0)</f>
        <v>0</v>
      </c>
    </row>
    <row r="682">
      <c r="A682" s="7">
        <f>IFERROR(__xludf.DUMMYFUNCTION("""COMPUTED_VALUE"""),37720.645833333336)</f>
        <v>37720.64583</v>
      </c>
      <c r="B682" s="3">
        <f>IFERROR(__xludf.DUMMYFUNCTION("""COMPUTED_VALUE"""),1018.02)</f>
        <v>1018.02</v>
      </c>
      <c r="C682" s="3">
        <f>IFERROR(__xludf.DUMMYFUNCTION("""COMPUTED_VALUE"""),1018.02)</f>
        <v>1018.02</v>
      </c>
      <c r="D682" s="3">
        <f>IFERROR(__xludf.DUMMYFUNCTION("""COMPUTED_VALUE"""),1002.29)</f>
        <v>1002.29</v>
      </c>
      <c r="E682" s="3">
        <f>IFERROR(__xludf.DUMMYFUNCTION("""COMPUTED_VALUE"""),1004.84)</f>
        <v>1004.84</v>
      </c>
      <c r="F682" s="3">
        <f>IFERROR(__xludf.DUMMYFUNCTION("""COMPUTED_VALUE"""),0.0)</f>
        <v>0</v>
      </c>
    </row>
    <row r="683">
      <c r="A683" s="7">
        <f>IFERROR(__xludf.DUMMYFUNCTION("""COMPUTED_VALUE"""),37721.645833333336)</f>
        <v>37721.64583</v>
      </c>
      <c r="B683" s="3">
        <f>IFERROR(__xludf.DUMMYFUNCTION("""COMPUTED_VALUE"""),1003.78)</f>
        <v>1003.78</v>
      </c>
      <c r="C683" s="3">
        <f>IFERROR(__xludf.DUMMYFUNCTION("""COMPUTED_VALUE"""),1003.78)</f>
        <v>1003.78</v>
      </c>
      <c r="D683" s="3">
        <f>IFERROR(__xludf.DUMMYFUNCTION("""COMPUTED_VALUE"""),958.18)</f>
        <v>958.18</v>
      </c>
      <c r="E683" s="3">
        <f>IFERROR(__xludf.DUMMYFUNCTION("""COMPUTED_VALUE"""),962.2)</f>
        <v>962.2</v>
      </c>
      <c r="F683" s="3">
        <f>IFERROR(__xludf.DUMMYFUNCTION("""COMPUTED_VALUE"""),0.0)</f>
        <v>0</v>
      </c>
    </row>
    <row r="684">
      <c r="A684" s="7">
        <f>IFERROR(__xludf.DUMMYFUNCTION("""COMPUTED_VALUE"""),37722.645833333336)</f>
        <v>37722.64583</v>
      </c>
      <c r="B684" s="3">
        <f>IFERROR(__xludf.DUMMYFUNCTION("""COMPUTED_VALUE"""),958.89)</f>
        <v>958.89</v>
      </c>
      <c r="C684" s="3">
        <f>IFERROR(__xludf.DUMMYFUNCTION("""COMPUTED_VALUE"""),965.13)</f>
        <v>965.13</v>
      </c>
      <c r="D684" s="3">
        <f>IFERROR(__xludf.DUMMYFUNCTION("""COMPUTED_VALUE"""),935.71)</f>
        <v>935.71</v>
      </c>
      <c r="E684" s="3">
        <f>IFERROR(__xludf.DUMMYFUNCTION("""COMPUTED_VALUE"""),949.81)</f>
        <v>949.81</v>
      </c>
      <c r="F684" s="3">
        <f>IFERROR(__xludf.DUMMYFUNCTION("""COMPUTED_VALUE"""),0.0)</f>
        <v>0</v>
      </c>
    </row>
    <row r="685">
      <c r="A685" s="7">
        <f>IFERROR(__xludf.DUMMYFUNCTION("""COMPUTED_VALUE"""),37726.645833333336)</f>
        <v>37726.64583</v>
      </c>
      <c r="B685" s="3">
        <f>IFERROR(__xludf.DUMMYFUNCTION("""COMPUTED_VALUE"""),951.79)</f>
        <v>951.79</v>
      </c>
      <c r="C685" s="3">
        <f>IFERROR(__xludf.DUMMYFUNCTION("""COMPUTED_VALUE"""),964.22)</f>
        <v>964.22</v>
      </c>
      <c r="D685" s="3">
        <f>IFERROR(__xludf.DUMMYFUNCTION("""COMPUTED_VALUE"""),938.8)</f>
        <v>938.8</v>
      </c>
      <c r="E685" s="3">
        <f>IFERROR(__xludf.DUMMYFUNCTION("""COMPUTED_VALUE"""),951.18)</f>
        <v>951.18</v>
      </c>
      <c r="F685" s="3">
        <f>IFERROR(__xludf.DUMMYFUNCTION("""COMPUTED_VALUE"""),0.0)</f>
        <v>0</v>
      </c>
    </row>
    <row r="686">
      <c r="A686" s="7">
        <f>IFERROR(__xludf.DUMMYFUNCTION("""COMPUTED_VALUE"""),37727.645833333336)</f>
        <v>37727.64583</v>
      </c>
      <c r="B686" s="3">
        <f>IFERROR(__xludf.DUMMYFUNCTION("""COMPUTED_VALUE"""),950.65)</f>
        <v>950.65</v>
      </c>
      <c r="C686" s="3">
        <f>IFERROR(__xludf.DUMMYFUNCTION("""COMPUTED_VALUE"""),961.76)</f>
        <v>961.76</v>
      </c>
      <c r="D686" s="3">
        <f>IFERROR(__xludf.DUMMYFUNCTION("""COMPUTED_VALUE"""),949.01)</f>
        <v>949.01</v>
      </c>
      <c r="E686" s="3">
        <f>IFERROR(__xludf.DUMMYFUNCTION("""COMPUTED_VALUE"""),958.67)</f>
        <v>958.67</v>
      </c>
      <c r="F686" s="3">
        <f>IFERROR(__xludf.DUMMYFUNCTION("""COMPUTED_VALUE"""),0.0)</f>
        <v>0</v>
      </c>
    </row>
    <row r="687">
      <c r="A687" s="7">
        <f>IFERROR(__xludf.DUMMYFUNCTION("""COMPUTED_VALUE"""),37728.645833333336)</f>
        <v>37728.64583</v>
      </c>
      <c r="B687" s="3">
        <f>IFERROR(__xludf.DUMMYFUNCTION("""COMPUTED_VALUE"""),958.67)</f>
        <v>958.67</v>
      </c>
      <c r="C687" s="3">
        <f>IFERROR(__xludf.DUMMYFUNCTION("""COMPUTED_VALUE"""),958.67)</f>
        <v>958.67</v>
      </c>
      <c r="D687" s="3">
        <f>IFERROR(__xludf.DUMMYFUNCTION("""COMPUTED_VALUE"""),936.72)</f>
        <v>936.72</v>
      </c>
      <c r="E687" s="3">
        <f>IFERROR(__xludf.DUMMYFUNCTION("""COMPUTED_VALUE"""),940.7)</f>
        <v>940.7</v>
      </c>
      <c r="F687" s="3">
        <f>IFERROR(__xludf.DUMMYFUNCTION("""COMPUTED_VALUE"""),0.0)</f>
        <v>0</v>
      </c>
    </row>
    <row r="688">
      <c r="A688" s="7">
        <f>IFERROR(__xludf.DUMMYFUNCTION("""COMPUTED_VALUE"""),37732.645833333336)</f>
        <v>37732.64583</v>
      </c>
      <c r="B688" s="3">
        <f>IFERROR(__xludf.DUMMYFUNCTION("""COMPUTED_VALUE"""),941.5)</f>
        <v>941.5</v>
      </c>
      <c r="C688" s="3">
        <f>IFERROR(__xludf.DUMMYFUNCTION("""COMPUTED_VALUE"""),949.69)</f>
        <v>949.69</v>
      </c>
      <c r="D688" s="3">
        <f>IFERROR(__xludf.DUMMYFUNCTION("""COMPUTED_VALUE"""),941.5)</f>
        <v>941.5</v>
      </c>
      <c r="E688" s="3">
        <f>IFERROR(__xludf.DUMMYFUNCTION("""COMPUTED_VALUE"""),947.22)</f>
        <v>947.22</v>
      </c>
      <c r="F688" s="3">
        <f>IFERROR(__xludf.DUMMYFUNCTION("""COMPUTED_VALUE"""),0.0)</f>
        <v>0</v>
      </c>
    </row>
    <row r="689">
      <c r="A689" s="7">
        <f>IFERROR(__xludf.DUMMYFUNCTION("""COMPUTED_VALUE"""),37733.645833333336)</f>
        <v>37733.64583</v>
      </c>
      <c r="B689" s="3">
        <f>IFERROR(__xludf.DUMMYFUNCTION("""COMPUTED_VALUE"""),947.09)</f>
        <v>947.09</v>
      </c>
      <c r="C689" s="3">
        <f>IFERROR(__xludf.DUMMYFUNCTION("""COMPUTED_VALUE"""),951.42)</f>
        <v>951.42</v>
      </c>
      <c r="D689" s="3">
        <f>IFERROR(__xludf.DUMMYFUNCTION("""COMPUTED_VALUE"""),937.85)</f>
        <v>937.85</v>
      </c>
      <c r="E689" s="3">
        <f>IFERROR(__xludf.DUMMYFUNCTION("""COMPUTED_VALUE"""),943.51)</f>
        <v>943.51</v>
      </c>
      <c r="F689" s="3">
        <f>IFERROR(__xludf.DUMMYFUNCTION("""COMPUTED_VALUE"""),0.0)</f>
        <v>0</v>
      </c>
    </row>
    <row r="690">
      <c r="A690" s="7">
        <f>IFERROR(__xludf.DUMMYFUNCTION("""COMPUTED_VALUE"""),37734.645833333336)</f>
        <v>37734.64583</v>
      </c>
      <c r="B690" s="3">
        <f>IFERROR(__xludf.DUMMYFUNCTION("""COMPUTED_VALUE"""),943.73)</f>
        <v>943.73</v>
      </c>
      <c r="C690" s="3">
        <f>IFERROR(__xludf.DUMMYFUNCTION("""COMPUTED_VALUE"""),951.22)</f>
        <v>951.22</v>
      </c>
      <c r="D690" s="3">
        <f>IFERROR(__xludf.DUMMYFUNCTION("""COMPUTED_VALUE"""),931.48)</f>
        <v>931.48</v>
      </c>
      <c r="E690" s="3">
        <f>IFERROR(__xludf.DUMMYFUNCTION("""COMPUTED_VALUE"""),934.18)</f>
        <v>934.18</v>
      </c>
      <c r="F690" s="3">
        <f>IFERROR(__xludf.DUMMYFUNCTION("""COMPUTED_VALUE"""),0.0)</f>
        <v>0</v>
      </c>
    </row>
    <row r="691">
      <c r="A691" s="7">
        <f>IFERROR(__xludf.DUMMYFUNCTION("""COMPUTED_VALUE"""),37735.645833333336)</f>
        <v>37735.64583</v>
      </c>
      <c r="B691" s="3">
        <f>IFERROR(__xludf.DUMMYFUNCTION("""COMPUTED_VALUE"""),934.19)</f>
        <v>934.19</v>
      </c>
      <c r="C691" s="3">
        <f>IFERROR(__xludf.DUMMYFUNCTION("""COMPUTED_VALUE"""),943.13)</f>
        <v>943.13</v>
      </c>
      <c r="D691" s="3">
        <f>IFERROR(__xludf.DUMMYFUNCTION("""COMPUTED_VALUE"""),927.81)</f>
        <v>927.81</v>
      </c>
      <c r="E691" s="3">
        <f>IFERROR(__xludf.DUMMYFUNCTION("""COMPUTED_VALUE"""),929.72)</f>
        <v>929.72</v>
      </c>
      <c r="F691" s="3">
        <f>IFERROR(__xludf.DUMMYFUNCTION("""COMPUTED_VALUE"""),0.0)</f>
        <v>0</v>
      </c>
    </row>
    <row r="692">
      <c r="A692" s="7">
        <f>IFERROR(__xludf.DUMMYFUNCTION("""COMPUTED_VALUE"""),37736.645833333336)</f>
        <v>37736.64583</v>
      </c>
      <c r="B692" s="3">
        <f>IFERROR(__xludf.DUMMYFUNCTION("""COMPUTED_VALUE"""),929.45)</f>
        <v>929.45</v>
      </c>
      <c r="C692" s="3">
        <f>IFERROR(__xludf.DUMMYFUNCTION("""COMPUTED_VALUE"""),931.36)</f>
        <v>931.36</v>
      </c>
      <c r="D692" s="3">
        <f>IFERROR(__xludf.DUMMYFUNCTION("""COMPUTED_VALUE"""),921.1)</f>
        <v>921.1</v>
      </c>
      <c r="E692" s="3">
        <f>IFERROR(__xludf.DUMMYFUNCTION("""COMPUTED_VALUE"""),924.31)</f>
        <v>924.31</v>
      </c>
      <c r="F692" s="3">
        <f>IFERROR(__xludf.DUMMYFUNCTION("""COMPUTED_VALUE"""),0.0)</f>
        <v>0</v>
      </c>
    </row>
    <row r="693">
      <c r="A693" s="7">
        <f>IFERROR(__xludf.DUMMYFUNCTION("""COMPUTED_VALUE"""),37739.645833333336)</f>
        <v>37739.64583</v>
      </c>
      <c r="B693" s="3">
        <f>IFERROR(__xludf.DUMMYFUNCTION("""COMPUTED_VALUE"""),922.85)</f>
        <v>922.85</v>
      </c>
      <c r="C693" s="3">
        <f>IFERROR(__xludf.DUMMYFUNCTION("""COMPUTED_VALUE"""),931.04)</f>
        <v>931.04</v>
      </c>
      <c r="D693" s="3">
        <f>IFERROR(__xludf.DUMMYFUNCTION("""COMPUTED_VALUE"""),920.0)</f>
        <v>920</v>
      </c>
      <c r="E693" s="3">
        <f>IFERROR(__xludf.DUMMYFUNCTION("""COMPUTED_VALUE"""),929.52)</f>
        <v>929.52</v>
      </c>
      <c r="F693" s="3">
        <f>IFERROR(__xludf.DUMMYFUNCTION("""COMPUTED_VALUE"""),0.0)</f>
        <v>0</v>
      </c>
    </row>
    <row r="694">
      <c r="A694" s="7">
        <f>IFERROR(__xludf.DUMMYFUNCTION("""COMPUTED_VALUE"""),37740.645833333336)</f>
        <v>37740.64583</v>
      </c>
      <c r="B694" s="3">
        <f>IFERROR(__xludf.DUMMYFUNCTION("""COMPUTED_VALUE"""),929.73)</f>
        <v>929.73</v>
      </c>
      <c r="C694" s="3">
        <f>IFERROR(__xludf.DUMMYFUNCTION("""COMPUTED_VALUE"""),936.89)</f>
        <v>936.89</v>
      </c>
      <c r="D694" s="3">
        <f>IFERROR(__xludf.DUMMYFUNCTION("""COMPUTED_VALUE"""),929.73)</f>
        <v>929.73</v>
      </c>
      <c r="E694" s="3">
        <f>IFERROR(__xludf.DUMMYFUNCTION("""COMPUTED_VALUE"""),932.28)</f>
        <v>932.28</v>
      </c>
      <c r="F694" s="3">
        <f>IFERROR(__xludf.DUMMYFUNCTION("""COMPUTED_VALUE"""),0.0)</f>
        <v>0</v>
      </c>
    </row>
    <row r="695">
      <c r="A695" s="7">
        <f>IFERROR(__xludf.DUMMYFUNCTION("""COMPUTED_VALUE"""),37741.645833333336)</f>
        <v>37741.64583</v>
      </c>
      <c r="B695" s="3">
        <f>IFERROR(__xludf.DUMMYFUNCTION("""COMPUTED_VALUE"""),935.23)</f>
        <v>935.23</v>
      </c>
      <c r="C695" s="3">
        <f>IFERROR(__xludf.DUMMYFUNCTION("""COMPUTED_VALUE"""),935.54)</f>
        <v>935.54</v>
      </c>
      <c r="D695" s="3">
        <f>IFERROR(__xludf.DUMMYFUNCTION("""COMPUTED_VALUE"""),929.87)</f>
        <v>929.87</v>
      </c>
      <c r="E695" s="3">
        <f>IFERROR(__xludf.DUMMYFUNCTION("""COMPUTED_VALUE"""),934.07)</f>
        <v>934.07</v>
      </c>
      <c r="F695" s="3">
        <f>IFERROR(__xludf.DUMMYFUNCTION("""COMPUTED_VALUE"""),0.0)</f>
        <v>0</v>
      </c>
    </row>
    <row r="696">
      <c r="A696" s="7">
        <f>IFERROR(__xludf.DUMMYFUNCTION("""COMPUTED_VALUE"""),37743.645833333336)</f>
        <v>37743.64583</v>
      </c>
      <c r="B696" s="3">
        <f>IFERROR(__xludf.DUMMYFUNCTION("""COMPUTED_VALUE"""),930.92)</f>
        <v>930.92</v>
      </c>
      <c r="C696" s="3">
        <f>IFERROR(__xludf.DUMMYFUNCTION("""COMPUTED_VALUE"""),940.22)</f>
        <v>940.22</v>
      </c>
      <c r="D696" s="3">
        <f>IFERROR(__xludf.DUMMYFUNCTION("""COMPUTED_VALUE"""),930.78)</f>
        <v>930.78</v>
      </c>
      <c r="E696" s="3">
        <f>IFERROR(__xludf.DUMMYFUNCTION("""COMPUTED_VALUE"""),938.32)</f>
        <v>938.32</v>
      </c>
      <c r="F696" s="3">
        <f>IFERROR(__xludf.DUMMYFUNCTION("""COMPUTED_VALUE"""),0.0)</f>
        <v>0</v>
      </c>
    </row>
    <row r="697">
      <c r="A697" s="7">
        <f>IFERROR(__xludf.DUMMYFUNCTION("""COMPUTED_VALUE"""),37746.645833333336)</f>
        <v>37746.64583</v>
      </c>
      <c r="B697" s="3">
        <f>IFERROR(__xludf.DUMMYFUNCTION("""COMPUTED_VALUE"""),937.45)</f>
        <v>937.45</v>
      </c>
      <c r="C697" s="3">
        <f>IFERROR(__xludf.DUMMYFUNCTION("""COMPUTED_VALUE"""),948.95)</f>
        <v>948.95</v>
      </c>
      <c r="D697" s="3">
        <f>IFERROR(__xludf.DUMMYFUNCTION("""COMPUTED_VALUE"""),936.67)</f>
        <v>936.67</v>
      </c>
      <c r="E697" s="3">
        <f>IFERROR(__xludf.DUMMYFUNCTION("""COMPUTED_VALUE"""),945.41)</f>
        <v>945.41</v>
      </c>
      <c r="F697" s="3">
        <f>IFERROR(__xludf.DUMMYFUNCTION("""COMPUTED_VALUE"""),0.0)</f>
        <v>0</v>
      </c>
    </row>
    <row r="698">
      <c r="A698" s="7">
        <f>IFERROR(__xludf.DUMMYFUNCTION("""COMPUTED_VALUE"""),37747.645833333336)</f>
        <v>37747.64583</v>
      </c>
      <c r="B698" s="3">
        <f>IFERROR(__xludf.DUMMYFUNCTION("""COMPUTED_VALUE"""),945.86)</f>
        <v>945.86</v>
      </c>
      <c r="C698" s="3">
        <f>IFERROR(__xludf.DUMMYFUNCTION("""COMPUTED_VALUE"""),954.99)</f>
        <v>954.99</v>
      </c>
      <c r="D698" s="3">
        <f>IFERROR(__xludf.DUMMYFUNCTION("""COMPUTED_VALUE"""),943.2)</f>
        <v>943.2</v>
      </c>
      <c r="E698" s="3">
        <f>IFERROR(__xludf.DUMMYFUNCTION("""COMPUTED_VALUE"""),951.86)</f>
        <v>951.86</v>
      </c>
      <c r="F698" s="3">
        <f>IFERROR(__xludf.DUMMYFUNCTION("""COMPUTED_VALUE"""),0.0)</f>
        <v>0</v>
      </c>
    </row>
    <row r="699">
      <c r="A699" s="7">
        <f>IFERROR(__xludf.DUMMYFUNCTION("""COMPUTED_VALUE"""),37748.645833333336)</f>
        <v>37748.64583</v>
      </c>
      <c r="B699" s="3">
        <f>IFERROR(__xludf.DUMMYFUNCTION("""COMPUTED_VALUE"""),950.4)</f>
        <v>950.4</v>
      </c>
      <c r="C699" s="3">
        <f>IFERROR(__xludf.DUMMYFUNCTION("""COMPUTED_VALUE"""),956.64)</f>
        <v>956.64</v>
      </c>
      <c r="D699" s="3">
        <f>IFERROR(__xludf.DUMMYFUNCTION("""COMPUTED_VALUE"""),948.9)</f>
        <v>948.9</v>
      </c>
      <c r="E699" s="3">
        <f>IFERROR(__xludf.DUMMYFUNCTION("""COMPUTED_VALUE"""),950.15)</f>
        <v>950.15</v>
      </c>
      <c r="F699" s="3">
        <f>IFERROR(__xludf.DUMMYFUNCTION("""COMPUTED_VALUE"""),0.0)</f>
        <v>0</v>
      </c>
    </row>
    <row r="700">
      <c r="A700" s="7">
        <f>IFERROR(__xludf.DUMMYFUNCTION("""COMPUTED_VALUE"""),37749.645833333336)</f>
        <v>37749.64583</v>
      </c>
      <c r="B700" s="3">
        <f>IFERROR(__xludf.DUMMYFUNCTION("""COMPUTED_VALUE"""),950.13)</f>
        <v>950.13</v>
      </c>
      <c r="C700" s="3">
        <f>IFERROR(__xludf.DUMMYFUNCTION("""COMPUTED_VALUE"""),951.29)</f>
        <v>951.29</v>
      </c>
      <c r="D700" s="3">
        <f>IFERROR(__xludf.DUMMYFUNCTION("""COMPUTED_VALUE"""),938.72)</f>
        <v>938.72</v>
      </c>
      <c r="E700" s="3">
        <f>IFERROR(__xludf.DUMMYFUNCTION("""COMPUTED_VALUE"""),941.56)</f>
        <v>941.56</v>
      </c>
      <c r="F700" s="3">
        <f>IFERROR(__xludf.DUMMYFUNCTION("""COMPUTED_VALUE"""),0.0)</f>
        <v>0</v>
      </c>
    </row>
    <row r="701">
      <c r="A701" s="7">
        <f>IFERROR(__xludf.DUMMYFUNCTION("""COMPUTED_VALUE"""),37750.645833333336)</f>
        <v>37750.64583</v>
      </c>
      <c r="B701" s="3">
        <f>IFERROR(__xludf.DUMMYFUNCTION("""COMPUTED_VALUE"""),941.61)</f>
        <v>941.61</v>
      </c>
      <c r="C701" s="3">
        <f>IFERROR(__xludf.DUMMYFUNCTION("""COMPUTED_VALUE"""),941.64)</f>
        <v>941.64</v>
      </c>
      <c r="D701" s="3">
        <f>IFERROR(__xludf.DUMMYFUNCTION("""COMPUTED_VALUE"""),935.79)</f>
        <v>935.79</v>
      </c>
      <c r="E701" s="3">
        <f>IFERROR(__xludf.DUMMYFUNCTION("""COMPUTED_VALUE"""),937.85)</f>
        <v>937.85</v>
      </c>
      <c r="F701" s="3">
        <f>IFERROR(__xludf.DUMMYFUNCTION("""COMPUTED_VALUE"""),0.0)</f>
        <v>0</v>
      </c>
    </row>
    <row r="702">
      <c r="A702" s="7">
        <f>IFERROR(__xludf.DUMMYFUNCTION("""COMPUTED_VALUE"""),37753.645833333336)</f>
        <v>37753.64583</v>
      </c>
      <c r="B702" s="3">
        <f>IFERROR(__xludf.DUMMYFUNCTION("""COMPUTED_VALUE"""),938.48)</f>
        <v>938.48</v>
      </c>
      <c r="C702" s="3">
        <f>IFERROR(__xludf.DUMMYFUNCTION("""COMPUTED_VALUE"""),944.43)</f>
        <v>944.43</v>
      </c>
      <c r="D702" s="3">
        <f>IFERROR(__xludf.DUMMYFUNCTION("""COMPUTED_VALUE"""),933.99)</f>
        <v>933.99</v>
      </c>
      <c r="E702" s="3">
        <f>IFERROR(__xludf.DUMMYFUNCTION("""COMPUTED_VALUE"""),935.98)</f>
        <v>935.98</v>
      </c>
      <c r="F702" s="3">
        <f>IFERROR(__xludf.DUMMYFUNCTION("""COMPUTED_VALUE"""),0.0)</f>
        <v>0</v>
      </c>
    </row>
    <row r="703">
      <c r="A703" s="7">
        <f>IFERROR(__xludf.DUMMYFUNCTION("""COMPUTED_VALUE"""),37754.645833333336)</f>
        <v>37754.64583</v>
      </c>
      <c r="B703" s="3">
        <f>IFERROR(__xludf.DUMMYFUNCTION("""COMPUTED_VALUE"""),936.9)</f>
        <v>936.9</v>
      </c>
      <c r="C703" s="3">
        <f>IFERROR(__xludf.DUMMYFUNCTION("""COMPUTED_VALUE"""),945.81)</f>
        <v>945.81</v>
      </c>
      <c r="D703" s="3">
        <f>IFERROR(__xludf.DUMMYFUNCTION("""COMPUTED_VALUE"""),936.71)</f>
        <v>936.71</v>
      </c>
      <c r="E703" s="3">
        <f>IFERROR(__xludf.DUMMYFUNCTION("""COMPUTED_VALUE"""),944.18)</f>
        <v>944.18</v>
      </c>
      <c r="F703" s="3">
        <f>IFERROR(__xludf.DUMMYFUNCTION("""COMPUTED_VALUE"""),0.0)</f>
        <v>0</v>
      </c>
    </row>
    <row r="704">
      <c r="A704" s="7">
        <f>IFERROR(__xludf.DUMMYFUNCTION("""COMPUTED_VALUE"""),37755.645833333336)</f>
        <v>37755.64583</v>
      </c>
      <c r="B704" s="3">
        <f>IFERROR(__xludf.DUMMYFUNCTION("""COMPUTED_VALUE"""),944.18)</f>
        <v>944.18</v>
      </c>
      <c r="C704" s="3">
        <f>IFERROR(__xludf.DUMMYFUNCTION("""COMPUTED_VALUE"""),953.43)</f>
        <v>953.43</v>
      </c>
      <c r="D704" s="3">
        <f>IFERROR(__xludf.DUMMYFUNCTION("""COMPUTED_VALUE"""),943.13)</f>
        <v>943.13</v>
      </c>
      <c r="E704" s="3">
        <f>IFERROR(__xludf.DUMMYFUNCTION("""COMPUTED_VALUE"""),952.17)</f>
        <v>952.17</v>
      </c>
      <c r="F704" s="3">
        <f>IFERROR(__xludf.DUMMYFUNCTION("""COMPUTED_VALUE"""),0.0)</f>
        <v>0</v>
      </c>
    </row>
    <row r="705">
      <c r="A705" s="7">
        <f>IFERROR(__xludf.DUMMYFUNCTION("""COMPUTED_VALUE"""),37756.645833333336)</f>
        <v>37756.64583</v>
      </c>
      <c r="B705" s="3">
        <f>IFERROR(__xludf.DUMMYFUNCTION("""COMPUTED_VALUE"""),952.13)</f>
        <v>952.13</v>
      </c>
      <c r="C705" s="3">
        <f>IFERROR(__xludf.DUMMYFUNCTION("""COMPUTED_VALUE"""),961.59)</f>
        <v>961.59</v>
      </c>
      <c r="D705" s="3">
        <f>IFERROR(__xludf.DUMMYFUNCTION("""COMPUTED_VALUE"""),951.17)</f>
        <v>951.17</v>
      </c>
      <c r="E705" s="3">
        <f>IFERROR(__xludf.DUMMYFUNCTION("""COMPUTED_VALUE"""),959.83)</f>
        <v>959.83</v>
      </c>
      <c r="F705" s="3">
        <f>IFERROR(__xludf.DUMMYFUNCTION("""COMPUTED_VALUE"""),0.0)</f>
        <v>0</v>
      </c>
    </row>
    <row r="706">
      <c r="A706" s="7">
        <f>IFERROR(__xludf.DUMMYFUNCTION("""COMPUTED_VALUE"""),37757.645833333336)</f>
        <v>37757.64583</v>
      </c>
      <c r="B706" s="3">
        <f>IFERROR(__xludf.DUMMYFUNCTION("""COMPUTED_VALUE"""),959.87)</f>
        <v>959.87</v>
      </c>
      <c r="C706" s="3">
        <f>IFERROR(__xludf.DUMMYFUNCTION("""COMPUTED_VALUE"""),974.4)</f>
        <v>974.4</v>
      </c>
      <c r="D706" s="3">
        <f>IFERROR(__xludf.DUMMYFUNCTION("""COMPUTED_VALUE"""),959.87)</f>
        <v>959.87</v>
      </c>
      <c r="E706" s="3">
        <f>IFERROR(__xludf.DUMMYFUNCTION("""COMPUTED_VALUE"""),973.09)</f>
        <v>973.09</v>
      </c>
      <c r="F706" s="3">
        <f>IFERROR(__xludf.DUMMYFUNCTION("""COMPUTED_VALUE"""),0.0)</f>
        <v>0</v>
      </c>
    </row>
    <row r="707">
      <c r="A707" s="7">
        <f>IFERROR(__xludf.DUMMYFUNCTION("""COMPUTED_VALUE"""),37760.645833333336)</f>
        <v>37760.64583</v>
      </c>
      <c r="B707" s="3">
        <f>IFERROR(__xludf.DUMMYFUNCTION("""COMPUTED_VALUE"""),973.72)</f>
        <v>973.72</v>
      </c>
      <c r="C707" s="3">
        <f>IFERROR(__xludf.DUMMYFUNCTION("""COMPUTED_VALUE"""),979.84)</f>
        <v>979.84</v>
      </c>
      <c r="D707" s="3">
        <f>IFERROR(__xludf.DUMMYFUNCTION("""COMPUTED_VALUE"""),964.58)</f>
        <v>964.58</v>
      </c>
      <c r="E707" s="3">
        <f>IFERROR(__xludf.DUMMYFUNCTION("""COMPUTED_VALUE"""),966.57)</f>
        <v>966.57</v>
      </c>
      <c r="F707" s="3">
        <f>IFERROR(__xludf.DUMMYFUNCTION("""COMPUTED_VALUE"""),0.0)</f>
        <v>0</v>
      </c>
    </row>
    <row r="708">
      <c r="A708" s="7">
        <f>IFERROR(__xludf.DUMMYFUNCTION("""COMPUTED_VALUE"""),37761.645833333336)</f>
        <v>37761.64583</v>
      </c>
      <c r="B708" s="3">
        <f>IFERROR(__xludf.DUMMYFUNCTION("""COMPUTED_VALUE"""),964.65)</f>
        <v>964.65</v>
      </c>
      <c r="C708" s="3">
        <f>IFERROR(__xludf.DUMMYFUNCTION("""COMPUTED_VALUE"""),974.06)</f>
        <v>974.06</v>
      </c>
      <c r="D708" s="3">
        <f>IFERROR(__xludf.DUMMYFUNCTION("""COMPUTED_VALUE"""),959.79)</f>
        <v>959.79</v>
      </c>
      <c r="E708" s="3">
        <f>IFERROR(__xludf.DUMMYFUNCTION("""COMPUTED_VALUE"""),971.55)</f>
        <v>971.55</v>
      </c>
      <c r="F708" s="3">
        <f>IFERROR(__xludf.DUMMYFUNCTION("""COMPUTED_VALUE"""),0.0)</f>
        <v>0</v>
      </c>
    </row>
    <row r="709">
      <c r="A709" s="7">
        <f>IFERROR(__xludf.DUMMYFUNCTION("""COMPUTED_VALUE"""),37762.645833333336)</f>
        <v>37762.64583</v>
      </c>
      <c r="B709" s="3">
        <f>IFERROR(__xludf.DUMMYFUNCTION("""COMPUTED_VALUE"""),972.05)</f>
        <v>972.05</v>
      </c>
      <c r="C709" s="3">
        <f>IFERROR(__xludf.DUMMYFUNCTION("""COMPUTED_VALUE"""),980.73)</f>
        <v>980.73</v>
      </c>
      <c r="D709" s="3">
        <f>IFERROR(__xludf.DUMMYFUNCTION("""COMPUTED_VALUE"""),965.57)</f>
        <v>965.57</v>
      </c>
      <c r="E709" s="3">
        <f>IFERROR(__xludf.DUMMYFUNCTION("""COMPUTED_VALUE"""),968.02)</f>
        <v>968.02</v>
      </c>
      <c r="F709" s="3">
        <f>IFERROR(__xludf.DUMMYFUNCTION("""COMPUTED_VALUE"""),0.0)</f>
        <v>0</v>
      </c>
    </row>
    <row r="710">
      <c r="A710" s="7">
        <f>IFERROR(__xludf.DUMMYFUNCTION("""COMPUTED_VALUE"""),37763.645833333336)</f>
        <v>37763.64583</v>
      </c>
      <c r="B710" s="3">
        <f>IFERROR(__xludf.DUMMYFUNCTION("""COMPUTED_VALUE"""),967.94)</f>
        <v>967.94</v>
      </c>
      <c r="C710" s="3">
        <f>IFERROR(__xludf.DUMMYFUNCTION("""COMPUTED_VALUE"""),972.42)</f>
        <v>972.42</v>
      </c>
      <c r="D710" s="3">
        <f>IFERROR(__xludf.DUMMYFUNCTION("""COMPUTED_VALUE"""),960.04)</f>
        <v>960.04</v>
      </c>
      <c r="E710" s="3">
        <f>IFERROR(__xludf.DUMMYFUNCTION("""COMPUTED_VALUE"""),963.23)</f>
        <v>963.23</v>
      </c>
      <c r="F710" s="3">
        <f>IFERROR(__xludf.DUMMYFUNCTION("""COMPUTED_VALUE"""),0.0)</f>
        <v>0</v>
      </c>
    </row>
    <row r="711">
      <c r="A711" s="7">
        <f>IFERROR(__xludf.DUMMYFUNCTION("""COMPUTED_VALUE"""),37764.645833333336)</f>
        <v>37764.64583</v>
      </c>
      <c r="B711" s="3">
        <f>IFERROR(__xludf.DUMMYFUNCTION("""COMPUTED_VALUE"""),963.49)</f>
        <v>963.49</v>
      </c>
      <c r="C711" s="3">
        <f>IFERROR(__xludf.DUMMYFUNCTION("""COMPUTED_VALUE"""),972.89)</f>
        <v>972.89</v>
      </c>
      <c r="D711" s="3">
        <f>IFERROR(__xludf.DUMMYFUNCTION("""COMPUTED_VALUE"""),962.38)</f>
        <v>962.38</v>
      </c>
      <c r="E711" s="3">
        <f>IFERROR(__xludf.DUMMYFUNCTION("""COMPUTED_VALUE"""),967.91)</f>
        <v>967.91</v>
      </c>
      <c r="F711" s="3">
        <f>IFERROR(__xludf.DUMMYFUNCTION("""COMPUTED_VALUE"""),0.0)</f>
        <v>0</v>
      </c>
    </row>
    <row r="712">
      <c r="A712" s="7">
        <f>IFERROR(__xludf.DUMMYFUNCTION("""COMPUTED_VALUE"""),37767.645833333336)</f>
        <v>37767.64583</v>
      </c>
      <c r="B712" s="3">
        <f>IFERROR(__xludf.DUMMYFUNCTION("""COMPUTED_VALUE"""),967.84)</f>
        <v>967.84</v>
      </c>
      <c r="C712" s="3">
        <f>IFERROR(__xludf.DUMMYFUNCTION("""COMPUTED_VALUE"""),983.92)</f>
        <v>983.92</v>
      </c>
      <c r="D712" s="3">
        <f>IFERROR(__xludf.DUMMYFUNCTION("""COMPUTED_VALUE"""),967.11)</f>
        <v>967.11</v>
      </c>
      <c r="E712" s="3">
        <f>IFERROR(__xludf.DUMMYFUNCTION("""COMPUTED_VALUE"""),982.44)</f>
        <v>982.44</v>
      </c>
      <c r="F712" s="3">
        <f>IFERROR(__xludf.DUMMYFUNCTION("""COMPUTED_VALUE"""),0.0)</f>
        <v>0</v>
      </c>
    </row>
    <row r="713">
      <c r="A713" s="7">
        <f>IFERROR(__xludf.DUMMYFUNCTION("""COMPUTED_VALUE"""),37768.645833333336)</f>
        <v>37768.64583</v>
      </c>
      <c r="B713" s="3">
        <f>IFERROR(__xludf.DUMMYFUNCTION("""COMPUTED_VALUE"""),982.34)</f>
        <v>982.34</v>
      </c>
      <c r="C713" s="3">
        <f>IFERROR(__xludf.DUMMYFUNCTION("""COMPUTED_VALUE"""),990.01)</f>
        <v>990.01</v>
      </c>
      <c r="D713" s="3">
        <f>IFERROR(__xludf.DUMMYFUNCTION("""COMPUTED_VALUE"""),974.23)</f>
        <v>974.23</v>
      </c>
      <c r="E713" s="3">
        <f>IFERROR(__xludf.DUMMYFUNCTION("""COMPUTED_VALUE"""),976.85)</f>
        <v>976.85</v>
      </c>
      <c r="F713" s="3">
        <f>IFERROR(__xludf.DUMMYFUNCTION("""COMPUTED_VALUE"""),0.0)</f>
        <v>0</v>
      </c>
    </row>
    <row r="714">
      <c r="A714" s="7">
        <f>IFERROR(__xludf.DUMMYFUNCTION("""COMPUTED_VALUE"""),37769.645833333336)</f>
        <v>37769.64583</v>
      </c>
      <c r="B714" s="3">
        <f>IFERROR(__xludf.DUMMYFUNCTION("""COMPUTED_VALUE"""),977.63)</f>
        <v>977.63</v>
      </c>
      <c r="C714" s="3">
        <f>IFERROR(__xludf.DUMMYFUNCTION("""COMPUTED_VALUE"""),992.27)</f>
        <v>992.27</v>
      </c>
      <c r="D714" s="3">
        <f>IFERROR(__xludf.DUMMYFUNCTION("""COMPUTED_VALUE"""),977.57)</f>
        <v>977.57</v>
      </c>
      <c r="E714" s="3">
        <f>IFERROR(__xludf.DUMMYFUNCTION("""COMPUTED_VALUE"""),990.82)</f>
        <v>990.82</v>
      </c>
      <c r="F714" s="3">
        <f>IFERROR(__xludf.DUMMYFUNCTION("""COMPUTED_VALUE"""),0.0)</f>
        <v>0</v>
      </c>
    </row>
    <row r="715">
      <c r="A715" s="7">
        <f>IFERROR(__xludf.DUMMYFUNCTION("""COMPUTED_VALUE"""),37770.645833333336)</f>
        <v>37770.64583</v>
      </c>
      <c r="B715" s="3">
        <f>IFERROR(__xludf.DUMMYFUNCTION("""COMPUTED_VALUE"""),990.82)</f>
        <v>990.82</v>
      </c>
      <c r="C715" s="3">
        <f>IFERROR(__xludf.DUMMYFUNCTION("""COMPUTED_VALUE"""),1004.86)</f>
        <v>1004.86</v>
      </c>
      <c r="D715" s="3">
        <f>IFERROR(__xludf.DUMMYFUNCTION("""COMPUTED_VALUE"""),989.5)</f>
        <v>989.5</v>
      </c>
      <c r="E715" s="3">
        <f>IFERROR(__xludf.DUMMYFUNCTION("""COMPUTED_VALUE"""),1002.62)</f>
        <v>1002.62</v>
      </c>
      <c r="F715" s="3">
        <f>IFERROR(__xludf.DUMMYFUNCTION("""COMPUTED_VALUE"""),0.0)</f>
        <v>0</v>
      </c>
    </row>
    <row r="716">
      <c r="A716" s="7">
        <f>IFERROR(__xludf.DUMMYFUNCTION("""COMPUTED_VALUE"""),37771.645833333336)</f>
        <v>37771.64583</v>
      </c>
      <c r="B716" s="3">
        <f>IFERROR(__xludf.DUMMYFUNCTION("""COMPUTED_VALUE"""),1000.05)</f>
        <v>1000.05</v>
      </c>
      <c r="C716" s="3">
        <f>IFERROR(__xludf.DUMMYFUNCTION("""COMPUTED_VALUE"""),1013.84)</f>
        <v>1013.84</v>
      </c>
      <c r="D716" s="3">
        <f>IFERROR(__xludf.DUMMYFUNCTION("""COMPUTED_VALUE"""),994.67)</f>
        <v>994.67</v>
      </c>
      <c r="E716" s="3">
        <f>IFERROR(__xludf.DUMMYFUNCTION("""COMPUTED_VALUE"""),1006.82)</f>
        <v>1006.82</v>
      </c>
      <c r="F716" s="3">
        <f>IFERROR(__xludf.DUMMYFUNCTION("""COMPUTED_VALUE"""),0.0)</f>
        <v>0</v>
      </c>
    </row>
    <row r="717">
      <c r="A717" s="7">
        <f>IFERROR(__xludf.DUMMYFUNCTION("""COMPUTED_VALUE"""),37774.645833333336)</f>
        <v>37774.64583</v>
      </c>
      <c r="B717" s="3">
        <f>IFERROR(__xludf.DUMMYFUNCTION("""COMPUTED_VALUE"""),1006.86)</f>
        <v>1006.86</v>
      </c>
      <c r="C717" s="3">
        <f>IFERROR(__xludf.DUMMYFUNCTION("""COMPUTED_VALUE"""),1020.48)</f>
        <v>1020.48</v>
      </c>
      <c r="D717" s="3">
        <f>IFERROR(__xludf.DUMMYFUNCTION("""COMPUTED_VALUE"""),1004.7)</f>
        <v>1004.7</v>
      </c>
      <c r="E717" s="3">
        <f>IFERROR(__xludf.DUMMYFUNCTION("""COMPUTED_VALUE"""),1015.14)</f>
        <v>1015.14</v>
      </c>
      <c r="F717" s="3">
        <f>IFERROR(__xludf.DUMMYFUNCTION("""COMPUTED_VALUE"""),0.0)</f>
        <v>0</v>
      </c>
    </row>
    <row r="718">
      <c r="A718" s="7">
        <f>IFERROR(__xludf.DUMMYFUNCTION("""COMPUTED_VALUE"""),37775.645833333336)</f>
        <v>37775.64583</v>
      </c>
      <c r="B718" s="3">
        <f>IFERROR(__xludf.DUMMYFUNCTION("""COMPUTED_VALUE"""),1015.88)</f>
        <v>1015.88</v>
      </c>
      <c r="C718" s="3">
        <f>IFERROR(__xludf.DUMMYFUNCTION("""COMPUTED_VALUE"""),1016.92)</f>
        <v>1016.92</v>
      </c>
      <c r="D718" s="3">
        <f>IFERROR(__xludf.DUMMYFUNCTION("""COMPUTED_VALUE"""),1007.65)</f>
        <v>1007.65</v>
      </c>
      <c r="E718" s="3">
        <f>IFERROR(__xludf.DUMMYFUNCTION("""COMPUTED_VALUE"""),1010.67)</f>
        <v>1010.67</v>
      </c>
      <c r="F718" s="3">
        <f>IFERROR(__xludf.DUMMYFUNCTION("""COMPUTED_VALUE"""),0.0)</f>
        <v>0</v>
      </c>
    </row>
    <row r="719">
      <c r="A719" s="7">
        <f>IFERROR(__xludf.DUMMYFUNCTION("""COMPUTED_VALUE"""),37776.645833333336)</f>
        <v>37776.64583</v>
      </c>
      <c r="B719" s="3">
        <f>IFERROR(__xludf.DUMMYFUNCTION("""COMPUTED_VALUE"""),1010.72)</f>
        <v>1010.72</v>
      </c>
      <c r="C719" s="3">
        <f>IFERROR(__xludf.DUMMYFUNCTION("""COMPUTED_VALUE"""),1022.75)</f>
        <v>1022.75</v>
      </c>
      <c r="D719" s="3">
        <f>IFERROR(__xludf.DUMMYFUNCTION("""COMPUTED_VALUE"""),1010.08)</f>
        <v>1010.08</v>
      </c>
      <c r="E719" s="3">
        <f>IFERROR(__xludf.DUMMYFUNCTION("""COMPUTED_VALUE"""),1021.04)</f>
        <v>1021.04</v>
      </c>
      <c r="F719" s="3">
        <f>IFERROR(__xludf.DUMMYFUNCTION("""COMPUTED_VALUE"""),0.0)</f>
        <v>0</v>
      </c>
    </row>
    <row r="720">
      <c r="A720" s="7">
        <f>IFERROR(__xludf.DUMMYFUNCTION("""COMPUTED_VALUE"""),37777.645833333336)</f>
        <v>37777.64583</v>
      </c>
      <c r="B720" s="3">
        <f>IFERROR(__xludf.DUMMYFUNCTION("""COMPUTED_VALUE"""),1021.12)</f>
        <v>1021.12</v>
      </c>
      <c r="C720" s="3">
        <f>IFERROR(__xludf.DUMMYFUNCTION("""COMPUTED_VALUE"""),1038.31)</f>
        <v>1038.31</v>
      </c>
      <c r="D720" s="3">
        <f>IFERROR(__xludf.DUMMYFUNCTION("""COMPUTED_VALUE"""),1021.12)</f>
        <v>1021.12</v>
      </c>
      <c r="E720" s="3">
        <f>IFERROR(__xludf.DUMMYFUNCTION("""COMPUTED_VALUE"""),1035.04)</f>
        <v>1035.04</v>
      </c>
      <c r="F720" s="3">
        <f>IFERROR(__xludf.DUMMYFUNCTION("""COMPUTED_VALUE"""),0.0)</f>
        <v>0</v>
      </c>
    </row>
    <row r="721">
      <c r="A721" s="7">
        <f>IFERROR(__xludf.DUMMYFUNCTION("""COMPUTED_VALUE"""),37778.645833333336)</f>
        <v>37778.64583</v>
      </c>
      <c r="B721" s="3">
        <f>IFERROR(__xludf.DUMMYFUNCTION("""COMPUTED_VALUE"""),1036.22)</f>
        <v>1036.22</v>
      </c>
      <c r="C721" s="3">
        <f>IFERROR(__xludf.DUMMYFUNCTION("""COMPUTED_VALUE"""),1048.84)</f>
        <v>1048.84</v>
      </c>
      <c r="D721" s="3">
        <f>IFERROR(__xludf.DUMMYFUNCTION("""COMPUTED_VALUE"""),1035.97)</f>
        <v>1035.97</v>
      </c>
      <c r="E721" s="3">
        <f>IFERROR(__xludf.DUMMYFUNCTION("""COMPUTED_VALUE"""),1046.39)</f>
        <v>1046.39</v>
      </c>
      <c r="F721" s="3">
        <f>IFERROR(__xludf.DUMMYFUNCTION("""COMPUTED_VALUE"""),0.0)</f>
        <v>0</v>
      </c>
    </row>
    <row r="722">
      <c r="A722" s="7">
        <f>IFERROR(__xludf.DUMMYFUNCTION("""COMPUTED_VALUE"""),37781.645833333336)</f>
        <v>37781.64583</v>
      </c>
      <c r="B722" s="3">
        <f>IFERROR(__xludf.DUMMYFUNCTION("""COMPUTED_VALUE"""),1046.01)</f>
        <v>1046.01</v>
      </c>
      <c r="C722" s="3">
        <f>IFERROR(__xludf.DUMMYFUNCTION("""COMPUTED_VALUE"""),1057.04)</f>
        <v>1057.04</v>
      </c>
      <c r="D722" s="3">
        <f>IFERROR(__xludf.DUMMYFUNCTION("""COMPUTED_VALUE"""),1039.87)</f>
        <v>1039.87</v>
      </c>
      <c r="E722" s="3">
        <f>IFERROR(__xludf.DUMMYFUNCTION("""COMPUTED_VALUE"""),1052.1)</f>
        <v>1052.1</v>
      </c>
      <c r="F722" s="3">
        <f>IFERROR(__xludf.DUMMYFUNCTION("""COMPUTED_VALUE"""),0.0)</f>
        <v>0</v>
      </c>
    </row>
    <row r="723">
      <c r="A723" s="7">
        <f>IFERROR(__xludf.DUMMYFUNCTION("""COMPUTED_VALUE"""),37782.645833333336)</f>
        <v>37782.64583</v>
      </c>
      <c r="B723" s="3">
        <f>IFERROR(__xludf.DUMMYFUNCTION("""COMPUTED_VALUE"""),1052.01)</f>
        <v>1052.01</v>
      </c>
      <c r="C723" s="3">
        <f>IFERROR(__xludf.DUMMYFUNCTION("""COMPUTED_VALUE"""),1056.55)</f>
        <v>1056.55</v>
      </c>
      <c r="D723" s="3">
        <f>IFERROR(__xludf.DUMMYFUNCTION("""COMPUTED_VALUE"""),1033.95)</f>
        <v>1033.95</v>
      </c>
      <c r="E723" s="3">
        <f>IFERROR(__xludf.DUMMYFUNCTION("""COMPUTED_VALUE"""),1037.82)</f>
        <v>1037.82</v>
      </c>
      <c r="F723" s="3">
        <f>IFERROR(__xludf.DUMMYFUNCTION("""COMPUTED_VALUE"""),0.0)</f>
        <v>0</v>
      </c>
    </row>
    <row r="724">
      <c r="A724" s="7">
        <f>IFERROR(__xludf.DUMMYFUNCTION("""COMPUTED_VALUE"""),37783.645833333336)</f>
        <v>37783.64583</v>
      </c>
      <c r="B724" s="3">
        <f>IFERROR(__xludf.DUMMYFUNCTION("""COMPUTED_VALUE"""),1038.01)</f>
        <v>1038.01</v>
      </c>
      <c r="C724" s="3">
        <f>IFERROR(__xludf.DUMMYFUNCTION("""COMPUTED_VALUE"""),1048.26)</f>
        <v>1048.26</v>
      </c>
      <c r="D724" s="3">
        <f>IFERROR(__xludf.DUMMYFUNCTION("""COMPUTED_VALUE"""),1034.98)</f>
        <v>1034.98</v>
      </c>
      <c r="E724" s="3">
        <f>IFERROR(__xludf.DUMMYFUNCTION("""COMPUTED_VALUE"""),1044.08)</f>
        <v>1044.08</v>
      </c>
      <c r="F724" s="3">
        <f>IFERROR(__xludf.DUMMYFUNCTION("""COMPUTED_VALUE"""),0.0)</f>
        <v>0</v>
      </c>
    </row>
    <row r="725">
      <c r="A725" s="7">
        <f>IFERROR(__xludf.DUMMYFUNCTION("""COMPUTED_VALUE"""),37784.645833333336)</f>
        <v>37784.64583</v>
      </c>
      <c r="B725" s="3">
        <f>IFERROR(__xludf.DUMMYFUNCTION("""COMPUTED_VALUE"""),1044.19)</f>
        <v>1044.19</v>
      </c>
      <c r="C725" s="3">
        <f>IFERROR(__xludf.DUMMYFUNCTION("""COMPUTED_VALUE"""),1052.61)</f>
        <v>1052.61</v>
      </c>
      <c r="D725" s="3">
        <f>IFERROR(__xludf.DUMMYFUNCTION("""COMPUTED_VALUE"""),1043.12)</f>
        <v>1043.12</v>
      </c>
      <c r="E725" s="3">
        <f>IFERROR(__xludf.DUMMYFUNCTION("""COMPUTED_VALUE"""),1051.3)</f>
        <v>1051.3</v>
      </c>
      <c r="F725" s="3">
        <f>IFERROR(__xludf.DUMMYFUNCTION("""COMPUTED_VALUE"""),0.0)</f>
        <v>0</v>
      </c>
    </row>
    <row r="726">
      <c r="A726" s="7">
        <f>IFERROR(__xludf.DUMMYFUNCTION("""COMPUTED_VALUE"""),37785.645833333336)</f>
        <v>37785.64583</v>
      </c>
      <c r="B726" s="3">
        <f>IFERROR(__xludf.DUMMYFUNCTION("""COMPUTED_VALUE"""),1050.96)</f>
        <v>1050.96</v>
      </c>
      <c r="C726" s="3">
        <f>IFERROR(__xludf.DUMMYFUNCTION("""COMPUTED_VALUE"""),1059.47)</f>
        <v>1059.47</v>
      </c>
      <c r="D726" s="3">
        <f>IFERROR(__xludf.DUMMYFUNCTION("""COMPUTED_VALUE"""),1050.96)</f>
        <v>1050.96</v>
      </c>
      <c r="E726" s="3">
        <f>IFERROR(__xludf.DUMMYFUNCTION("""COMPUTED_VALUE"""),1056.21)</f>
        <v>1056.21</v>
      </c>
      <c r="F726" s="3">
        <f>IFERROR(__xludf.DUMMYFUNCTION("""COMPUTED_VALUE"""),0.0)</f>
        <v>0</v>
      </c>
    </row>
    <row r="727">
      <c r="A727" s="7">
        <f>IFERROR(__xludf.DUMMYFUNCTION("""COMPUTED_VALUE"""),37788.645833333336)</f>
        <v>37788.64583</v>
      </c>
      <c r="B727" s="3">
        <f>IFERROR(__xludf.DUMMYFUNCTION("""COMPUTED_VALUE"""),1056.48)</f>
        <v>1056.48</v>
      </c>
      <c r="C727" s="3">
        <f>IFERROR(__xludf.DUMMYFUNCTION("""COMPUTED_VALUE"""),1059.82)</f>
        <v>1059.82</v>
      </c>
      <c r="D727" s="3">
        <f>IFERROR(__xludf.DUMMYFUNCTION("""COMPUTED_VALUE"""),1045.54)</f>
        <v>1045.54</v>
      </c>
      <c r="E727" s="3">
        <f>IFERROR(__xludf.DUMMYFUNCTION("""COMPUTED_VALUE"""),1051.81)</f>
        <v>1051.81</v>
      </c>
      <c r="F727" s="3">
        <f>IFERROR(__xludf.DUMMYFUNCTION("""COMPUTED_VALUE"""),0.0)</f>
        <v>0</v>
      </c>
    </row>
    <row r="728">
      <c r="A728" s="7">
        <f>IFERROR(__xludf.DUMMYFUNCTION("""COMPUTED_VALUE"""),37789.645833333336)</f>
        <v>37789.64583</v>
      </c>
      <c r="B728" s="3">
        <f>IFERROR(__xludf.DUMMYFUNCTION("""COMPUTED_VALUE"""),1052.28)</f>
        <v>1052.28</v>
      </c>
      <c r="C728" s="3">
        <f>IFERROR(__xludf.DUMMYFUNCTION("""COMPUTED_VALUE"""),1083.22)</f>
        <v>1083.22</v>
      </c>
      <c r="D728" s="3">
        <f>IFERROR(__xludf.DUMMYFUNCTION("""COMPUTED_VALUE"""),1052.28)</f>
        <v>1052.28</v>
      </c>
      <c r="E728" s="3">
        <f>IFERROR(__xludf.DUMMYFUNCTION("""COMPUTED_VALUE"""),1081.93)</f>
        <v>1081.93</v>
      </c>
      <c r="F728" s="3">
        <f>IFERROR(__xludf.DUMMYFUNCTION("""COMPUTED_VALUE"""),0.0)</f>
        <v>0</v>
      </c>
    </row>
    <row r="729">
      <c r="A729" s="7">
        <f>IFERROR(__xludf.DUMMYFUNCTION("""COMPUTED_VALUE"""),37790.645833333336)</f>
        <v>37790.64583</v>
      </c>
      <c r="B729" s="3">
        <f>IFERROR(__xludf.DUMMYFUNCTION("""COMPUTED_VALUE"""),1082.82)</f>
        <v>1082.82</v>
      </c>
      <c r="C729" s="3">
        <f>IFERROR(__xludf.DUMMYFUNCTION("""COMPUTED_VALUE"""),1093.21)</f>
        <v>1093.21</v>
      </c>
      <c r="D729" s="3">
        <f>IFERROR(__xludf.DUMMYFUNCTION("""COMPUTED_VALUE"""),1080.88)</f>
        <v>1080.88</v>
      </c>
      <c r="E729" s="3">
        <f>IFERROR(__xludf.DUMMYFUNCTION("""COMPUTED_VALUE"""),1086.74)</f>
        <v>1086.74</v>
      </c>
      <c r="F729" s="3">
        <f>IFERROR(__xludf.DUMMYFUNCTION("""COMPUTED_VALUE"""),0.0)</f>
        <v>0</v>
      </c>
    </row>
    <row r="730">
      <c r="A730" s="7">
        <f>IFERROR(__xludf.DUMMYFUNCTION("""COMPUTED_VALUE"""),37791.645833333336)</f>
        <v>37791.64583</v>
      </c>
      <c r="B730" s="3">
        <f>IFERROR(__xludf.DUMMYFUNCTION("""COMPUTED_VALUE"""),1085.97)</f>
        <v>1085.97</v>
      </c>
      <c r="C730" s="3">
        <f>IFERROR(__xludf.DUMMYFUNCTION("""COMPUTED_VALUE"""),1097.0)</f>
        <v>1097</v>
      </c>
      <c r="D730" s="3">
        <f>IFERROR(__xludf.DUMMYFUNCTION("""COMPUTED_VALUE"""),1078.91)</f>
        <v>1078.91</v>
      </c>
      <c r="E730" s="3">
        <f>IFERROR(__xludf.DUMMYFUNCTION("""COMPUTED_VALUE"""),1092.55)</f>
        <v>1092.55</v>
      </c>
      <c r="F730" s="3">
        <f>IFERROR(__xludf.DUMMYFUNCTION("""COMPUTED_VALUE"""),0.0)</f>
        <v>0</v>
      </c>
    </row>
    <row r="731">
      <c r="A731" s="7">
        <f>IFERROR(__xludf.DUMMYFUNCTION("""COMPUTED_VALUE"""),37792.645833333336)</f>
        <v>37792.64583</v>
      </c>
      <c r="B731" s="3">
        <f>IFERROR(__xludf.DUMMYFUNCTION("""COMPUTED_VALUE"""),1092.66)</f>
        <v>1092.66</v>
      </c>
      <c r="C731" s="3">
        <f>IFERROR(__xludf.DUMMYFUNCTION("""COMPUTED_VALUE"""),1101.61)</f>
        <v>1101.61</v>
      </c>
      <c r="D731" s="3">
        <f>IFERROR(__xludf.DUMMYFUNCTION("""COMPUTED_VALUE"""),1081.36)</f>
        <v>1081.36</v>
      </c>
      <c r="E731" s="3">
        <f>IFERROR(__xludf.DUMMYFUNCTION("""COMPUTED_VALUE"""),1100.24)</f>
        <v>1100.24</v>
      </c>
      <c r="F731" s="3">
        <f>IFERROR(__xludf.DUMMYFUNCTION("""COMPUTED_VALUE"""),0.0)</f>
        <v>0</v>
      </c>
    </row>
    <row r="732">
      <c r="A732" s="7">
        <f>IFERROR(__xludf.DUMMYFUNCTION("""COMPUTED_VALUE"""),37795.645833333336)</f>
        <v>37795.64583</v>
      </c>
      <c r="B732" s="3">
        <f>IFERROR(__xludf.DUMMYFUNCTION("""COMPUTED_VALUE"""),1100.62)</f>
        <v>1100.62</v>
      </c>
      <c r="C732" s="3">
        <f>IFERROR(__xludf.DUMMYFUNCTION("""COMPUTED_VALUE"""),1106.15)</f>
        <v>1106.15</v>
      </c>
      <c r="D732" s="3">
        <f>IFERROR(__xludf.DUMMYFUNCTION("""COMPUTED_VALUE"""),1087.66)</f>
        <v>1087.66</v>
      </c>
      <c r="E732" s="3">
        <f>IFERROR(__xludf.DUMMYFUNCTION("""COMPUTED_VALUE"""),1089.18)</f>
        <v>1089.18</v>
      </c>
      <c r="F732" s="3">
        <f>IFERROR(__xludf.DUMMYFUNCTION("""COMPUTED_VALUE"""),0.0)</f>
        <v>0</v>
      </c>
    </row>
    <row r="733">
      <c r="A733" s="7">
        <f>IFERROR(__xludf.DUMMYFUNCTION("""COMPUTED_VALUE"""),37796.645833333336)</f>
        <v>37796.64583</v>
      </c>
      <c r="B733" s="3">
        <f>IFERROR(__xludf.DUMMYFUNCTION("""COMPUTED_VALUE"""),1089.18)</f>
        <v>1089.18</v>
      </c>
      <c r="C733" s="3">
        <f>IFERROR(__xludf.DUMMYFUNCTION("""COMPUTED_VALUE"""),1092.67)</f>
        <v>1092.67</v>
      </c>
      <c r="D733" s="3">
        <f>IFERROR(__xludf.DUMMYFUNCTION("""COMPUTED_VALUE"""),1079.09)</f>
        <v>1079.09</v>
      </c>
      <c r="E733" s="3">
        <f>IFERROR(__xludf.DUMMYFUNCTION("""COMPUTED_VALUE"""),1085.35)</f>
        <v>1085.35</v>
      </c>
      <c r="F733" s="3">
        <f>IFERROR(__xludf.DUMMYFUNCTION("""COMPUTED_VALUE"""),0.0)</f>
        <v>0</v>
      </c>
    </row>
    <row r="734">
      <c r="A734" s="7">
        <f>IFERROR(__xludf.DUMMYFUNCTION("""COMPUTED_VALUE"""),37797.645833333336)</f>
        <v>37797.64583</v>
      </c>
      <c r="B734" s="3">
        <f>IFERROR(__xludf.DUMMYFUNCTION("""COMPUTED_VALUE"""),1085.63)</f>
        <v>1085.63</v>
      </c>
      <c r="C734" s="3">
        <f>IFERROR(__xludf.DUMMYFUNCTION("""COMPUTED_VALUE"""),1109.75)</f>
        <v>1109.75</v>
      </c>
      <c r="D734" s="3">
        <f>IFERROR(__xludf.DUMMYFUNCTION("""COMPUTED_VALUE"""),1084.35)</f>
        <v>1084.35</v>
      </c>
      <c r="E734" s="3">
        <f>IFERROR(__xludf.DUMMYFUNCTION("""COMPUTED_VALUE"""),1106.63)</f>
        <v>1106.63</v>
      </c>
      <c r="F734" s="3">
        <f>IFERROR(__xludf.DUMMYFUNCTION("""COMPUTED_VALUE"""),0.0)</f>
        <v>0</v>
      </c>
    </row>
    <row r="735">
      <c r="A735" s="7">
        <f>IFERROR(__xludf.DUMMYFUNCTION("""COMPUTED_VALUE"""),37798.645833333336)</f>
        <v>37798.64583</v>
      </c>
      <c r="B735" s="3">
        <f>IFERROR(__xludf.DUMMYFUNCTION("""COMPUTED_VALUE"""),1106.8)</f>
        <v>1106.8</v>
      </c>
      <c r="C735" s="3">
        <f>IFERROR(__xludf.DUMMYFUNCTION("""COMPUTED_VALUE"""),1118.89)</f>
        <v>1118.89</v>
      </c>
      <c r="D735" s="3">
        <f>IFERROR(__xludf.DUMMYFUNCTION("""COMPUTED_VALUE"""),1106.8)</f>
        <v>1106.8</v>
      </c>
      <c r="E735" s="3">
        <f>IFERROR(__xludf.DUMMYFUNCTION("""COMPUTED_VALUE"""),1116.34)</f>
        <v>1116.34</v>
      </c>
      <c r="F735" s="3">
        <f>IFERROR(__xludf.DUMMYFUNCTION("""COMPUTED_VALUE"""),0.0)</f>
        <v>0</v>
      </c>
    </row>
    <row r="736">
      <c r="A736" s="7">
        <f>IFERROR(__xludf.DUMMYFUNCTION("""COMPUTED_VALUE"""),37799.645833333336)</f>
        <v>37799.64583</v>
      </c>
      <c r="B736" s="3">
        <f>IFERROR(__xludf.DUMMYFUNCTION("""COMPUTED_VALUE"""),1117.46)</f>
        <v>1117.46</v>
      </c>
      <c r="C736" s="3">
        <f>IFERROR(__xludf.DUMMYFUNCTION("""COMPUTED_VALUE"""),1126.81)</f>
        <v>1126.81</v>
      </c>
      <c r="D736" s="3">
        <f>IFERROR(__xludf.DUMMYFUNCTION("""COMPUTED_VALUE"""),1109.33)</f>
        <v>1109.33</v>
      </c>
      <c r="E736" s="3">
        <f>IFERROR(__xludf.DUMMYFUNCTION("""COMPUTED_VALUE"""),1125.53)</f>
        <v>1125.53</v>
      </c>
      <c r="F736" s="3">
        <f>IFERROR(__xludf.DUMMYFUNCTION("""COMPUTED_VALUE"""),0.0)</f>
        <v>0</v>
      </c>
    </row>
    <row r="737">
      <c r="A737" s="7">
        <f>IFERROR(__xludf.DUMMYFUNCTION("""COMPUTED_VALUE"""),37802.645833333336)</f>
        <v>37802.64583</v>
      </c>
      <c r="B737" s="3">
        <f>IFERROR(__xludf.DUMMYFUNCTION("""COMPUTED_VALUE"""),1125.59)</f>
        <v>1125.59</v>
      </c>
      <c r="C737" s="3">
        <f>IFERROR(__xludf.DUMMYFUNCTION("""COMPUTED_VALUE"""),1141.28)</f>
        <v>1141.28</v>
      </c>
      <c r="D737" s="3">
        <f>IFERROR(__xludf.DUMMYFUNCTION("""COMPUTED_VALUE"""),1125.5)</f>
        <v>1125.5</v>
      </c>
      <c r="E737" s="3">
        <f>IFERROR(__xludf.DUMMYFUNCTION("""COMPUTED_VALUE"""),1134.14)</f>
        <v>1134.14</v>
      </c>
      <c r="F737" s="3">
        <f>IFERROR(__xludf.DUMMYFUNCTION("""COMPUTED_VALUE"""),0.0)</f>
        <v>0</v>
      </c>
    </row>
    <row r="738">
      <c r="A738" s="7">
        <f>IFERROR(__xludf.DUMMYFUNCTION("""COMPUTED_VALUE"""),37803.645833333336)</f>
        <v>37803.64583</v>
      </c>
      <c r="B738" s="3">
        <f>IFERROR(__xludf.DUMMYFUNCTION("""COMPUTED_VALUE"""),1133.96)</f>
        <v>1133.96</v>
      </c>
      <c r="C738" s="3">
        <f>IFERROR(__xludf.DUMMYFUNCTION("""COMPUTED_VALUE"""),1139.01)</f>
        <v>1139.01</v>
      </c>
      <c r="D738" s="3">
        <f>IFERROR(__xludf.DUMMYFUNCTION("""COMPUTED_VALUE"""),1125.77)</f>
        <v>1125.77</v>
      </c>
      <c r="E738" s="3">
        <f>IFERROR(__xludf.DUMMYFUNCTION("""COMPUTED_VALUE"""),1130.71)</f>
        <v>1130.71</v>
      </c>
      <c r="F738" s="3">
        <f>IFERROR(__xludf.DUMMYFUNCTION("""COMPUTED_VALUE"""),0.0)</f>
        <v>0</v>
      </c>
    </row>
    <row r="739">
      <c r="A739" s="7">
        <f>IFERROR(__xludf.DUMMYFUNCTION("""COMPUTED_VALUE"""),37804.645833333336)</f>
        <v>37804.64583</v>
      </c>
      <c r="B739" s="3">
        <f>IFERROR(__xludf.DUMMYFUNCTION("""COMPUTED_VALUE"""),1131.57)</f>
        <v>1131.57</v>
      </c>
      <c r="C739" s="3">
        <f>IFERROR(__xludf.DUMMYFUNCTION("""COMPUTED_VALUE"""),1145.41)</f>
        <v>1145.41</v>
      </c>
      <c r="D739" s="3">
        <f>IFERROR(__xludf.DUMMYFUNCTION("""COMPUTED_VALUE"""),1130.2)</f>
        <v>1130.2</v>
      </c>
      <c r="E739" s="3">
        <f>IFERROR(__xludf.DUMMYFUNCTION("""COMPUTED_VALUE"""),1133.78)</f>
        <v>1133.78</v>
      </c>
      <c r="F739" s="3">
        <f>IFERROR(__xludf.DUMMYFUNCTION("""COMPUTED_VALUE"""),0.0)</f>
        <v>0</v>
      </c>
    </row>
    <row r="740">
      <c r="A740" s="7">
        <f>IFERROR(__xludf.DUMMYFUNCTION("""COMPUTED_VALUE"""),37805.645833333336)</f>
        <v>37805.64583</v>
      </c>
      <c r="B740" s="3">
        <f>IFERROR(__xludf.DUMMYFUNCTION("""COMPUTED_VALUE"""),1133.82)</f>
        <v>1133.82</v>
      </c>
      <c r="C740" s="3">
        <f>IFERROR(__xludf.DUMMYFUNCTION("""COMPUTED_VALUE"""),1150.76)</f>
        <v>1150.76</v>
      </c>
      <c r="D740" s="3">
        <f>IFERROR(__xludf.DUMMYFUNCTION("""COMPUTED_VALUE"""),1126.34)</f>
        <v>1126.34</v>
      </c>
      <c r="E740" s="3">
        <f>IFERROR(__xludf.DUMMYFUNCTION("""COMPUTED_VALUE"""),1144.63)</f>
        <v>1144.63</v>
      </c>
      <c r="F740" s="3">
        <f>IFERROR(__xludf.DUMMYFUNCTION("""COMPUTED_VALUE"""),0.0)</f>
        <v>0</v>
      </c>
    </row>
    <row r="741">
      <c r="A741" s="7">
        <f>IFERROR(__xludf.DUMMYFUNCTION("""COMPUTED_VALUE"""),37806.645833333336)</f>
        <v>37806.64583</v>
      </c>
      <c r="B741" s="3">
        <f>IFERROR(__xludf.DUMMYFUNCTION("""COMPUTED_VALUE"""),1145.59)</f>
        <v>1145.59</v>
      </c>
      <c r="C741" s="3">
        <f>IFERROR(__xludf.DUMMYFUNCTION("""COMPUTED_VALUE"""),1148.84)</f>
        <v>1148.84</v>
      </c>
      <c r="D741" s="3">
        <f>IFERROR(__xludf.DUMMYFUNCTION("""COMPUTED_VALUE"""),1134.01)</f>
        <v>1134.01</v>
      </c>
      <c r="E741" s="3">
        <f>IFERROR(__xludf.DUMMYFUNCTION("""COMPUTED_VALUE"""),1138.45)</f>
        <v>1138.45</v>
      </c>
      <c r="F741" s="3">
        <f>IFERROR(__xludf.DUMMYFUNCTION("""COMPUTED_VALUE"""),0.0)</f>
        <v>0</v>
      </c>
    </row>
    <row r="742">
      <c r="A742" s="7">
        <f>IFERROR(__xludf.DUMMYFUNCTION("""COMPUTED_VALUE"""),37809.645833333336)</f>
        <v>37809.64583</v>
      </c>
      <c r="B742" s="3">
        <f>IFERROR(__xludf.DUMMYFUNCTION("""COMPUTED_VALUE"""),1138.89)</f>
        <v>1138.89</v>
      </c>
      <c r="C742" s="3">
        <f>IFERROR(__xludf.DUMMYFUNCTION("""COMPUTED_VALUE"""),1145.75)</f>
        <v>1145.75</v>
      </c>
      <c r="D742" s="3">
        <f>IFERROR(__xludf.DUMMYFUNCTION("""COMPUTED_VALUE"""),1134.6)</f>
        <v>1134.6</v>
      </c>
      <c r="E742" s="3">
        <f>IFERROR(__xludf.DUMMYFUNCTION("""COMPUTED_VALUE"""),1140.57)</f>
        <v>1140.57</v>
      </c>
      <c r="F742" s="3">
        <f>IFERROR(__xludf.DUMMYFUNCTION("""COMPUTED_VALUE"""),0.0)</f>
        <v>0</v>
      </c>
    </row>
    <row r="743">
      <c r="A743" s="7">
        <f>IFERROR(__xludf.DUMMYFUNCTION("""COMPUTED_VALUE"""),37810.645833333336)</f>
        <v>37810.64583</v>
      </c>
      <c r="B743" s="3">
        <f>IFERROR(__xludf.DUMMYFUNCTION("""COMPUTED_VALUE"""),1141.44)</f>
        <v>1141.44</v>
      </c>
      <c r="C743" s="3">
        <f>IFERROR(__xludf.DUMMYFUNCTION("""COMPUTED_VALUE"""),1153.14)</f>
        <v>1153.14</v>
      </c>
      <c r="D743" s="3">
        <f>IFERROR(__xludf.DUMMYFUNCTION("""COMPUTED_VALUE"""),1141.3)</f>
        <v>1141.3</v>
      </c>
      <c r="E743" s="3">
        <f>IFERROR(__xludf.DUMMYFUNCTION("""COMPUTED_VALUE"""),1145.91)</f>
        <v>1145.91</v>
      </c>
      <c r="F743" s="3">
        <f>IFERROR(__xludf.DUMMYFUNCTION("""COMPUTED_VALUE"""),0.0)</f>
        <v>0</v>
      </c>
    </row>
    <row r="744">
      <c r="A744" s="7">
        <f>IFERROR(__xludf.DUMMYFUNCTION("""COMPUTED_VALUE"""),37811.645833333336)</f>
        <v>37811.64583</v>
      </c>
      <c r="B744" s="3">
        <f>IFERROR(__xludf.DUMMYFUNCTION("""COMPUTED_VALUE"""),1146.35)</f>
        <v>1146.35</v>
      </c>
      <c r="C744" s="3">
        <f>IFERROR(__xludf.DUMMYFUNCTION("""COMPUTED_VALUE"""),1155.3)</f>
        <v>1155.3</v>
      </c>
      <c r="D744" s="3">
        <f>IFERROR(__xludf.DUMMYFUNCTION("""COMPUTED_VALUE"""),1137.13)</f>
        <v>1137.13</v>
      </c>
      <c r="E744" s="3">
        <f>IFERROR(__xludf.DUMMYFUNCTION("""COMPUTED_VALUE"""),1141.05)</f>
        <v>1141.05</v>
      </c>
      <c r="F744" s="3">
        <f>IFERROR(__xludf.DUMMYFUNCTION("""COMPUTED_VALUE"""),0.0)</f>
        <v>0</v>
      </c>
    </row>
    <row r="745">
      <c r="A745" s="7">
        <f>IFERROR(__xludf.DUMMYFUNCTION("""COMPUTED_VALUE"""),37812.645833333336)</f>
        <v>37812.64583</v>
      </c>
      <c r="B745" s="3">
        <f>IFERROR(__xludf.DUMMYFUNCTION("""COMPUTED_VALUE"""),1145.99)</f>
        <v>1145.99</v>
      </c>
      <c r="C745" s="3">
        <f>IFERROR(__xludf.DUMMYFUNCTION("""COMPUTED_VALUE"""),1163.59)</f>
        <v>1163.59</v>
      </c>
      <c r="D745" s="3">
        <f>IFERROR(__xludf.DUMMYFUNCTION("""COMPUTED_VALUE"""),1145.99)</f>
        <v>1145.99</v>
      </c>
      <c r="E745" s="3">
        <f>IFERROR(__xludf.DUMMYFUNCTION("""COMPUTED_VALUE"""),1162.35)</f>
        <v>1162.35</v>
      </c>
      <c r="F745" s="3">
        <f>IFERROR(__xludf.DUMMYFUNCTION("""COMPUTED_VALUE"""),0.0)</f>
        <v>0</v>
      </c>
    </row>
    <row r="746">
      <c r="A746" s="7">
        <f>IFERROR(__xludf.DUMMYFUNCTION("""COMPUTED_VALUE"""),37813.645833333336)</f>
        <v>37813.64583</v>
      </c>
      <c r="B746" s="3">
        <f>IFERROR(__xludf.DUMMYFUNCTION("""COMPUTED_VALUE"""),1162.31)</f>
        <v>1162.31</v>
      </c>
      <c r="C746" s="3">
        <f>IFERROR(__xludf.DUMMYFUNCTION("""COMPUTED_VALUE"""),1170.74)</f>
        <v>1170.74</v>
      </c>
      <c r="D746" s="3">
        <f>IFERROR(__xludf.DUMMYFUNCTION("""COMPUTED_VALUE"""),1157.44)</f>
        <v>1157.44</v>
      </c>
      <c r="E746" s="3">
        <f>IFERROR(__xludf.DUMMYFUNCTION("""COMPUTED_VALUE"""),1161.63)</f>
        <v>1161.63</v>
      </c>
      <c r="F746" s="3">
        <f>IFERROR(__xludf.DUMMYFUNCTION("""COMPUTED_VALUE"""),0.0)</f>
        <v>0</v>
      </c>
    </row>
    <row r="747">
      <c r="A747" s="7">
        <f>IFERROR(__xludf.DUMMYFUNCTION("""COMPUTED_VALUE"""),37816.645833333336)</f>
        <v>37816.64583</v>
      </c>
      <c r="B747" s="3">
        <f>IFERROR(__xludf.DUMMYFUNCTION("""COMPUTED_VALUE"""),1161.2)</f>
        <v>1161.2</v>
      </c>
      <c r="C747" s="3">
        <f>IFERROR(__xludf.DUMMYFUNCTION("""COMPUTED_VALUE"""),1173.94)</f>
        <v>1173.94</v>
      </c>
      <c r="D747" s="3">
        <f>IFERROR(__xludf.DUMMYFUNCTION("""COMPUTED_VALUE"""),1161.2)</f>
        <v>1161.2</v>
      </c>
      <c r="E747" s="3">
        <f>IFERROR(__xludf.DUMMYFUNCTION("""COMPUTED_VALUE"""),1171.48)</f>
        <v>1171.48</v>
      </c>
      <c r="F747" s="3">
        <f>IFERROR(__xludf.DUMMYFUNCTION("""COMPUTED_VALUE"""),0.0)</f>
        <v>0</v>
      </c>
    </row>
    <row r="748">
      <c r="A748" s="7">
        <f>IFERROR(__xludf.DUMMYFUNCTION("""COMPUTED_VALUE"""),37817.645833333336)</f>
        <v>37817.64583</v>
      </c>
      <c r="B748" s="3">
        <f>IFERROR(__xludf.DUMMYFUNCTION("""COMPUTED_VALUE"""),1171.5)</f>
        <v>1171.5</v>
      </c>
      <c r="C748" s="3">
        <f>IFERROR(__xludf.DUMMYFUNCTION("""COMPUTED_VALUE"""),1175.55)</f>
        <v>1175.55</v>
      </c>
      <c r="D748" s="3">
        <f>IFERROR(__xludf.DUMMYFUNCTION("""COMPUTED_VALUE"""),1148.82)</f>
        <v>1148.82</v>
      </c>
      <c r="E748" s="3">
        <f>IFERROR(__xludf.DUMMYFUNCTION("""COMPUTED_VALUE"""),1159.83)</f>
        <v>1159.83</v>
      </c>
      <c r="F748" s="3">
        <f>IFERROR(__xludf.DUMMYFUNCTION("""COMPUTED_VALUE"""),0.0)</f>
        <v>0</v>
      </c>
    </row>
    <row r="749">
      <c r="A749" s="7">
        <f>IFERROR(__xludf.DUMMYFUNCTION("""COMPUTED_VALUE"""),37818.645833333336)</f>
        <v>37818.64583</v>
      </c>
      <c r="B749" s="3">
        <f>IFERROR(__xludf.DUMMYFUNCTION("""COMPUTED_VALUE"""),1158.68)</f>
        <v>1158.68</v>
      </c>
      <c r="C749" s="3">
        <f>IFERROR(__xludf.DUMMYFUNCTION("""COMPUTED_VALUE"""),1170.47)</f>
        <v>1170.47</v>
      </c>
      <c r="D749" s="3">
        <f>IFERROR(__xludf.DUMMYFUNCTION("""COMPUTED_VALUE"""),1148.62)</f>
        <v>1148.62</v>
      </c>
      <c r="E749" s="3">
        <f>IFERROR(__xludf.DUMMYFUNCTION("""COMPUTED_VALUE"""),1168.74)</f>
        <v>1168.74</v>
      </c>
      <c r="F749" s="3">
        <f>IFERROR(__xludf.DUMMYFUNCTION("""COMPUTED_VALUE"""),0.0)</f>
        <v>0</v>
      </c>
    </row>
    <row r="750">
      <c r="A750" s="7">
        <f>IFERROR(__xludf.DUMMYFUNCTION("""COMPUTED_VALUE"""),37819.645833333336)</f>
        <v>37819.64583</v>
      </c>
      <c r="B750" s="3">
        <f>IFERROR(__xludf.DUMMYFUNCTION("""COMPUTED_VALUE"""),1168.86)</f>
        <v>1168.86</v>
      </c>
      <c r="C750" s="3">
        <f>IFERROR(__xludf.DUMMYFUNCTION("""COMPUTED_VALUE"""),1175.97)</f>
        <v>1175.97</v>
      </c>
      <c r="D750" s="3">
        <f>IFERROR(__xludf.DUMMYFUNCTION("""COMPUTED_VALUE"""),1145.63)</f>
        <v>1145.63</v>
      </c>
      <c r="E750" s="3">
        <f>IFERROR(__xludf.DUMMYFUNCTION("""COMPUTED_VALUE"""),1152.02)</f>
        <v>1152.02</v>
      </c>
      <c r="F750" s="3">
        <f>IFERROR(__xludf.DUMMYFUNCTION("""COMPUTED_VALUE"""),0.0)</f>
        <v>0</v>
      </c>
    </row>
    <row r="751">
      <c r="A751" s="7">
        <f>IFERROR(__xludf.DUMMYFUNCTION("""COMPUTED_VALUE"""),37820.645833333336)</f>
        <v>37820.64583</v>
      </c>
      <c r="B751" s="3">
        <f>IFERROR(__xludf.DUMMYFUNCTION("""COMPUTED_VALUE"""),1151.87)</f>
        <v>1151.87</v>
      </c>
      <c r="C751" s="3">
        <f>IFERROR(__xludf.DUMMYFUNCTION("""COMPUTED_VALUE"""),1162.61)</f>
        <v>1162.61</v>
      </c>
      <c r="D751" s="3">
        <f>IFERROR(__xludf.DUMMYFUNCTION("""COMPUTED_VALUE"""),1130.43)</f>
        <v>1130.43</v>
      </c>
      <c r="E751" s="3">
        <f>IFERROR(__xludf.DUMMYFUNCTION("""COMPUTED_VALUE"""),1139.98)</f>
        <v>1139.98</v>
      </c>
      <c r="F751" s="3">
        <f>IFERROR(__xludf.DUMMYFUNCTION("""COMPUTED_VALUE"""),0.0)</f>
        <v>0</v>
      </c>
    </row>
    <row r="752">
      <c r="A752" s="7">
        <f>IFERROR(__xludf.DUMMYFUNCTION("""COMPUTED_VALUE"""),37823.645833333336)</f>
        <v>37823.64583</v>
      </c>
      <c r="B752" s="3">
        <f>IFERROR(__xludf.DUMMYFUNCTION("""COMPUTED_VALUE"""),1139.99)</f>
        <v>1139.99</v>
      </c>
      <c r="C752" s="3">
        <f>IFERROR(__xludf.DUMMYFUNCTION("""COMPUTED_VALUE"""),1146.4)</f>
        <v>1146.4</v>
      </c>
      <c r="D752" s="3">
        <f>IFERROR(__xludf.DUMMYFUNCTION("""COMPUTED_VALUE"""),1112.53)</f>
        <v>1112.53</v>
      </c>
      <c r="E752" s="3">
        <f>IFERROR(__xludf.DUMMYFUNCTION("""COMPUTED_VALUE"""),1115.81)</f>
        <v>1115.81</v>
      </c>
      <c r="F752" s="3">
        <f>IFERROR(__xludf.DUMMYFUNCTION("""COMPUTED_VALUE"""),0.0)</f>
        <v>0</v>
      </c>
    </row>
    <row r="753">
      <c r="A753" s="7">
        <f>IFERROR(__xludf.DUMMYFUNCTION("""COMPUTED_VALUE"""),37824.645833333336)</f>
        <v>37824.64583</v>
      </c>
      <c r="B753" s="3">
        <f>IFERROR(__xludf.DUMMYFUNCTION("""COMPUTED_VALUE"""),1115.33)</f>
        <v>1115.33</v>
      </c>
      <c r="C753" s="3">
        <f>IFERROR(__xludf.DUMMYFUNCTION("""COMPUTED_VALUE"""),1118.24)</f>
        <v>1118.24</v>
      </c>
      <c r="D753" s="3">
        <f>IFERROR(__xludf.DUMMYFUNCTION("""COMPUTED_VALUE"""),1089.3)</f>
        <v>1089.3</v>
      </c>
      <c r="E753" s="3">
        <f>IFERROR(__xludf.DUMMYFUNCTION("""COMPUTED_VALUE"""),1109.18)</f>
        <v>1109.18</v>
      </c>
      <c r="F753" s="3">
        <f>IFERROR(__xludf.DUMMYFUNCTION("""COMPUTED_VALUE"""),0.0)</f>
        <v>0</v>
      </c>
    </row>
    <row r="754">
      <c r="A754" s="7">
        <f>IFERROR(__xludf.DUMMYFUNCTION("""COMPUTED_VALUE"""),37825.645833333336)</f>
        <v>37825.64583</v>
      </c>
      <c r="B754" s="3">
        <f>IFERROR(__xludf.DUMMYFUNCTION("""COMPUTED_VALUE"""),1109.62)</f>
        <v>1109.62</v>
      </c>
      <c r="C754" s="3">
        <f>IFERROR(__xludf.DUMMYFUNCTION("""COMPUTED_VALUE"""),1124.7)</f>
        <v>1124.7</v>
      </c>
      <c r="D754" s="3">
        <f>IFERROR(__xludf.DUMMYFUNCTION("""COMPUTED_VALUE"""),1109.61)</f>
        <v>1109.61</v>
      </c>
      <c r="E754" s="3">
        <f>IFERROR(__xludf.DUMMYFUNCTION("""COMPUTED_VALUE"""),1119.07)</f>
        <v>1119.07</v>
      </c>
      <c r="F754" s="3">
        <f>IFERROR(__xludf.DUMMYFUNCTION("""COMPUTED_VALUE"""),0.0)</f>
        <v>0</v>
      </c>
    </row>
    <row r="755">
      <c r="A755" s="7">
        <f>IFERROR(__xludf.DUMMYFUNCTION("""COMPUTED_VALUE"""),37826.645833333336)</f>
        <v>37826.64583</v>
      </c>
      <c r="B755" s="3">
        <f>IFERROR(__xludf.DUMMYFUNCTION("""COMPUTED_VALUE"""),1119.93)</f>
        <v>1119.93</v>
      </c>
      <c r="C755" s="3">
        <f>IFERROR(__xludf.DUMMYFUNCTION("""COMPUTED_VALUE"""),1144.37)</f>
        <v>1144.37</v>
      </c>
      <c r="D755" s="3">
        <f>IFERROR(__xludf.DUMMYFUNCTION("""COMPUTED_VALUE"""),1118.56)</f>
        <v>1118.56</v>
      </c>
      <c r="E755" s="3">
        <f>IFERROR(__xludf.DUMMYFUNCTION("""COMPUTED_VALUE"""),1139.43)</f>
        <v>1139.43</v>
      </c>
      <c r="F755" s="3">
        <f>IFERROR(__xludf.DUMMYFUNCTION("""COMPUTED_VALUE"""),0.0)</f>
        <v>0</v>
      </c>
    </row>
    <row r="756">
      <c r="A756" s="7">
        <f>IFERROR(__xludf.DUMMYFUNCTION("""COMPUTED_VALUE"""),37827.645833333336)</f>
        <v>37827.64583</v>
      </c>
      <c r="B756" s="3">
        <f>IFERROR(__xludf.DUMMYFUNCTION("""COMPUTED_VALUE"""),1135.48)</f>
        <v>1135.48</v>
      </c>
      <c r="C756" s="3">
        <f>IFERROR(__xludf.DUMMYFUNCTION("""COMPUTED_VALUE"""),1164.69)</f>
        <v>1164.69</v>
      </c>
      <c r="D756" s="3">
        <f>IFERROR(__xludf.DUMMYFUNCTION("""COMPUTED_VALUE"""),1135.06)</f>
        <v>1135.06</v>
      </c>
      <c r="E756" s="3">
        <f>IFERROR(__xludf.DUMMYFUNCTION("""COMPUTED_VALUE"""),1162.75)</f>
        <v>1162.75</v>
      </c>
      <c r="F756" s="3">
        <f>IFERROR(__xludf.DUMMYFUNCTION("""COMPUTED_VALUE"""),0.0)</f>
        <v>0</v>
      </c>
    </row>
    <row r="757">
      <c r="A757" s="7">
        <f>IFERROR(__xludf.DUMMYFUNCTION("""COMPUTED_VALUE"""),37830.645833333336)</f>
        <v>37830.64583</v>
      </c>
      <c r="B757" s="3">
        <f>IFERROR(__xludf.DUMMYFUNCTION("""COMPUTED_VALUE"""),1163.24)</f>
        <v>1163.24</v>
      </c>
      <c r="C757" s="3">
        <f>IFERROR(__xludf.DUMMYFUNCTION("""COMPUTED_VALUE"""),1180.61)</f>
        <v>1180.61</v>
      </c>
      <c r="D757" s="3">
        <f>IFERROR(__xludf.DUMMYFUNCTION("""COMPUTED_VALUE"""),1163.24)</f>
        <v>1163.24</v>
      </c>
      <c r="E757" s="3">
        <f>IFERROR(__xludf.DUMMYFUNCTION("""COMPUTED_VALUE"""),1169.19)</f>
        <v>1169.19</v>
      </c>
      <c r="F757" s="3">
        <f>IFERROR(__xludf.DUMMYFUNCTION("""COMPUTED_VALUE"""),0.0)</f>
        <v>0</v>
      </c>
    </row>
    <row r="758">
      <c r="A758" s="7">
        <f>IFERROR(__xludf.DUMMYFUNCTION("""COMPUTED_VALUE"""),37831.645833333336)</f>
        <v>37831.64583</v>
      </c>
      <c r="B758" s="3">
        <f>IFERROR(__xludf.DUMMYFUNCTION("""COMPUTED_VALUE"""),1169.23)</f>
        <v>1169.23</v>
      </c>
      <c r="C758" s="3">
        <f>IFERROR(__xludf.DUMMYFUNCTION("""COMPUTED_VALUE"""),1177.27)</f>
        <v>1177.27</v>
      </c>
      <c r="D758" s="3">
        <f>IFERROR(__xludf.DUMMYFUNCTION("""COMPUTED_VALUE"""),1154.79)</f>
        <v>1154.79</v>
      </c>
      <c r="E758" s="3">
        <f>IFERROR(__xludf.DUMMYFUNCTION("""COMPUTED_VALUE"""),1174.77)</f>
        <v>1174.77</v>
      </c>
      <c r="F758" s="3">
        <f>IFERROR(__xludf.DUMMYFUNCTION("""COMPUTED_VALUE"""),0.0)</f>
        <v>0</v>
      </c>
    </row>
    <row r="759">
      <c r="A759" s="7">
        <f>IFERROR(__xludf.DUMMYFUNCTION("""COMPUTED_VALUE"""),37832.645833333336)</f>
        <v>37832.64583</v>
      </c>
      <c r="B759" s="3">
        <f>IFERROR(__xludf.DUMMYFUNCTION("""COMPUTED_VALUE"""),1175.29)</f>
        <v>1175.29</v>
      </c>
      <c r="C759" s="3">
        <f>IFERROR(__xludf.DUMMYFUNCTION("""COMPUTED_VALUE"""),1187.68)</f>
        <v>1187.68</v>
      </c>
      <c r="D759" s="3">
        <f>IFERROR(__xludf.DUMMYFUNCTION("""COMPUTED_VALUE"""),1168.47)</f>
        <v>1168.47</v>
      </c>
      <c r="E759" s="3">
        <f>IFERROR(__xludf.DUMMYFUNCTION("""COMPUTED_VALUE"""),1182.99)</f>
        <v>1182.99</v>
      </c>
      <c r="F759" s="3">
        <f>IFERROR(__xludf.DUMMYFUNCTION("""COMPUTED_VALUE"""),0.0)</f>
        <v>0</v>
      </c>
    </row>
    <row r="760">
      <c r="A760" s="7">
        <f>IFERROR(__xludf.DUMMYFUNCTION("""COMPUTED_VALUE"""),37833.645833333336)</f>
        <v>37833.64583</v>
      </c>
      <c r="B760" s="3">
        <f>IFERROR(__xludf.DUMMYFUNCTION("""COMPUTED_VALUE"""),1183.28)</f>
        <v>1183.28</v>
      </c>
      <c r="C760" s="3">
        <f>IFERROR(__xludf.DUMMYFUNCTION("""COMPUTED_VALUE"""),1198.48)</f>
        <v>1198.48</v>
      </c>
      <c r="D760" s="3">
        <f>IFERROR(__xludf.DUMMYFUNCTION("""COMPUTED_VALUE"""),1181.9)</f>
        <v>1181.9</v>
      </c>
      <c r="E760" s="3">
        <f>IFERROR(__xludf.DUMMYFUNCTION("""COMPUTED_VALUE"""),1185.84)</f>
        <v>1185.84</v>
      </c>
      <c r="F760" s="3">
        <f>IFERROR(__xludf.DUMMYFUNCTION("""COMPUTED_VALUE"""),0.0)</f>
        <v>0</v>
      </c>
    </row>
    <row r="761">
      <c r="A761" s="7">
        <f>IFERROR(__xludf.DUMMYFUNCTION("""COMPUTED_VALUE"""),37834.645833333336)</f>
        <v>37834.64583</v>
      </c>
      <c r="B761" s="3">
        <f>IFERROR(__xludf.DUMMYFUNCTION("""COMPUTED_VALUE"""),1185.81)</f>
        <v>1185.81</v>
      </c>
      <c r="C761" s="3">
        <f>IFERROR(__xludf.DUMMYFUNCTION("""COMPUTED_VALUE"""),1198.82)</f>
        <v>1198.82</v>
      </c>
      <c r="D761" s="3">
        <f>IFERROR(__xludf.DUMMYFUNCTION("""COMPUTED_VALUE"""),1180.3)</f>
        <v>1180.3</v>
      </c>
      <c r="E761" s="3">
        <f>IFERROR(__xludf.DUMMYFUNCTION("""COMPUTED_VALUE"""),1195.76)</f>
        <v>1195.76</v>
      </c>
      <c r="F761" s="3">
        <f>IFERROR(__xludf.DUMMYFUNCTION("""COMPUTED_VALUE"""),0.0)</f>
        <v>0</v>
      </c>
    </row>
    <row r="762">
      <c r="A762" s="7">
        <f>IFERROR(__xludf.DUMMYFUNCTION("""COMPUTED_VALUE"""),37837.645833333336)</f>
        <v>37837.64583</v>
      </c>
      <c r="B762" s="3">
        <f>IFERROR(__xludf.DUMMYFUNCTION("""COMPUTED_VALUE"""),1196.07)</f>
        <v>1196.07</v>
      </c>
      <c r="C762" s="3">
        <f>IFERROR(__xludf.DUMMYFUNCTION("""COMPUTED_VALUE"""),1206.1)</f>
        <v>1206.1</v>
      </c>
      <c r="D762" s="3">
        <f>IFERROR(__xludf.DUMMYFUNCTION("""COMPUTED_VALUE"""),1185.94)</f>
        <v>1185.94</v>
      </c>
      <c r="E762" s="3">
        <f>IFERROR(__xludf.DUMMYFUNCTION("""COMPUTED_VALUE"""),1203.6)</f>
        <v>1203.6</v>
      </c>
      <c r="F762" s="3">
        <f>IFERROR(__xludf.DUMMYFUNCTION("""COMPUTED_VALUE"""),0.0)</f>
        <v>0</v>
      </c>
    </row>
    <row r="763">
      <c r="A763" s="7">
        <f>IFERROR(__xludf.DUMMYFUNCTION("""COMPUTED_VALUE"""),37838.645833333336)</f>
        <v>37838.64583</v>
      </c>
      <c r="B763" s="3">
        <f>IFERROR(__xludf.DUMMYFUNCTION("""COMPUTED_VALUE"""),1203.89)</f>
        <v>1203.89</v>
      </c>
      <c r="C763" s="3">
        <f>IFERROR(__xludf.DUMMYFUNCTION("""COMPUTED_VALUE"""),1218.52)</f>
        <v>1218.52</v>
      </c>
      <c r="D763" s="3">
        <f>IFERROR(__xludf.DUMMYFUNCTION("""COMPUTED_VALUE"""),1180.98)</f>
        <v>1180.98</v>
      </c>
      <c r="E763" s="3">
        <f>IFERROR(__xludf.DUMMYFUNCTION("""COMPUTED_VALUE"""),1184.43)</f>
        <v>1184.43</v>
      </c>
      <c r="F763" s="3">
        <f>IFERROR(__xludf.DUMMYFUNCTION("""COMPUTED_VALUE"""),0.0)</f>
        <v>0</v>
      </c>
    </row>
    <row r="764">
      <c r="A764" s="7">
        <f>IFERROR(__xludf.DUMMYFUNCTION("""COMPUTED_VALUE"""),37839.645833333336)</f>
        <v>37839.64583</v>
      </c>
      <c r="B764" s="3">
        <f>IFERROR(__xludf.DUMMYFUNCTION("""COMPUTED_VALUE"""),1184.1)</f>
        <v>1184.1</v>
      </c>
      <c r="C764" s="3">
        <f>IFERROR(__xludf.DUMMYFUNCTION("""COMPUTED_VALUE"""),1191.05)</f>
        <v>1191.05</v>
      </c>
      <c r="D764" s="3">
        <f>IFERROR(__xludf.DUMMYFUNCTION("""COMPUTED_VALUE"""),1164.73)</f>
        <v>1164.73</v>
      </c>
      <c r="E764" s="3">
        <f>IFERROR(__xludf.DUMMYFUNCTION("""COMPUTED_VALUE"""),1171.07)</f>
        <v>1171.07</v>
      </c>
      <c r="F764" s="3">
        <f>IFERROR(__xludf.DUMMYFUNCTION("""COMPUTED_VALUE"""),0.0)</f>
        <v>0</v>
      </c>
    </row>
    <row r="765">
      <c r="A765" s="7">
        <f>IFERROR(__xludf.DUMMYFUNCTION("""COMPUTED_VALUE"""),37840.645833333336)</f>
        <v>37840.64583</v>
      </c>
      <c r="B765" s="3">
        <f>IFERROR(__xludf.DUMMYFUNCTION("""COMPUTED_VALUE"""),1170.74)</f>
        <v>1170.74</v>
      </c>
      <c r="C765" s="3">
        <f>IFERROR(__xludf.DUMMYFUNCTION("""COMPUTED_VALUE"""),1199.7)</f>
        <v>1199.7</v>
      </c>
      <c r="D765" s="3">
        <f>IFERROR(__xludf.DUMMYFUNCTION("""COMPUTED_VALUE"""),1170.74)</f>
        <v>1170.74</v>
      </c>
      <c r="E765" s="3">
        <f>IFERROR(__xludf.DUMMYFUNCTION("""COMPUTED_VALUE"""),1196.95)</f>
        <v>1196.95</v>
      </c>
      <c r="F765" s="3">
        <f>IFERROR(__xludf.DUMMYFUNCTION("""COMPUTED_VALUE"""),0.0)</f>
        <v>0</v>
      </c>
    </row>
    <row r="766">
      <c r="A766" s="7">
        <f>IFERROR(__xludf.DUMMYFUNCTION("""COMPUTED_VALUE"""),37841.645833333336)</f>
        <v>37841.64583</v>
      </c>
      <c r="B766" s="3">
        <f>IFERROR(__xludf.DUMMYFUNCTION("""COMPUTED_VALUE"""),1199.69)</f>
        <v>1199.69</v>
      </c>
      <c r="C766" s="3">
        <f>IFERROR(__xludf.DUMMYFUNCTION("""COMPUTED_VALUE"""),1224.52)</f>
        <v>1224.52</v>
      </c>
      <c r="D766" s="3">
        <f>IFERROR(__xludf.DUMMYFUNCTION("""COMPUTED_VALUE"""),1199.69)</f>
        <v>1199.69</v>
      </c>
      <c r="E766" s="3">
        <f>IFERROR(__xludf.DUMMYFUNCTION("""COMPUTED_VALUE"""),1222.65)</f>
        <v>1222.65</v>
      </c>
      <c r="F766" s="3">
        <f>IFERROR(__xludf.DUMMYFUNCTION("""COMPUTED_VALUE"""),0.0)</f>
        <v>0</v>
      </c>
    </row>
    <row r="767">
      <c r="A767" s="7">
        <f>IFERROR(__xludf.DUMMYFUNCTION("""COMPUTED_VALUE"""),37844.645833333336)</f>
        <v>37844.64583</v>
      </c>
      <c r="B767" s="3">
        <f>IFERROR(__xludf.DUMMYFUNCTION("""COMPUTED_VALUE"""),1222.6)</f>
        <v>1222.6</v>
      </c>
      <c r="C767" s="3">
        <f>IFERROR(__xludf.DUMMYFUNCTION("""COMPUTED_VALUE"""),1240.34)</f>
        <v>1240.34</v>
      </c>
      <c r="D767" s="3">
        <f>IFERROR(__xludf.DUMMYFUNCTION("""COMPUTED_VALUE"""),1215.73)</f>
        <v>1215.73</v>
      </c>
      <c r="E767" s="3">
        <f>IFERROR(__xludf.DUMMYFUNCTION("""COMPUTED_VALUE"""),1232.84)</f>
        <v>1232.84</v>
      </c>
      <c r="F767" s="3">
        <f>IFERROR(__xludf.DUMMYFUNCTION("""COMPUTED_VALUE"""),0.0)</f>
        <v>0</v>
      </c>
    </row>
    <row r="768">
      <c r="A768" s="7">
        <f>IFERROR(__xludf.DUMMYFUNCTION("""COMPUTED_VALUE"""),37845.645833333336)</f>
        <v>37845.64583</v>
      </c>
      <c r="B768" s="3">
        <f>IFERROR(__xludf.DUMMYFUNCTION("""COMPUTED_VALUE"""),1233.94)</f>
        <v>1233.94</v>
      </c>
      <c r="C768" s="3">
        <f>IFERROR(__xludf.DUMMYFUNCTION("""COMPUTED_VALUE"""),1249.36)</f>
        <v>1249.36</v>
      </c>
      <c r="D768" s="3">
        <f>IFERROR(__xludf.DUMMYFUNCTION("""COMPUTED_VALUE"""),1229.82)</f>
        <v>1229.82</v>
      </c>
      <c r="E768" s="3">
        <f>IFERROR(__xludf.DUMMYFUNCTION("""COMPUTED_VALUE"""),1234.73)</f>
        <v>1234.73</v>
      </c>
      <c r="F768" s="3">
        <f>IFERROR(__xludf.DUMMYFUNCTION("""COMPUTED_VALUE"""),0.0)</f>
        <v>0</v>
      </c>
    </row>
    <row r="769">
      <c r="A769" s="7">
        <f>IFERROR(__xludf.DUMMYFUNCTION("""COMPUTED_VALUE"""),37846.645833333336)</f>
        <v>37846.64583</v>
      </c>
      <c r="B769" s="3">
        <f>IFERROR(__xludf.DUMMYFUNCTION("""COMPUTED_VALUE"""),1235.37)</f>
        <v>1235.37</v>
      </c>
      <c r="C769" s="3">
        <f>IFERROR(__xludf.DUMMYFUNCTION("""COMPUTED_VALUE"""),1249.33)</f>
        <v>1249.33</v>
      </c>
      <c r="D769" s="3">
        <f>IFERROR(__xludf.DUMMYFUNCTION("""COMPUTED_VALUE"""),1229.31)</f>
        <v>1229.31</v>
      </c>
      <c r="E769" s="3">
        <f>IFERROR(__xludf.DUMMYFUNCTION("""COMPUTED_VALUE"""),1246.88)</f>
        <v>1246.88</v>
      </c>
      <c r="F769" s="3">
        <f>IFERROR(__xludf.DUMMYFUNCTION("""COMPUTED_VALUE"""),0.0)</f>
        <v>0</v>
      </c>
    </row>
    <row r="770">
      <c r="A770" s="7">
        <f>IFERROR(__xludf.DUMMYFUNCTION("""COMPUTED_VALUE"""),37847.645833333336)</f>
        <v>37847.64583</v>
      </c>
      <c r="B770" s="3">
        <f>IFERROR(__xludf.DUMMYFUNCTION("""COMPUTED_VALUE"""),1247.02)</f>
        <v>1247.02</v>
      </c>
      <c r="C770" s="3">
        <f>IFERROR(__xludf.DUMMYFUNCTION("""COMPUTED_VALUE"""),1260.36)</f>
        <v>1260.36</v>
      </c>
      <c r="D770" s="3">
        <f>IFERROR(__xludf.DUMMYFUNCTION("""COMPUTED_VALUE"""),1243.39)</f>
        <v>1243.39</v>
      </c>
      <c r="E770" s="3">
        <f>IFERROR(__xludf.DUMMYFUNCTION("""COMPUTED_VALUE"""),1247.77)</f>
        <v>1247.77</v>
      </c>
      <c r="F770" s="3">
        <f>IFERROR(__xludf.DUMMYFUNCTION("""COMPUTED_VALUE"""),0.0)</f>
        <v>0</v>
      </c>
    </row>
    <row r="771">
      <c r="A771" s="7">
        <f>IFERROR(__xludf.DUMMYFUNCTION("""COMPUTED_VALUE"""),37851.645833333336)</f>
        <v>37851.64583</v>
      </c>
      <c r="B771" s="3">
        <f>IFERROR(__xludf.DUMMYFUNCTION("""COMPUTED_VALUE"""),1247.91)</f>
        <v>1247.91</v>
      </c>
      <c r="C771" s="3">
        <f>IFERROR(__xludf.DUMMYFUNCTION("""COMPUTED_VALUE"""),1285.71)</f>
        <v>1285.71</v>
      </c>
      <c r="D771" s="3">
        <f>IFERROR(__xludf.DUMMYFUNCTION("""COMPUTED_VALUE"""),1247.91)</f>
        <v>1247.91</v>
      </c>
      <c r="E771" s="3">
        <f>IFERROR(__xludf.DUMMYFUNCTION("""COMPUTED_VALUE"""),1281.41)</f>
        <v>1281.41</v>
      </c>
      <c r="F771" s="3">
        <f>IFERROR(__xludf.DUMMYFUNCTION("""COMPUTED_VALUE"""),0.0)</f>
        <v>0</v>
      </c>
    </row>
    <row r="772">
      <c r="A772" s="7">
        <f>IFERROR(__xludf.DUMMYFUNCTION("""COMPUTED_VALUE"""),37852.645833333336)</f>
        <v>37852.64583</v>
      </c>
      <c r="B772" s="3">
        <f>IFERROR(__xludf.DUMMYFUNCTION("""COMPUTED_VALUE"""),1286.06)</f>
        <v>1286.06</v>
      </c>
      <c r="C772" s="3">
        <f>IFERROR(__xludf.DUMMYFUNCTION("""COMPUTED_VALUE"""),1307.59)</f>
        <v>1307.59</v>
      </c>
      <c r="D772" s="3">
        <f>IFERROR(__xludf.DUMMYFUNCTION("""COMPUTED_VALUE"""),1268.12)</f>
        <v>1268.12</v>
      </c>
      <c r="E772" s="3">
        <f>IFERROR(__xludf.DUMMYFUNCTION("""COMPUTED_VALUE"""),1277.68)</f>
        <v>1277.68</v>
      </c>
      <c r="F772" s="3">
        <f>IFERROR(__xludf.DUMMYFUNCTION("""COMPUTED_VALUE"""),0.0)</f>
        <v>0</v>
      </c>
    </row>
    <row r="773">
      <c r="A773" s="7">
        <f>IFERROR(__xludf.DUMMYFUNCTION("""COMPUTED_VALUE"""),37853.645833333336)</f>
        <v>37853.64583</v>
      </c>
      <c r="B773" s="3">
        <f>IFERROR(__xludf.DUMMYFUNCTION("""COMPUTED_VALUE"""),1280.8)</f>
        <v>1280.8</v>
      </c>
      <c r="C773" s="3">
        <f>IFERROR(__xludf.DUMMYFUNCTION("""COMPUTED_VALUE"""),1292.95)</f>
        <v>1292.95</v>
      </c>
      <c r="D773" s="3">
        <f>IFERROR(__xludf.DUMMYFUNCTION("""COMPUTED_VALUE"""),1280.8)</f>
        <v>1280.8</v>
      </c>
      <c r="E773" s="3">
        <f>IFERROR(__xludf.DUMMYFUNCTION("""COMPUTED_VALUE"""),1287.42)</f>
        <v>1287.42</v>
      </c>
      <c r="F773" s="3">
        <f>IFERROR(__xludf.DUMMYFUNCTION("""COMPUTED_VALUE"""),0.0)</f>
        <v>0</v>
      </c>
    </row>
    <row r="774">
      <c r="A774" s="7">
        <f>IFERROR(__xludf.DUMMYFUNCTION("""COMPUTED_VALUE"""),37854.645833333336)</f>
        <v>37854.64583</v>
      </c>
      <c r="B774" s="3">
        <f>IFERROR(__xludf.DUMMYFUNCTION("""COMPUTED_VALUE"""),1288.22)</f>
        <v>1288.22</v>
      </c>
      <c r="C774" s="3">
        <f>IFERROR(__xludf.DUMMYFUNCTION("""COMPUTED_VALUE"""),1304.13)</f>
        <v>1304.13</v>
      </c>
      <c r="D774" s="3">
        <f>IFERROR(__xludf.DUMMYFUNCTION("""COMPUTED_VALUE"""),1286.99)</f>
        <v>1286.99</v>
      </c>
      <c r="E774" s="3">
        <f>IFERROR(__xludf.DUMMYFUNCTION("""COMPUTED_VALUE"""),1300.93)</f>
        <v>1300.93</v>
      </c>
      <c r="F774" s="3">
        <f>IFERROR(__xludf.DUMMYFUNCTION("""COMPUTED_VALUE"""),0.0)</f>
        <v>0</v>
      </c>
    </row>
    <row r="775">
      <c r="A775" s="7">
        <f>IFERROR(__xludf.DUMMYFUNCTION("""COMPUTED_VALUE"""),37855.645833333336)</f>
        <v>37855.64583</v>
      </c>
      <c r="B775" s="3">
        <f>IFERROR(__xludf.DUMMYFUNCTION("""COMPUTED_VALUE"""),1301.48)</f>
        <v>1301.48</v>
      </c>
      <c r="C775" s="3">
        <f>IFERROR(__xludf.DUMMYFUNCTION("""COMPUTED_VALUE"""),1319.44)</f>
        <v>1319.44</v>
      </c>
      <c r="D775" s="3">
        <f>IFERROR(__xludf.DUMMYFUNCTION("""COMPUTED_VALUE"""),1298.79)</f>
        <v>1298.79</v>
      </c>
      <c r="E775" s="3">
        <f>IFERROR(__xludf.DUMMYFUNCTION("""COMPUTED_VALUE"""),1311.17)</f>
        <v>1311.17</v>
      </c>
      <c r="F775" s="3">
        <f>IFERROR(__xludf.DUMMYFUNCTION("""COMPUTED_VALUE"""),0.0)</f>
        <v>0</v>
      </c>
    </row>
    <row r="776">
      <c r="A776" s="7">
        <f>IFERROR(__xludf.DUMMYFUNCTION("""COMPUTED_VALUE"""),37858.645833333336)</f>
        <v>37858.64583</v>
      </c>
      <c r="B776" s="3">
        <f>IFERROR(__xludf.DUMMYFUNCTION("""COMPUTED_VALUE"""),1311.97)</f>
        <v>1311.97</v>
      </c>
      <c r="C776" s="3">
        <f>IFERROR(__xludf.DUMMYFUNCTION("""COMPUTED_VALUE"""),1332.54)</f>
        <v>1332.54</v>
      </c>
      <c r="D776" s="3">
        <f>IFERROR(__xludf.DUMMYFUNCTION("""COMPUTED_VALUE"""),1245.83)</f>
        <v>1245.83</v>
      </c>
      <c r="E776" s="3">
        <f>IFERROR(__xludf.DUMMYFUNCTION("""COMPUTED_VALUE"""),1271.11)</f>
        <v>1271.11</v>
      </c>
      <c r="F776" s="3">
        <f>IFERROR(__xludf.DUMMYFUNCTION("""COMPUTED_VALUE"""),0.0)</f>
        <v>0</v>
      </c>
    </row>
    <row r="777">
      <c r="A777" s="7">
        <f>IFERROR(__xludf.DUMMYFUNCTION("""COMPUTED_VALUE"""),37859.645833333336)</f>
        <v>37859.64583</v>
      </c>
      <c r="B777" s="3">
        <f>IFERROR(__xludf.DUMMYFUNCTION("""COMPUTED_VALUE"""),1270.21)</f>
        <v>1270.21</v>
      </c>
      <c r="C777" s="3">
        <f>IFERROR(__xludf.DUMMYFUNCTION("""COMPUTED_VALUE"""),1322.96)</f>
        <v>1322.96</v>
      </c>
      <c r="D777" s="3">
        <f>IFERROR(__xludf.DUMMYFUNCTION("""COMPUTED_VALUE"""),1269.51)</f>
        <v>1269.51</v>
      </c>
      <c r="E777" s="3">
        <f>IFERROR(__xludf.DUMMYFUNCTION("""COMPUTED_VALUE"""),1318.18)</f>
        <v>1318.18</v>
      </c>
      <c r="F777" s="3">
        <f>IFERROR(__xludf.DUMMYFUNCTION("""COMPUTED_VALUE"""),0.0)</f>
        <v>0</v>
      </c>
    </row>
    <row r="778">
      <c r="A778" s="7">
        <f>IFERROR(__xludf.DUMMYFUNCTION("""COMPUTED_VALUE"""),37860.645833333336)</f>
        <v>37860.64583</v>
      </c>
      <c r="B778" s="3">
        <f>IFERROR(__xludf.DUMMYFUNCTION("""COMPUTED_VALUE"""),1318.77)</f>
        <v>1318.77</v>
      </c>
      <c r="C778" s="3">
        <f>IFERROR(__xludf.DUMMYFUNCTION("""COMPUTED_VALUE"""),1346.29)</f>
        <v>1346.29</v>
      </c>
      <c r="D778" s="3">
        <f>IFERROR(__xludf.DUMMYFUNCTION("""COMPUTED_VALUE"""),1318.77)</f>
        <v>1318.77</v>
      </c>
      <c r="E778" s="3">
        <f>IFERROR(__xludf.DUMMYFUNCTION("""COMPUTED_VALUE"""),1340.31)</f>
        <v>1340.31</v>
      </c>
      <c r="F778" s="3">
        <f>IFERROR(__xludf.DUMMYFUNCTION("""COMPUTED_VALUE"""),0.0)</f>
        <v>0</v>
      </c>
    </row>
    <row r="779">
      <c r="A779" s="7">
        <f>IFERROR(__xludf.DUMMYFUNCTION("""COMPUTED_VALUE"""),37861.645833333336)</f>
        <v>37861.64583</v>
      </c>
      <c r="B779" s="3">
        <f>IFERROR(__xludf.DUMMYFUNCTION("""COMPUTED_VALUE"""),1340.22)</f>
        <v>1340.22</v>
      </c>
      <c r="C779" s="3">
        <f>IFERROR(__xludf.DUMMYFUNCTION("""COMPUTED_VALUE"""),1349.01)</f>
        <v>1349.01</v>
      </c>
      <c r="D779" s="3">
        <f>IFERROR(__xludf.DUMMYFUNCTION("""COMPUTED_VALUE"""),1328.37)</f>
        <v>1328.37</v>
      </c>
      <c r="E779" s="3">
        <f>IFERROR(__xludf.DUMMYFUNCTION("""COMPUTED_VALUE"""),1341.05)</f>
        <v>1341.05</v>
      </c>
      <c r="F779" s="3">
        <f>IFERROR(__xludf.DUMMYFUNCTION("""COMPUTED_VALUE"""),0.0)</f>
        <v>0</v>
      </c>
    </row>
    <row r="780">
      <c r="A780" s="7">
        <f>IFERROR(__xludf.DUMMYFUNCTION("""COMPUTED_VALUE"""),37862.645833333336)</f>
        <v>37862.64583</v>
      </c>
      <c r="B780" s="3">
        <f>IFERROR(__xludf.DUMMYFUNCTION("""COMPUTED_VALUE"""),1341.2)</f>
        <v>1341.2</v>
      </c>
      <c r="C780" s="3">
        <f>IFERROR(__xludf.DUMMYFUNCTION("""COMPUTED_VALUE"""),1365.79)</f>
        <v>1365.79</v>
      </c>
      <c r="D780" s="3">
        <f>IFERROR(__xludf.DUMMYFUNCTION("""COMPUTED_VALUE"""),1340.81)</f>
        <v>1340.81</v>
      </c>
      <c r="E780" s="3">
        <f>IFERROR(__xludf.DUMMYFUNCTION("""COMPUTED_VALUE"""),1356.55)</f>
        <v>1356.55</v>
      </c>
      <c r="F780" s="3">
        <f>IFERROR(__xludf.DUMMYFUNCTION("""COMPUTED_VALUE"""),0.0)</f>
        <v>0</v>
      </c>
    </row>
    <row r="781">
      <c r="A781" s="7">
        <f>IFERROR(__xludf.DUMMYFUNCTION("""COMPUTED_VALUE"""),37865.645833333336)</f>
        <v>37865.64583</v>
      </c>
      <c r="B781" s="3">
        <f>IFERROR(__xludf.DUMMYFUNCTION("""COMPUTED_VALUE"""),1356.68)</f>
        <v>1356.68</v>
      </c>
      <c r="C781" s="3">
        <f>IFERROR(__xludf.DUMMYFUNCTION("""COMPUTED_VALUE"""),1379.4)</f>
        <v>1379.4</v>
      </c>
      <c r="D781" s="3">
        <f>IFERROR(__xludf.DUMMYFUNCTION("""COMPUTED_VALUE"""),1356.67)</f>
        <v>1356.67</v>
      </c>
      <c r="E781" s="3">
        <f>IFERROR(__xludf.DUMMYFUNCTION("""COMPUTED_VALUE"""),1375.97)</f>
        <v>1375.97</v>
      </c>
      <c r="F781" s="3">
        <f>IFERROR(__xludf.DUMMYFUNCTION("""COMPUTED_VALUE"""),0.0)</f>
        <v>0</v>
      </c>
    </row>
    <row r="782">
      <c r="A782" s="7">
        <f>IFERROR(__xludf.DUMMYFUNCTION("""COMPUTED_VALUE"""),37866.645833333336)</f>
        <v>37866.64583</v>
      </c>
      <c r="B782" s="3">
        <f>IFERROR(__xludf.DUMMYFUNCTION("""COMPUTED_VALUE"""),1375.96)</f>
        <v>1375.96</v>
      </c>
      <c r="C782" s="3">
        <f>IFERROR(__xludf.DUMMYFUNCTION("""COMPUTED_VALUE"""),1388.94)</f>
        <v>1388.94</v>
      </c>
      <c r="D782" s="3">
        <f>IFERROR(__xludf.DUMMYFUNCTION("""COMPUTED_VALUE"""),1366.9)</f>
        <v>1366.9</v>
      </c>
      <c r="E782" s="3">
        <f>IFERROR(__xludf.DUMMYFUNCTION("""COMPUTED_VALUE"""),1385.47)</f>
        <v>1385.47</v>
      </c>
      <c r="F782" s="3">
        <f>IFERROR(__xludf.DUMMYFUNCTION("""COMPUTED_VALUE"""),0.0)</f>
        <v>0</v>
      </c>
    </row>
    <row r="783">
      <c r="A783" s="7">
        <f>IFERROR(__xludf.DUMMYFUNCTION("""COMPUTED_VALUE"""),37867.645833333336)</f>
        <v>37867.64583</v>
      </c>
      <c r="B783" s="3">
        <f>IFERROR(__xludf.DUMMYFUNCTION("""COMPUTED_VALUE"""),1387.22)</f>
        <v>1387.22</v>
      </c>
      <c r="C783" s="3">
        <f>IFERROR(__xludf.DUMMYFUNCTION("""COMPUTED_VALUE"""),1394.97)</f>
        <v>1394.97</v>
      </c>
      <c r="D783" s="3">
        <f>IFERROR(__xludf.DUMMYFUNCTION("""COMPUTED_VALUE"""),1353.58)</f>
        <v>1353.58</v>
      </c>
      <c r="E783" s="3">
        <f>IFERROR(__xludf.DUMMYFUNCTION("""COMPUTED_VALUE"""),1359.33)</f>
        <v>1359.33</v>
      </c>
      <c r="F783" s="3">
        <f>IFERROR(__xludf.DUMMYFUNCTION("""COMPUTED_VALUE"""),0.0)</f>
        <v>0</v>
      </c>
    </row>
    <row r="784">
      <c r="A784" s="7">
        <f>IFERROR(__xludf.DUMMYFUNCTION("""COMPUTED_VALUE"""),37868.645833333336)</f>
        <v>37868.64583</v>
      </c>
      <c r="B784" s="3">
        <f>IFERROR(__xludf.DUMMYFUNCTION("""COMPUTED_VALUE"""),1358.9)</f>
        <v>1358.9</v>
      </c>
      <c r="C784" s="3">
        <f>IFERROR(__xludf.DUMMYFUNCTION("""COMPUTED_VALUE"""),1382.59)</f>
        <v>1382.59</v>
      </c>
      <c r="D784" s="3">
        <f>IFERROR(__xludf.DUMMYFUNCTION("""COMPUTED_VALUE"""),1355.78)</f>
        <v>1355.78</v>
      </c>
      <c r="E784" s="3">
        <f>IFERROR(__xludf.DUMMYFUNCTION("""COMPUTED_VALUE"""),1372.71)</f>
        <v>1372.71</v>
      </c>
      <c r="F784" s="3">
        <f>IFERROR(__xludf.DUMMYFUNCTION("""COMPUTED_VALUE"""),0.0)</f>
        <v>0</v>
      </c>
    </row>
    <row r="785">
      <c r="A785" s="7">
        <f>IFERROR(__xludf.DUMMYFUNCTION("""COMPUTED_VALUE"""),37869.645833333336)</f>
        <v>37869.64583</v>
      </c>
      <c r="B785" s="3">
        <f>IFERROR(__xludf.DUMMYFUNCTION("""COMPUTED_VALUE"""),1373.0)</f>
        <v>1373</v>
      </c>
      <c r="C785" s="3">
        <f>IFERROR(__xludf.DUMMYFUNCTION("""COMPUTED_VALUE"""),1400.91)</f>
        <v>1400.91</v>
      </c>
      <c r="D785" s="3">
        <f>IFERROR(__xludf.DUMMYFUNCTION("""COMPUTED_VALUE"""),1372.74)</f>
        <v>1372.74</v>
      </c>
      <c r="E785" s="3">
        <f>IFERROR(__xludf.DUMMYFUNCTION("""COMPUTED_VALUE"""),1398.41)</f>
        <v>1398.41</v>
      </c>
      <c r="F785" s="3">
        <f>IFERROR(__xludf.DUMMYFUNCTION("""COMPUTED_VALUE"""),0.0)</f>
        <v>0</v>
      </c>
    </row>
    <row r="786">
      <c r="A786" s="7">
        <f>IFERROR(__xludf.DUMMYFUNCTION("""COMPUTED_VALUE"""),37872.645833333336)</f>
        <v>37872.64583</v>
      </c>
      <c r="B786" s="3">
        <f>IFERROR(__xludf.DUMMYFUNCTION("""COMPUTED_VALUE"""),1398.41)</f>
        <v>1398.41</v>
      </c>
      <c r="C786" s="3">
        <f>IFERROR(__xludf.DUMMYFUNCTION("""COMPUTED_VALUE"""),1420.23)</f>
        <v>1420.23</v>
      </c>
      <c r="D786" s="3">
        <f>IFERROR(__xludf.DUMMYFUNCTION("""COMPUTED_VALUE"""),1398.35)</f>
        <v>1398.35</v>
      </c>
      <c r="E786" s="3">
        <f>IFERROR(__xludf.DUMMYFUNCTION("""COMPUTED_VALUE"""),1417.37)</f>
        <v>1417.37</v>
      </c>
      <c r="F786" s="3">
        <f>IFERROR(__xludf.DUMMYFUNCTION("""COMPUTED_VALUE"""),0.0)</f>
        <v>0</v>
      </c>
    </row>
    <row r="787">
      <c r="A787" s="7">
        <f>IFERROR(__xludf.DUMMYFUNCTION("""COMPUTED_VALUE"""),37873.645833333336)</f>
        <v>37873.64583</v>
      </c>
      <c r="B787" s="3">
        <f>IFERROR(__xludf.DUMMYFUNCTION("""COMPUTED_VALUE"""),1417.79)</f>
        <v>1417.79</v>
      </c>
      <c r="C787" s="3">
        <f>IFERROR(__xludf.DUMMYFUNCTION("""COMPUTED_VALUE"""),1430.68)</f>
        <v>1430.68</v>
      </c>
      <c r="D787" s="3">
        <f>IFERROR(__xludf.DUMMYFUNCTION("""COMPUTED_VALUE"""),1397.65)</f>
        <v>1397.65</v>
      </c>
      <c r="E787" s="3">
        <f>IFERROR(__xludf.DUMMYFUNCTION("""COMPUTED_VALUE"""),1407.03)</f>
        <v>1407.03</v>
      </c>
      <c r="F787" s="3">
        <f>IFERROR(__xludf.DUMMYFUNCTION("""COMPUTED_VALUE"""),0.0)</f>
        <v>0</v>
      </c>
    </row>
    <row r="788">
      <c r="A788" s="7">
        <f>IFERROR(__xludf.DUMMYFUNCTION("""COMPUTED_VALUE"""),37874.645833333336)</f>
        <v>37874.64583</v>
      </c>
      <c r="B788" s="3">
        <f>IFERROR(__xludf.DUMMYFUNCTION("""COMPUTED_VALUE"""),1406.98)</f>
        <v>1406.98</v>
      </c>
      <c r="C788" s="3">
        <f>IFERROR(__xludf.DUMMYFUNCTION("""COMPUTED_VALUE"""),1414.1)</f>
        <v>1414.1</v>
      </c>
      <c r="D788" s="3">
        <f>IFERROR(__xludf.DUMMYFUNCTION("""COMPUTED_VALUE"""),1389.67)</f>
        <v>1389.67</v>
      </c>
      <c r="E788" s="3">
        <f>IFERROR(__xludf.DUMMYFUNCTION("""COMPUTED_VALUE"""),1409.54)</f>
        <v>1409.54</v>
      </c>
      <c r="F788" s="3">
        <f>IFERROR(__xludf.DUMMYFUNCTION("""COMPUTED_VALUE"""),0.0)</f>
        <v>0</v>
      </c>
    </row>
    <row r="789">
      <c r="A789" s="7">
        <f>IFERROR(__xludf.DUMMYFUNCTION("""COMPUTED_VALUE"""),37875.645833333336)</f>
        <v>37875.64583</v>
      </c>
      <c r="B789" s="3">
        <f>IFERROR(__xludf.DUMMYFUNCTION("""COMPUTED_VALUE"""),1409.67)</f>
        <v>1409.67</v>
      </c>
      <c r="C789" s="3">
        <f>IFERROR(__xludf.DUMMYFUNCTION("""COMPUTED_VALUE"""),1422.4)</f>
        <v>1422.4</v>
      </c>
      <c r="D789" s="3">
        <f>IFERROR(__xludf.DUMMYFUNCTION("""COMPUTED_VALUE"""),1399.62)</f>
        <v>1399.62</v>
      </c>
      <c r="E789" s="3">
        <f>IFERROR(__xludf.DUMMYFUNCTION("""COMPUTED_VALUE"""),1403.14)</f>
        <v>1403.14</v>
      </c>
      <c r="F789" s="3">
        <f>IFERROR(__xludf.DUMMYFUNCTION("""COMPUTED_VALUE"""),0.0)</f>
        <v>0</v>
      </c>
    </row>
    <row r="790">
      <c r="A790" s="7">
        <f>IFERROR(__xludf.DUMMYFUNCTION("""COMPUTED_VALUE"""),37876.645833333336)</f>
        <v>37876.64583</v>
      </c>
      <c r="B790" s="3">
        <f>IFERROR(__xludf.DUMMYFUNCTION("""COMPUTED_VALUE"""),1405.55)</f>
        <v>1405.55</v>
      </c>
      <c r="C790" s="3">
        <f>IFERROR(__xludf.DUMMYFUNCTION("""COMPUTED_VALUE"""),1415.65)</f>
        <v>1415.65</v>
      </c>
      <c r="D790" s="3">
        <f>IFERROR(__xludf.DUMMYFUNCTION("""COMPUTED_VALUE"""),1367.15)</f>
        <v>1367.15</v>
      </c>
      <c r="E790" s="3">
        <f>IFERROR(__xludf.DUMMYFUNCTION("""COMPUTED_VALUE"""),1372.11)</f>
        <v>1372.11</v>
      </c>
      <c r="F790" s="3">
        <f>IFERROR(__xludf.DUMMYFUNCTION("""COMPUTED_VALUE"""),0.0)</f>
        <v>0</v>
      </c>
    </row>
    <row r="791">
      <c r="A791" s="7">
        <f>IFERROR(__xludf.DUMMYFUNCTION("""COMPUTED_VALUE"""),37879.645833333336)</f>
        <v>37879.64583</v>
      </c>
      <c r="B791" s="3">
        <f>IFERROR(__xludf.DUMMYFUNCTION("""COMPUTED_VALUE"""),1371.74)</f>
        <v>1371.74</v>
      </c>
      <c r="C791" s="3">
        <f>IFERROR(__xludf.DUMMYFUNCTION("""COMPUTED_VALUE"""),1371.86)</f>
        <v>1371.86</v>
      </c>
      <c r="D791" s="3">
        <f>IFERROR(__xludf.DUMMYFUNCTION("""COMPUTED_VALUE"""),1322.65)</f>
        <v>1322.65</v>
      </c>
      <c r="E791" s="3">
        <f>IFERROR(__xludf.DUMMYFUNCTION("""COMPUTED_VALUE"""),1329.27)</f>
        <v>1329.27</v>
      </c>
      <c r="F791" s="3">
        <f>IFERROR(__xludf.DUMMYFUNCTION("""COMPUTED_VALUE"""),0.0)</f>
        <v>0</v>
      </c>
    </row>
    <row r="792">
      <c r="A792" s="7">
        <f>IFERROR(__xludf.DUMMYFUNCTION("""COMPUTED_VALUE"""),37880.645833333336)</f>
        <v>37880.64583</v>
      </c>
      <c r="B792" s="3">
        <f>IFERROR(__xludf.DUMMYFUNCTION("""COMPUTED_VALUE"""),1330.14)</f>
        <v>1330.14</v>
      </c>
      <c r="C792" s="3">
        <f>IFERROR(__xludf.DUMMYFUNCTION("""COMPUTED_VALUE"""),1362.12)</f>
        <v>1362.12</v>
      </c>
      <c r="D792" s="3">
        <f>IFERROR(__xludf.DUMMYFUNCTION("""COMPUTED_VALUE"""),1299.5)</f>
        <v>1299.5</v>
      </c>
      <c r="E792" s="3">
        <f>IFERROR(__xludf.DUMMYFUNCTION("""COMPUTED_VALUE"""),1357.93)</f>
        <v>1357.93</v>
      </c>
      <c r="F792" s="3">
        <f>IFERROR(__xludf.DUMMYFUNCTION("""COMPUTED_VALUE"""),0.0)</f>
        <v>0</v>
      </c>
    </row>
    <row r="793">
      <c r="A793" s="7">
        <f>IFERROR(__xludf.DUMMYFUNCTION("""COMPUTED_VALUE"""),37881.645833333336)</f>
        <v>37881.64583</v>
      </c>
      <c r="B793" s="3">
        <f>IFERROR(__xludf.DUMMYFUNCTION("""COMPUTED_VALUE"""),1357.95)</f>
        <v>1357.95</v>
      </c>
      <c r="C793" s="3">
        <f>IFERROR(__xludf.DUMMYFUNCTION("""COMPUTED_VALUE"""),1377.44)</f>
        <v>1377.44</v>
      </c>
      <c r="D793" s="3">
        <f>IFERROR(__xludf.DUMMYFUNCTION("""COMPUTED_VALUE"""),1332.19)</f>
        <v>1332.19</v>
      </c>
      <c r="E793" s="3">
        <f>IFERROR(__xludf.DUMMYFUNCTION("""COMPUTED_VALUE"""),1341.61)</f>
        <v>1341.61</v>
      </c>
      <c r="F793" s="3">
        <f>IFERROR(__xludf.DUMMYFUNCTION("""COMPUTED_VALUE"""),0.0)</f>
        <v>0</v>
      </c>
    </row>
    <row r="794">
      <c r="A794" s="7">
        <f>IFERROR(__xludf.DUMMYFUNCTION("""COMPUTED_VALUE"""),37882.645833333336)</f>
        <v>37882.64583</v>
      </c>
      <c r="B794" s="3">
        <f>IFERROR(__xludf.DUMMYFUNCTION("""COMPUTED_VALUE"""),1341.43)</f>
        <v>1341.43</v>
      </c>
      <c r="C794" s="3">
        <f>IFERROR(__xludf.DUMMYFUNCTION("""COMPUTED_VALUE"""),1342.62)</f>
        <v>1342.62</v>
      </c>
      <c r="D794" s="3">
        <f>IFERROR(__xludf.DUMMYFUNCTION("""COMPUTED_VALUE"""),1299.24)</f>
        <v>1299.24</v>
      </c>
      <c r="E794" s="3">
        <f>IFERROR(__xludf.DUMMYFUNCTION("""COMPUTED_VALUE"""),1302.37)</f>
        <v>1302.37</v>
      </c>
      <c r="F794" s="3">
        <f>IFERROR(__xludf.DUMMYFUNCTION("""COMPUTED_VALUE"""),0.0)</f>
        <v>0</v>
      </c>
    </row>
    <row r="795">
      <c r="A795" s="7">
        <f>IFERROR(__xludf.DUMMYFUNCTION("""COMPUTED_VALUE"""),37883.645833333336)</f>
        <v>37883.64583</v>
      </c>
      <c r="B795" s="3">
        <f>IFERROR(__xludf.DUMMYFUNCTION("""COMPUTED_VALUE"""),1303.2)</f>
        <v>1303.2</v>
      </c>
      <c r="C795" s="3">
        <f>IFERROR(__xludf.DUMMYFUNCTION("""COMPUTED_VALUE"""),1331.06)</f>
        <v>1331.06</v>
      </c>
      <c r="D795" s="3">
        <f>IFERROR(__xludf.DUMMYFUNCTION("""COMPUTED_VALUE"""),1285.27)</f>
        <v>1285.27</v>
      </c>
      <c r="E795" s="3">
        <f>IFERROR(__xludf.DUMMYFUNCTION("""COMPUTED_VALUE"""),1322.13)</f>
        <v>1322.13</v>
      </c>
      <c r="F795" s="3">
        <f>IFERROR(__xludf.DUMMYFUNCTION("""COMPUTED_VALUE"""),0.0)</f>
        <v>0</v>
      </c>
    </row>
    <row r="796">
      <c r="A796" s="7">
        <f>IFERROR(__xludf.DUMMYFUNCTION("""COMPUTED_VALUE"""),37886.645833333336)</f>
        <v>37886.64583</v>
      </c>
      <c r="B796" s="3">
        <f>IFERROR(__xludf.DUMMYFUNCTION("""COMPUTED_VALUE"""),1319.25)</f>
        <v>1319.25</v>
      </c>
      <c r="C796" s="3">
        <f>IFERROR(__xludf.DUMMYFUNCTION("""COMPUTED_VALUE"""),1333.54)</f>
        <v>1333.54</v>
      </c>
      <c r="D796" s="3">
        <f>IFERROR(__xludf.DUMMYFUNCTION("""COMPUTED_VALUE"""),1300.24)</f>
        <v>1300.24</v>
      </c>
      <c r="E796" s="3">
        <f>IFERROR(__xludf.DUMMYFUNCTION("""COMPUTED_VALUE"""),1302.91)</f>
        <v>1302.91</v>
      </c>
      <c r="F796" s="3">
        <f>IFERROR(__xludf.DUMMYFUNCTION("""COMPUTED_VALUE"""),0.0)</f>
        <v>0</v>
      </c>
    </row>
    <row r="797">
      <c r="A797" s="7">
        <f>IFERROR(__xludf.DUMMYFUNCTION("""COMPUTED_VALUE"""),37887.645833333336)</f>
        <v>37887.64583</v>
      </c>
      <c r="B797" s="3">
        <f>IFERROR(__xludf.DUMMYFUNCTION("""COMPUTED_VALUE"""),1302.84)</f>
        <v>1302.84</v>
      </c>
      <c r="C797" s="3">
        <f>IFERROR(__xludf.DUMMYFUNCTION("""COMPUTED_VALUE"""),1333.71)</f>
        <v>1333.71</v>
      </c>
      <c r="D797" s="3">
        <f>IFERROR(__xludf.DUMMYFUNCTION("""COMPUTED_VALUE"""),1290.57)</f>
        <v>1290.57</v>
      </c>
      <c r="E797" s="3">
        <f>IFERROR(__xludf.DUMMYFUNCTION("""COMPUTED_VALUE"""),1328.19)</f>
        <v>1328.19</v>
      </c>
      <c r="F797" s="3">
        <f>IFERROR(__xludf.DUMMYFUNCTION("""COMPUTED_VALUE"""),0.0)</f>
        <v>0</v>
      </c>
    </row>
    <row r="798">
      <c r="A798" s="7">
        <f>IFERROR(__xludf.DUMMYFUNCTION("""COMPUTED_VALUE"""),37888.645833333336)</f>
        <v>37888.64583</v>
      </c>
      <c r="B798" s="3">
        <f>IFERROR(__xludf.DUMMYFUNCTION("""COMPUTED_VALUE"""),1324.84)</f>
        <v>1324.84</v>
      </c>
      <c r="C798" s="3">
        <f>IFERROR(__xludf.DUMMYFUNCTION("""COMPUTED_VALUE"""),1373.91)</f>
        <v>1373.91</v>
      </c>
      <c r="D798" s="3">
        <f>IFERROR(__xludf.DUMMYFUNCTION("""COMPUTED_VALUE"""),1322.63)</f>
        <v>1322.63</v>
      </c>
      <c r="E798" s="3">
        <f>IFERROR(__xludf.DUMMYFUNCTION("""COMPUTED_VALUE"""),1372.07)</f>
        <v>1372.07</v>
      </c>
      <c r="F798" s="3">
        <f>IFERROR(__xludf.DUMMYFUNCTION("""COMPUTED_VALUE"""),0.0)</f>
        <v>0</v>
      </c>
    </row>
    <row r="799">
      <c r="A799" s="7">
        <f>IFERROR(__xludf.DUMMYFUNCTION("""COMPUTED_VALUE"""),37889.645833333336)</f>
        <v>37889.64583</v>
      </c>
      <c r="B799" s="3">
        <f>IFERROR(__xludf.DUMMYFUNCTION("""COMPUTED_VALUE"""),1371.47)</f>
        <v>1371.47</v>
      </c>
      <c r="C799" s="3">
        <f>IFERROR(__xludf.DUMMYFUNCTION("""COMPUTED_VALUE"""),1377.23)</f>
        <v>1377.23</v>
      </c>
      <c r="D799" s="3">
        <f>IFERROR(__xludf.DUMMYFUNCTION("""COMPUTED_VALUE"""),1352.8)</f>
        <v>1352.8</v>
      </c>
      <c r="E799" s="3">
        <f>IFERROR(__xludf.DUMMYFUNCTION("""COMPUTED_VALUE"""),1357.2)</f>
        <v>1357.2</v>
      </c>
      <c r="F799" s="3">
        <f>IFERROR(__xludf.DUMMYFUNCTION("""COMPUTED_VALUE"""),0.0)</f>
        <v>0</v>
      </c>
    </row>
    <row r="800">
      <c r="A800" s="7">
        <f>IFERROR(__xludf.DUMMYFUNCTION("""COMPUTED_VALUE"""),37890.645833333336)</f>
        <v>37890.64583</v>
      </c>
      <c r="B800" s="3">
        <f>IFERROR(__xludf.DUMMYFUNCTION("""COMPUTED_VALUE"""),1357.55)</f>
        <v>1357.55</v>
      </c>
      <c r="C800" s="3">
        <f>IFERROR(__xludf.DUMMYFUNCTION("""COMPUTED_VALUE"""),1389.3)</f>
        <v>1389.3</v>
      </c>
      <c r="D800" s="3">
        <f>IFERROR(__xludf.DUMMYFUNCTION("""COMPUTED_VALUE"""),1357.36)</f>
        <v>1357.36</v>
      </c>
      <c r="E800" s="3">
        <f>IFERROR(__xludf.DUMMYFUNCTION("""COMPUTED_VALUE"""),1386.93)</f>
        <v>1386.93</v>
      </c>
      <c r="F800" s="3">
        <f>IFERROR(__xludf.DUMMYFUNCTION("""COMPUTED_VALUE"""),0.0)</f>
        <v>0</v>
      </c>
    </row>
    <row r="801">
      <c r="A801" s="7">
        <f>IFERROR(__xludf.DUMMYFUNCTION("""COMPUTED_VALUE"""),37893.645833333336)</f>
        <v>37893.64583</v>
      </c>
      <c r="B801" s="3">
        <f>IFERROR(__xludf.DUMMYFUNCTION("""COMPUTED_VALUE"""),1386.89)</f>
        <v>1386.89</v>
      </c>
      <c r="C801" s="3">
        <f>IFERROR(__xludf.DUMMYFUNCTION("""COMPUTED_VALUE"""),1422.35)</f>
        <v>1422.35</v>
      </c>
      <c r="D801" s="3">
        <f>IFERROR(__xludf.DUMMYFUNCTION("""COMPUTED_VALUE"""),1386.08)</f>
        <v>1386.08</v>
      </c>
      <c r="E801" s="3">
        <f>IFERROR(__xludf.DUMMYFUNCTION("""COMPUTED_VALUE"""),1399.93)</f>
        <v>1399.93</v>
      </c>
      <c r="F801" s="3">
        <f>IFERROR(__xludf.DUMMYFUNCTION("""COMPUTED_VALUE"""),0.0)</f>
        <v>0</v>
      </c>
    </row>
    <row r="802">
      <c r="A802" s="7">
        <f>IFERROR(__xludf.DUMMYFUNCTION("""COMPUTED_VALUE"""),37894.645833333336)</f>
        <v>37894.64583</v>
      </c>
      <c r="B802" s="3">
        <f>IFERROR(__xludf.DUMMYFUNCTION("""COMPUTED_VALUE"""),1400.71)</f>
        <v>1400.71</v>
      </c>
      <c r="C802" s="3">
        <f>IFERROR(__xludf.DUMMYFUNCTION("""COMPUTED_VALUE"""),1418.1)</f>
        <v>1418.1</v>
      </c>
      <c r="D802" s="3">
        <f>IFERROR(__xludf.DUMMYFUNCTION("""COMPUTED_VALUE"""),1399.79)</f>
        <v>1399.79</v>
      </c>
      <c r="E802" s="3">
        <f>IFERROR(__xludf.DUMMYFUNCTION("""COMPUTED_VALUE"""),1417.08)</f>
        <v>1417.08</v>
      </c>
      <c r="F802" s="3">
        <f>IFERROR(__xludf.DUMMYFUNCTION("""COMPUTED_VALUE"""),0.0)</f>
        <v>0</v>
      </c>
    </row>
    <row r="803">
      <c r="A803" s="7">
        <f>IFERROR(__xludf.DUMMYFUNCTION("""COMPUTED_VALUE"""),37895.645833333336)</f>
        <v>37895.64583</v>
      </c>
      <c r="B803" s="3">
        <f>IFERROR(__xludf.DUMMYFUNCTION("""COMPUTED_VALUE"""),1416.61)</f>
        <v>1416.61</v>
      </c>
      <c r="C803" s="3">
        <f>IFERROR(__xludf.DUMMYFUNCTION("""COMPUTED_VALUE"""),1430.91)</f>
        <v>1430.91</v>
      </c>
      <c r="D803" s="3">
        <f>IFERROR(__xludf.DUMMYFUNCTION("""COMPUTED_VALUE"""),1407.93)</f>
        <v>1407.93</v>
      </c>
      <c r="E803" s="3">
        <f>IFERROR(__xludf.DUMMYFUNCTION("""COMPUTED_VALUE"""),1420.85)</f>
        <v>1420.85</v>
      </c>
      <c r="F803" s="3">
        <f>IFERROR(__xludf.DUMMYFUNCTION("""COMPUTED_VALUE"""),0.0)</f>
        <v>0</v>
      </c>
    </row>
    <row r="804">
      <c r="A804" s="7">
        <f>IFERROR(__xludf.DUMMYFUNCTION("""COMPUTED_VALUE"""),37897.645833333336)</f>
        <v>37897.64583</v>
      </c>
      <c r="B804" s="3">
        <f>IFERROR(__xludf.DUMMYFUNCTION("""COMPUTED_VALUE"""),1420.86)</f>
        <v>1420.86</v>
      </c>
      <c r="C804" s="3">
        <f>IFERROR(__xludf.DUMMYFUNCTION("""COMPUTED_VALUE"""),1451.21)</f>
        <v>1451.21</v>
      </c>
      <c r="D804" s="3">
        <f>IFERROR(__xludf.DUMMYFUNCTION("""COMPUTED_VALUE"""),1420.86)</f>
        <v>1420.86</v>
      </c>
      <c r="E804" s="3">
        <f>IFERROR(__xludf.DUMMYFUNCTION("""COMPUTED_VALUE"""),1449.3)</f>
        <v>1449.3</v>
      </c>
      <c r="F804" s="3">
        <f>IFERROR(__xludf.DUMMYFUNCTION("""COMPUTED_VALUE"""),0.0)</f>
        <v>0</v>
      </c>
    </row>
    <row r="805">
      <c r="A805" s="7">
        <f>IFERROR(__xludf.DUMMYFUNCTION("""COMPUTED_VALUE"""),37900.645833333336)</f>
        <v>37900.64583</v>
      </c>
      <c r="B805" s="3">
        <f>IFERROR(__xludf.DUMMYFUNCTION("""COMPUTED_VALUE"""),1449.46)</f>
        <v>1449.46</v>
      </c>
      <c r="C805" s="3">
        <f>IFERROR(__xludf.DUMMYFUNCTION("""COMPUTED_VALUE"""),1481.06)</f>
        <v>1481.06</v>
      </c>
      <c r="D805" s="3">
        <f>IFERROR(__xludf.DUMMYFUNCTION("""COMPUTED_VALUE"""),1423.73)</f>
        <v>1423.73</v>
      </c>
      <c r="E805" s="3">
        <f>IFERROR(__xludf.DUMMYFUNCTION("""COMPUTED_VALUE"""),1478.88)</f>
        <v>1478.88</v>
      </c>
      <c r="F805" s="3">
        <f>IFERROR(__xludf.DUMMYFUNCTION("""COMPUTED_VALUE"""),0.0)</f>
        <v>0</v>
      </c>
    </row>
    <row r="806">
      <c r="A806" s="7">
        <f>IFERROR(__xludf.DUMMYFUNCTION("""COMPUTED_VALUE"""),37901.645833333336)</f>
        <v>37901.64583</v>
      </c>
      <c r="B806" s="3">
        <f>IFERROR(__xludf.DUMMYFUNCTION("""COMPUTED_VALUE"""),1478.93)</f>
        <v>1478.93</v>
      </c>
      <c r="C806" s="3">
        <f>IFERROR(__xludf.DUMMYFUNCTION("""COMPUTED_VALUE"""),1498.43)</f>
        <v>1498.43</v>
      </c>
      <c r="D806" s="3">
        <f>IFERROR(__xludf.DUMMYFUNCTION("""COMPUTED_VALUE"""),1467.77)</f>
        <v>1467.77</v>
      </c>
      <c r="E806" s="3">
        <f>IFERROR(__xludf.DUMMYFUNCTION("""COMPUTED_VALUE"""),1477.87)</f>
        <v>1477.87</v>
      </c>
      <c r="F806" s="3">
        <f>IFERROR(__xludf.DUMMYFUNCTION("""COMPUTED_VALUE"""),0.0)</f>
        <v>0</v>
      </c>
    </row>
    <row r="807">
      <c r="A807" s="7">
        <f>IFERROR(__xludf.DUMMYFUNCTION("""COMPUTED_VALUE"""),37902.645833333336)</f>
        <v>37902.64583</v>
      </c>
      <c r="B807" s="3">
        <f>IFERROR(__xludf.DUMMYFUNCTION("""COMPUTED_VALUE"""),1477.87)</f>
        <v>1477.87</v>
      </c>
      <c r="C807" s="3">
        <f>IFERROR(__xludf.DUMMYFUNCTION("""COMPUTED_VALUE"""),1493.04)</f>
        <v>1493.04</v>
      </c>
      <c r="D807" s="3">
        <f>IFERROR(__xludf.DUMMYFUNCTION("""COMPUTED_VALUE"""),1460.58)</f>
        <v>1460.58</v>
      </c>
      <c r="E807" s="3">
        <f>IFERROR(__xludf.DUMMYFUNCTION("""COMPUTED_VALUE"""),1478.6)</f>
        <v>1478.6</v>
      </c>
      <c r="F807" s="3">
        <f>IFERROR(__xludf.DUMMYFUNCTION("""COMPUTED_VALUE"""),0.0)</f>
        <v>0</v>
      </c>
    </row>
    <row r="808">
      <c r="A808" s="7">
        <f>IFERROR(__xludf.DUMMYFUNCTION("""COMPUTED_VALUE"""),37903.645833333336)</f>
        <v>37903.64583</v>
      </c>
      <c r="B808" s="3">
        <f>IFERROR(__xludf.DUMMYFUNCTION("""COMPUTED_VALUE"""),1487.85)</f>
        <v>1487.85</v>
      </c>
      <c r="C808" s="3">
        <f>IFERROR(__xludf.DUMMYFUNCTION("""COMPUTED_VALUE"""),1505.04)</f>
        <v>1505.04</v>
      </c>
      <c r="D808" s="3">
        <f>IFERROR(__xludf.DUMMYFUNCTION("""COMPUTED_VALUE"""),1478.39)</f>
        <v>1478.39</v>
      </c>
      <c r="E808" s="3">
        <f>IFERROR(__xludf.DUMMYFUNCTION("""COMPUTED_VALUE"""),1502.12)</f>
        <v>1502.12</v>
      </c>
      <c r="F808" s="3">
        <f>IFERROR(__xludf.DUMMYFUNCTION("""COMPUTED_VALUE"""),0.0)</f>
        <v>0</v>
      </c>
    </row>
    <row r="809">
      <c r="A809" s="7">
        <f>IFERROR(__xludf.DUMMYFUNCTION("""COMPUTED_VALUE"""),37904.645833333336)</f>
        <v>37904.64583</v>
      </c>
      <c r="B809" s="3">
        <f>IFERROR(__xludf.DUMMYFUNCTION("""COMPUTED_VALUE"""),1507.09)</f>
        <v>1507.09</v>
      </c>
      <c r="C809" s="3">
        <f>IFERROR(__xludf.DUMMYFUNCTION("""COMPUTED_VALUE"""),1527.27)</f>
        <v>1527.27</v>
      </c>
      <c r="D809" s="3">
        <f>IFERROR(__xludf.DUMMYFUNCTION("""COMPUTED_VALUE"""),1505.12)</f>
        <v>1505.12</v>
      </c>
      <c r="E809" s="3">
        <f>IFERROR(__xludf.DUMMYFUNCTION("""COMPUTED_VALUE"""),1523.08)</f>
        <v>1523.08</v>
      </c>
      <c r="F809" s="3">
        <f>IFERROR(__xludf.DUMMYFUNCTION("""COMPUTED_VALUE"""),0.0)</f>
        <v>0</v>
      </c>
    </row>
    <row r="810">
      <c r="A810" s="7">
        <f>IFERROR(__xludf.DUMMYFUNCTION("""COMPUTED_VALUE"""),37907.645833333336)</f>
        <v>37907.64583</v>
      </c>
      <c r="B810" s="3">
        <f>IFERROR(__xludf.DUMMYFUNCTION("""COMPUTED_VALUE"""),1523.33)</f>
        <v>1523.33</v>
      </c>
      <c r="C810" s="3">
        <f>IFERROR(__xludf.DUMMYFUNCTION("""COMPUTED_VALUE"""),1550.88)</f>
        <v>1550.88</v>
      </c>
      <c r="D810" s="3">
        <f>IFERROR(__xludf.DUMMYFUNCTION("""COMPUTED_VALUE"""),1516.06)</f>
        <v>1516.06</v>
      </c>
      <c r="E810" s="3">
        <f>IFERROR(__xludf.DUMMYFUNCTION("""COMPUTED_VALUE"""),1546.74)</f>
        <v>1546.74</v>
      </c>
      <c r="F810" s="3">
        <f>IFERROR(__xludf.DUMMYFUNCTION("""COMPUTED_VALUE"""),0.0)</f>
        <v>0</v>
      </c>
    </row>
    <row r="811">
      <c r="A811" s="7">
        <f>IFERROR(__xludf.DUMMYFUNCTION("""COMPUTED_VALUE"""),37908.645833333336)</f>
        <v>37908.64583</v>
      </c>
      <c r="B811" s="3">
        <f>IFERROR(__xludf.DUMMYFUNCTION("""COMPUTED_VALUE"""),1548.69)</f>
        <v>1548.69</v>
      </c>
      <c r="C811" s="3">
        <f>IFERROR(__xludf.DUMMYFUNCTION("""COMPUTED_VALUE"""),1562.84)</f>
        <v>1562.84</v>
      </c>
      <c r="D811" s="3">
        <f>IFERROR(__xludf.DUMMYFUNCTION("""COMPUTED_VALUE"""),1513.77)</f>
        <v>1513.77</v>
      </c>
      <c r="E811" s="3">
        <f>IFERROR(__xludf.DUMMYFUNCTION("""COMPUTED_VALUE"""),1520.78)</f>
        <v>1520.78</v>
      </c>
      <c r="F811" s="3">
        <f>IFERROR(__xludf.DUMMYFUNCTION("""COMPUTED_VALUE"""),0.0)</f>
        <v>0</v>
      </c>
    </row>
    <row r="812">
      <c r="A812" s="7">
        <f>IFERROR(__xludf.DUMMYFUNCTION("""COMPUTED_VALUE"""),37909.645833333336)</f>
        <v>37909.64583</v>
      </c>
      <c r="B812" s="3">
        <f>IFERROR(__xludf.DUMMYFUNCTION("""COMPUTED_VALUE"""),1521.47)</f>
        <v>1521.47</v>
      </c>
      <c r="C812" s="3">
        <f>IFERROR(__xludf.DUMMYFUNCTION("""COMPUTED_VALUE"""),1543.84)</f>
        <v>1543.84</v>
      </c>
      <c r="D812" s="3">
        <f>IFERROR(__xludf.DUMMYFUNCTION("""COMPUTED_VALUE"""),1503.01)</f>
        <v>1503.01</v>
      </c>
      <c r="E812" s="3">
        <f>IFERROR(__xludf.DUMMYFUNCTION("""COMPUTED_VALUE"""),1536.98)</f>
        <v>1536.98</v>
      </c>
      <c r="F812" s="3">
        <f>IFERROR(__xludf.DUMMYFUNCTION("""COMPUTED_VALUE"""),0.0)</f>
        <v>0</v>
      </c>
    </row>
    <row r="813">
      <c r="A813" s="7">
        <f>IFERROR(__xludf.DUMMYFUNCTION("""COMPUTED_VALUE"""),37910.645833333336)</f>
        <v>37910.64583</v>
      </c>
      <c r="B813" s="3">
        <f>IFERROR(__xludf.DUMMYFUNCTION("""COMPUTED_VALUE"""),1537.28)</f>
        <v>1537.28</v>
      </c>
      <c r="C813" s="3">
        <f>IFERROR(__xludf.DUMMYFUNCTION("""COMPUTED_VALUE"""),1563.41)</f>
        <v>1563.41</v>
      </c>
      <c r="D813" s="3">
        <f>IFERROR(__xludf.DUMMYFUNCTION("""COMPUTED_VALUE"""),1537.28)</f>
        <v>1537.28</v>
      </c>
      <c r="E813" s="3">
        <f>IFERROR(__xludf.DUMMYFUNCTION("""COMPUTED_VALUE"""),1555.7)</f>
        <v>1555.7</v>
      </c>
      <c r="F813" s="3">
        <f>IFERROR(__xludf.DUMMYFUNCTION("""COMPUTED_VALUE"""),0.0)</f>
        <v>0</v>
      </c>
    </row>
    <row r="814">
      <c r="A814" s="7">
        <f>IFERROR(__xludf.DUMMYFUNCTION("""COMPUTED_VALUE"""),37911.645833333336)</f>
        <v>37911.64583</v>
      </c>
      <c r="B814" s="3">
        <f>IFERROR(__xludf.DUMMYFUNCTION("""COMPUTED_VALUE"""),1565.19)</f>
        <v>1565.19</v>
      </c>
      <c r="C814" s="3">
        <f>IFERROR(__xludf.DUMMYFUNCTION("""COMPUTED_VALUE"""),1574.08)</f>
        <v>1574.08</v>
      </c>
      <c r="D814" s="3">
        <f>IFERROR(__xludf.DUMMYFUNCTION("""COMPUTED_VALUE"""),1552.13)</f>
        <v>1552.13</v>
      </c>
      <c r="E814" s="3">
        <f>IFERROR(__xludf.DUMMYFUNCTION("""COMPUTED_VALUE"""),1569.47)</f>
        <v>1569.47</v>
      </c>
      <c r="F814" s="3">
        <f>IFERROR(__xludf.DUMMYFUNCTION("""COMPUTED_VALUE"""),0.0)</f>
        <v>0</v>
      </c>
    </row>
    <row r="815">
      <c r="A815" s="7">
        <f>IFERROR(__xludf.DUMMYFUNCTION("""COMPUTED_VALUE"""),37914.645833333336)</f>
        <v>37914.64583</v>
      </c>
      <c r="B815" s="3">
        <f>IFERROR(__xludf.DUMMYFUNCTION("""COMPUTED_VALUE"""),1569.72)</f>
        <v>1569.72</v>
      </c>
      <c r="C815" s="3">
        <f>IFERROR(__xludf.DUMMYFUNCTION("""COMPUTED_VALUE"""),1574.08)</f>
        <v>1574.08</v>
      </c>
      <c r="D815" s="3">
        <f>IFERROR(__xludf.DUMMYFUNCTION("""COMPUTED_VALUE"""),1536.5)</f>
        <v>1536.5</v>
      </c>
      <c r="E815" s="3">
        <f>IFERROR(__xludf.DUMMYFUNCTION("""COMPUTED_VALUE"""),1542.71)</f>
        <v>1542.71</v>
      </c>
      <c r="F815" s="3">
        <f>IFERROR(__xludf.DUMMYFUNCTION("""COMPUTED_VALUE"""),0.0)</f>
        <v>0</v>
      </c>
    </row>
    <row r="816">
      <c r="A816" s="7">
        <f>IFERROR(__xludf.DUMMYFUNCTION("""COMPUTED_VALUE"""),37915.645833333336)</f>
        <v>37915.64583</v>
      </c>
      <c r="B816" s="3">
        <f>IFERROR(__xludf.DUMMYFUNCTION("""COMPUTED_VALUE"""),1546.19)</f>
        <v>1546.19</v>
      </c>
      <c r="C816" s="3">
        <f>IFERROR(__xludf.DUMMYFUNCTION("""COMPUTED_VALUE"""),1549.64)</f>
        <v>1549.64</v>
      </c>
      <c r="D816" s="3">
        <f>IFERROR(__xludf.DUMMYFUNCTION("""COMPUTED_VALUE"""),1496.95)</f>
        <v>1496.95</v>
      </c>
      <c r="E816" s="3">
        <f>IFERROR(__xludf.DUMMYFUNCTION("""COMPUTED_VALUE"""),1506.5)</f>
        <v>1506.5</v>
      </c>
      <c r="F816" s="3">
        <f>IFERROR(__xludf.DUMMYFUNCTION("""COMPUTED_VALUE"""),0.0)</f>
        <v>0</v>
      </c>
    </row>
    <row r="817">
      <c r="A817" s="7">
        <f>IFERROR(__xludf.DUMMYFUNCTION("""COMPUTED_VALUE"""),37916.645833333336)</f>
        <v>37916.64583</v>
      </c>
      <c r="B817" s="3">
        <f>IFERROR(__xludf.DUMMYFUNCTION("""COMPUTED_VALUE"""),1506.77)</f>
        <v>1506.77</v>
      </c>
      <c r="C817" s="3">
        <f>IFERROR(__xludf.DUMMYFUNCTION("""COMPUTED_VALUE"""),1522.66)</f>
        <v>1522.66</v>
      </c>
      <c r="D817" s="3">
        <f>IFERROR(__xludf.DUMMYFUNCTION("""COMPUTED_VALUE"""),1482.98)</f>
        <v>1482.98</v>
      </c>
      <c r="E817" s="3">
        <f>IFERROR(__xludf.DUMMYFUNCTION("""COMPUTED_VALUE"""),1494.09)</f>
        <v>1494.09</v>
      </c>
      <c r="F817" s="3">
        <f>IFERROR(__xludf.DUMMYFUNCTION("""COMPUTED_VALUE"""),0.0)</f>
        <v>0</v>
      </c>
    </row>
    <row r="818">
      <c r="A818" s="7">
        <f>IFERROR(__xludf.DUMMYFUNCTION("""COMPUTED_VALUE"""),37917.645833333336)</f>
        <v>37917.64583</v>
      </c>
      <c r="B818" s="3">
        <f>IFERROR(__xludf.DUMMYFUNCTION("""COMPUTED_VALUE"""),1494.77)</f>
        <v>1494.77</v>
      </c>
      <c r="C818" s="3">
        <f>IFERROR(__xludf.DUMMYFUNCTION("""COMPUTED_VALUE"""),1503.02)</f>
        <v>1503.02</v>
      </c>
      <c r="D818" s="3">
        <f>IFERROR(__xludf.DUMMYFUNCTION("""COMPUTED_VALUE"""),1466.27)</f>
        <v>1466.27</v>
      </c>
      <c r="E818" s="3">
        <f>IFERROR(__xludf.DUMMYFUNCTION("""COMPUTED_VALUE"""),1470.44)</f>
        <v>1470.44</v>
      </c>
      <c r="F818" s="3">
        <f>IFERROR(__xludf.DUMMYFUNCTION("""COMPUTED_VALUE"""),0.0)</f>
        <v>0</v>
      </c>
    </row>
    <row r="819">
      <c r="A819" s="7">
        <f>IFERROR(__xludf.DUMMYFUNCTION("""COMPUTED_VALUE"""),37918.645833333336)</f>
        <v>37918.64583</v>
      </c>
      <c r="B819" s="3">
        <f>IFERROR(__xludf.DUMMYFUNCTION("""COMPUTED_VALUE"""),1485.8)</f>
        <v>1485.8</v>
      </c>
      <c r="C819" s="3">
        <f>IFERROR(__xludf.DUMMYFUNCTION("""COMPUTED_VALUE"""),1512.55)</f>
        <v>1512.55</v>
      </c>
      <c r="D819" s="3">
        <f>IFERROR(__xludf.DUMMYFUNCTION("""COMPUTED_VALUE"""),1434.75)</f>
        <v>1434.75</v>
      </c>
      <c r="E819" s="3">
        <f>IFERROR(__xludf.DUMMYFUNCTION("""COMPUTED_VALUE"""),1506.04)</f>
        <v>1506.04</v>
      </c>
      <c r="F819" s="3">
        <f>IFERROR(__xludf.DUMMYFUNCTION("""COMPUTED_VALUE"""),0.0)</f>
        <v>0</v>
      </c>
    </row>
    <row r="820">
      <c r="A820" s="7">
        <f>IFERROR(__xludf.DUMMYFUNCTION("""COMPUTED_VALUE"""),37921.645833333336)</f>
        <v>37921.64583</v>
      </c>
      <c r="B820" s="3">
        <f>IFERROR(__xludf.DUMMYFUNCTION("""COMPUTED_VALUE"""),1522.05)</f>
        <v>1522.05</v>
      </c>
      <c r="C820" s="3">
        <f>IFERROR(__xludf.DUMMYFUNCTION("""COMPUTED_VALUE"""),1524.04)</f>
        <v>1524.04</v>
      </c>
      <c r="D820" s="3">
        <f>IFERROR(__xludf.DUMMYFUNCTION("""COMPUTED_VALUE"""),1481.98)</f>
        <v>1481.98</v>
      </c>
      <c r="E820" s="3">
        <f>IFERROR(__xludf.DUMMYFUNCTION("""COMPUTED_VALUE"""),1485.32)</f>
        <v>1485.32</v>
      </c>
      <c r="F820" s="3">
        <f>IFERROR(__xludf.DUMMYFUNCTION("""COMPUTED_VALUE"""),0.0)</f>
        <v>0</v>
      </c>
    </row>
    <row r="821">
      <c r="A821" s="7">
        <f>IFERROR(__xludf.DUMMYFUNCTION("""COMPUTED_VALUE"""),37922.645833333336)</f>
        <v>37922.64583</v>
      </c>
      <c r="B821" s="3">
        <f>IFERROR(__xludf.DUMMYFUNCTION("""COMPUTED_VALUE"""),1485.45)</f>
        <v>1485.45</v>
      </c>
      <c r="C821" s="3">
        <f>IFERROR(__xludf.DUMMYFUNCTION("""COMPUTED_VALUE"""),1500.78)</f>
        <v>1500.78</v>
      </c>
      <c r="D821" s="3">
        <f>IFERROR(__xludf.DUMMYFUNCTION("""COMPUTED_VALUE"""),1471.28)</f>
        <v>1471.28</v>
      </c>
      <c r="E821" s="3">
        <f>IFERROR(__xludf.DUMMYFUNCTION("""COMPUTED_VALUE"""),1481.75)</f>
        <v>1481.75</v>
      </c>
      <c r="F821" s="3">
        <f>IFERROR(__xludf.DUMMYFUNCTION("""COMPUTED_VALUE"""),0.0)</f>
        <v>0</v>
      </c>
    </row>
    <row r="822">
      <c r="A822" s="7">
        <f>IFERROR(__xludf.DUMMYFUNCTION("""COMPUTED_VALUE"""),37923.645833333336)</f>
        <v>37923.64583</v>
      </c>
      <c r="B822" s="3">
        <f>IFERROR(__xludf.DUMMYFUNCTION("""COMPUTED_VALUE"""),1481.3)</f>
        <v>1481.3</v>
      </c>
      <c r="C822" s="3">
        <f>IFERROR(__xludf.DUMMYFUNCTION("""COMPUTED_VALUE"""),1501.7)</f>
        <v>1501.7</v>
      </c>
      <c r="D822" s="3">
        <f>IFERROR(__xludf.DUMMYFUNCTION("""COMPUTED_VALUE"""),1477.1)</f>
        <v>1477.1</v>
      </c>
      <c r="E822" s="3">
        <f>IFERROR(__xludf.DUMMYFUNCTION("""COMPUTED_VALUE"""),1498.47)</f>
        <v>1498.47</v>
      </c>
      <c r="F822" s="3">
        <f>IFERROR(__xludf.DUMMYFUNCTION("""COMPUTED_VALUE"""),0.0)</f>
        <v>0</v>
      </c>
    </row>
    <row r="823">
      <c r="A823" s="7">
        <f>IFERROR(__xludf.DUMMYFUNCTION("""COMPUTED_VALUE"""),37924.645833333336)</f>
        <v>37924.64583</v>
      </c>
      <c r="B823" s="3">
        <f>IFERROR(__xludf.DUMMYFUNCTION("""COMPUTED_VALUE"""),1499.25)</f>
        <v>1499.25</v>
      </c>
      <c r="C823" s="3">
        <f>IFERROR(__xludf.DUMMYFUNCTION("""COMPUTED_VALUE"""),1524.23)</f>
        <v>1524.23</v>
      </c>
      <c r="D823" s="3">
        <f>IFERROR(__xludf.DUMMYFUNCTION("""COMPUTED_VALUE"""),1495.8)</f>
        <v>1495.8</v>
      </c>
      <c r="E823" s="3">
        <f>IFERROR(__xludf.DUMMYFUNCTION("""COMPUTED_VALUE"""),1516.86)</f>
        <v>1516.86</v>
      </c>
      <c r="F823" s="3">
        <f>IFERROR(__xludf.DUMMYFUNCTION("""COMPUTED_VALUE"""),0.0)</f>
        <v>0</v>
      </c>
    </row>
    <row r="824">
      <c r="A824" s="7">
        <f>IFERROR(__xludf.DUMMYFUNCTION("""COMPUTED_VALUE"""),37925.645833333336)</f>
        <v>37925.64583</v>
      </c>
      <c r="B824" s="3">
        <f>IFERROR(__xludf.DUMMYFUNCTION("""COMPUTED_VALUE"""),1517.1)</f>
        <v>1517.1</v>
      </c>
      <c r="C824" s="3">
        <f>IFERROR(__xludf.DUMMYFUNCTION("""COMPUTED_VALUE"""),1559.74)</f>
        <v>1559.74</v>
      </c>
      <c r="D824" s="3">
        <f>IFERROR(__xludf.DUMMYFUNCTION("""COMPUTED_VALUE"""),1515.55)</f>
        <v>1515.55</v>
      </c>
      <c r="E824" s="3">
        <f>IFERROR(__xludf.DUMMYFUNCTION("""COMPUTED_VALUE"""),1555.91)</f>
        <v>1555.91</v>
      </c>
      <c r="F824" s="3">
        <f>IFERROR(__xludf.DUMMYFUNCTION("""COMPUTED_VALUE"""),0.0)</f>
        <v>0</v>
      </c>
    </row>
    <row r="825">
      <c r="A825" s="7">
        <f>IFERROR(__xludf.DUMMYFUNCTION("""COMPUTED_VALUE"""),37928.645833333336)</f>
        <v>37928.64583</v>
      </c>
      <c r="B825" s="3">
        <f>IFERROR(__xludf.DUMMYFUNCTION("""COMPUTED_VALUE"""),1556.48)</f>
        <v>1556.48</v>
      </c>
      <c r="C825" s="3">
        <f>IFERROR(__xludf.DUMMYFUNCTION("""COMPUTED_VALUE"""),1605.58)</f>
        <v>1605.58</v>
      </c>
      <c r="D825" s="3">
        <f>IFERROR(__xludf.DUMMYFUNCTION("""COMPUTED_VALUE"""),1556.48)</f>
        <v>1556.48</v>
      </c>
      <c r="E825" s="3">
        <f>IFERROR(__xludf.DUMMYFUNCTION("""COMPUTED_VALUE"""),1601.67)</f>
        <v>1601.67</v>
      </c>
      <c r="F825" s="3">
        <f>IFERROR(__xludf.DUMMYFUNCTION("""COMPUTED_VALUE"""),0.0)</f>
        <v>0</v>
      </c>
    </row>
    <row r="826">
      <c r="A826" s="7">
        <f>IFERROR(__xludf.DUMMYFUNCTION("""COMPUTED_VALUE"""),37929.645833333336)</f>
        <v>37929.64583</v>
      </c>
      <c r="B826" s="3">
        <f>IFERROR(__xludf.DUMMYFUNCTION("""COMPUTED_VALUE"""),1601.28)</f>
        <v>1601.28</v>
      </c>
      <c r="C826" s="3">
        <f>IFERROR(__xludf.DUMMYFUNCTION("""COMPUTED_VALUE"""),1626.4)</f>
        <v>1626.4</v>
      </c>
      <c r="D826" s="3">
        <f>IFERROR(__xludf.DUMMYFUNCTION("""COMPUTED_VALUE"""),1601.28)</f>
        <v>1601.28</v>
      </c>
      <c r="E826" s="3">
        <f>IFERROR(__xludf.DUMMYFUNCTION("""COMPUTED_VALUE"""),1618.72)</f>
        <v>1618.72</v>
      </c>
      <c r="F826" s="3">
        <f>IFERROR(__xludf.DUMMYFUNCTION("""COMPUTED_VALUE"""),0.0)</f>
        <v>0</v>
      </c>
    </row>
    <row r="827">
      <c r="A827" s="7">
        <f>IFERROR(__xludf.DUMMYFUNCTION("""COMPUTED_VALUE"""),37930.645833333336)</f>
        <v>37930.64583</v>
      </c>
      <c r="B827" s="3">
        <f>IFERROR(__xludf.DUMMYFUNCTION("""COMPUTED_VALUE"""),1618.69)</f>
        <v>1618.69</v>
      </c>
      <c r="C827" s="3">
        <f>IFERROR(__xludf.DUMMYFUNCTION("""COMPUTED_VALUE"""),1627.61)</f>
        <v>1627.61</v>
      </c>
      <c r="D827" s="3">
        <f>IFERROR(__xludf.DUMMYFUNCTION("""COMPUTED_VALUE"""),1592.57)</f>
        <v>1592.57</v>
      </c>
      <c r="E827" s="3">
        <f>IFERROR(__xludf.DUMMYFUNCTION("""COMPUTED_VALUE"""),1609.14)</f>
        <v>1609.14</v>
      </c>
      <c r="F827" s="3">
        <f>IFERROR(__xludf.DUMMYFUNCTION("""COMPUTED_VALUE"""),0.0)</f>
        <v>0</v>
      </c>
    </row>
    <row r="828">
      <c r="A828" s="7">
        <f>IFERROR(__xludf.DUMMYFUNCTION("""COMPUTED_VALUE"""),37931.645833333336)</f>
        <v>37931.64583</v>
      </c>
      <c r="B828" s="3">
        <f>IFERROR(__xludf.DUMMYFUNCTION("""COMPUTED_VALUE"""),1610.55)</f>
        <v>1610.55</v>
      </c>
      <c r="C828" s="3">
        <f>IFERROR(__xludf.DUMMYFUNCTION("""COMPUTED_VALUE"""),1630.24)</f>
        <v>1630.24</v>
      </c>
      <c r="D828" s="3">
        <f>IFERROR(__xludf.DUMMYFUNCTION("""COMPUTED_VALUE"""),1605.38)</f>
        <v>1605.38</v>
      </c>
      <c r="E828" s="3">
        <f>IFERROR(__xludf.DUMMYFUNCTION("""COMPUTED_VALUE"""),1612.22)</f>
        <v>1612.22</v>
      </c>
      <c r="F828" s="3">
        <f>IFERROR(__xludf.DUMMYFUNCTION("""COMPUTED_VALUE"""),0.0)</f>
        <v>0</v>
      </c>
    </row>
    <row r="829">
      <c r="A829" s="7">
        <f>IFERROR(__xludf.DUMMYFUNCTION("""COMPUTED_VALUE"""),37932.645833333336)</f>
        <v>37932.64583</v>
      </c>
      <c r="B829" s="3">
        <f>IFERROR(__xludf.DUMMYFUNCTION("""COMPUTED_VALUE"""),1612.11)</f>
        <v>1612.11</v>
      </c>
      <c r="C829" s="3">
        <f>IFERROR(__xludf.DUMMYFUNCTION("""COMPUTED_VALUE"""),1624.52)</f>
        <v>1624.52</v>
      </c>
      <c r="D829" s="3">
        <f>IFERROR(__xludf.DUMMYFUNCTION("""COMPUTED_VALUE"""),1585.37)</f>
        <v>1585.37</v>
      </c>
      <c r="E829" s="3">
        <f>IFERROR(__xludf.DUMMYFUNCTION("""COMPUTED_VALUE"""),1592.03)</f>
        <v>1592.03</v>
      </c>
      <c r="F829" s="3">
        <f>IFERROR(__xludf.DUMMYFUNCTION("""COMPUTED_VALUE"""),0.0)</f>
        <v>0</v>
      </c>
    </row>
    <row r="830">
      <c r="A830" s="7">
        <f>IFERROR(__xludf.DUMMYFUNCTION("""COMPUTED_VALUE"""),37935.645833333336)</f>
        <v>37935.64583</v>
      </c>
      <c r="B830" s="3">
        <f>IFERROR(__xludf.DUMMYFUNCTION("""COMPUTED_VALUE"""),1603.56)</f>
        <v>1603.56</v>
      </c>
      <c r="C830" s="3">
        <f>IFERROR(__xludf.DUMMYFUNCTION("""COMPUTED_VALUE"""),1603.63)</f>
        <v>1603.63</v>
      </c>
      <c r="D830" s="3">
        <f>IFERROR(__xludf.DUMMYFUNCTION("""COMPUTED_VALUE"""),1568.1)</f>
        <v>1568.1</v>
      </c>
      <c r="E830" s="3">
        <f>IFERROR(__xludf.DUMMYFUNCTION("""COMPUTED_VALUE"""),1594.51)</f>
        <v>1594.51</v>
      </c>
      <c r="F830" s="3">
        <f>IFERROR(__xludf.DUMMYFUNCTION("""COMPUTED_VALUE"""),0.0)</f>
        <v>0</v>
      </c>
    </row>
    <row r="831">
      <c r="A831" s="7">
        <f>IFERROR(__xludf.DUMMYFUNCTION("""COMPUTED_VALUE"""),37936.645833333336)</f>
        <v>37936.64583</v>
      </c>
      <c r="B831" s="3">
        <f>IFERROR(__xludf.DUMMYFUNCTION("""COMPUTED_VALUE"""),1594.49)</f>
        <v>1594.49</v>
      </c>
      <c r="C831" s="3">
        <f>IFERROR(__xludf.DUMMYFUNCTION("""COMPUTED_VALUE"""),1608.86)</f>
        <v>1608.86</v>
      </c>
      <c r="D831" s="3">
        <f>IFERROR(__xludf.DUMMYFUNCTION("""COMPUTED_VALUE"""),1590.97)</f>
        <v>1590.97</v>
      </c>
      <c r="E831" s="3">
        <f>IFERROR(__xludf.DUMMYFUNCTION("""COMPUTED_VALUE"""),1601.16)</f>
        <v>1601.16</v>
      </c>
      <c r="F831" s="3">
        <f>IFERROR(__xludf.DUMMYFUNCTION("""COMPUTED_VALUE"""),0.0)</f>
        <v>0</v>
      </c>
    </row>
    <row r="832">
      <c r="A832" s="7">
        <f>IFERROR(__xludf.DUMMYFUNCTION("""COMPUTED_VALUE"""),37937.645833333336)</f>
        <v>37937.64583</v>
      </c>
      <c r="B832" s="3">
        <f>IFERROR(__xludf.DUMMYFUNCTION("""COMPUTED_VALUE"""),1601.28)</f>
        <v>1601.28</v>
      </c>
      <c r="C832" s="3">
        <f>IFERROR(__xludf.DUMMYFUNCTION("""COMPUTED_VALUE"""),1617.74)</f>
        <v>1617.74</v>
      </c>
      <c r="D832" s="3">
        <f>IFERROR(__xludf.DUMMYFUNCTION("""COMPUTED_VALUE"""),1598.02)</f>
        <v>1598.02</v>
      </c>
      <c r="E832" s="3">
        <f>IFERROR(__xludf.DUMMYFUNCTION("""COMPUTED_VALUE"""),1603.82)</f>
        <v>1603.82</v>
      </c>
      <c r="F832" s="3">
        <f>IFERROR(__xludf.DUMMYFUNCTION("""COMPUTED_VALUE"""),0.0)</f>
        <v>0</v>
      </c>
    </row>
    <row r="833">
      <c r="A833" s="7">
        <f>IFERROR(__xludf.DUMMYFUNCTION("""COMPUTED_VALUE"""),37938.645833333336)</f>
        <v>37938.64583</v>
      </c>
      <c r="B833" s="3">
        <f>IFERROR(__xludf.DUMMYFUNCTION("""COMPUTED_VALUE"""),1610.39)</f>
        <v>1610.39</v>
      </c>
      <c r="C833" s="3">
        <f>IFERROR(__xludf.DUMMYFUNCTION("""COMPUTED_VALUE"""),1616.15)</f>
        <v>1616.15</v>
      </c>
      <c r="D833" s="3">
        <f>IFERROR(__xludf.DUMMYFUNCTION("""COMPUTED_VALUE"""),1573.61)</f>
        <v>1573.61</v>
      </c>
      <c r="E833" s="3">
        <f>IFERROR(__xludf.DUMMYFUNCTION("""COMPUTED_VALUE"""),1579.94)</f>
        <v>1579.94</v>
      </c>
      <c r="F833" s="3">
        <f>IFERROR(__xludf.DUMMYFUNCTION("""COMPUTED_VALUE"""),0.0)</f>
        <v>0</v>
      </c>
    </row>
    <row r="834">
      <c r="A834" s="7">
        <f>IFERROR(__xludf.DUMMYFUNCTION("""COMPUTED_VALUE"""),37939.645833333336)</f>
        <v>37939.64583</v>
      </c>
      <c r="B834" s="3">
        <f>IFERROR(__xludf.DUMMYFUNCTION("""COMPUTED_VALUE"""),1577.21)</f>
        <v>1577.21</v>
      </c>
      <c r="C834" s="3">
        <f>IFERROR(__xludf.DUMMYFUNCTION("""COMPUTED_VALUE"""),1580.32)</f>
        <v>1580.32</v>
      </c>
      <c r="D834" s="3">
        <f>IFERROR(__xludf.DUMMYFUNCTION("""COMPUTED_VALUE"""),1544.73)</f>
        <v>1544.73</v>
      </c>
      <c r="E834" s="3">
        <f>IFERROR(__xludf.DUMMYFUNCTION("""COMPUTED_VALUE"""),1550.43)</f>
        <v>1550.43</v>
      </c>
      <c r="F834" s="3">
        <f>IFERROR(__xludf.DUMMYFUNCTION("""COMPUTED_VALUE"""),0.0)</f>
        <v>0</v>
      </c>
    </row>
    <row r="835">
      <c r="A835" s="7">
        <f>IFERROR(__xludf.DUMMYFUNCTION("""COMPUTED_VALUE"""),37942.645833333336)</f>
        <v>37942.64583</v>
      </c>
      <c r="B835" s="3">
        <f>IFERROR(__xludf.DUMMYFUNCTION("""COMPUTED_VALUE"""),1563.08)</f>
        <v>1563.08</v>
      </c>
      <c r="C835" s="3">
        <f>IFERROR(__xludf.DUMMYFUNCTION("""COMPUTED_VALUE"""),1584.76)</f>
        <v>1584.76</v>
      </c>
      <c r="D835" s="3">
        <f>IFERROR(__xludf.DUMMYFUNCTION("""COMPUTED_VALUE"""),1554.4)</f>
        <v>1554.4</v>
      </c>
      <c r="E835" s="3">
        <f>IFERROR(__xludf.DUMMYFUNCTION("""COMPUTED_VALUE"""),1579.91)</f>
        <v>1579.91</v>
      </c>
      <c r="F835" s="3">
        <f>IFERROR(__xludf.DUMMYFUNCTION("""COMPUTED_VALUE"""),0.0)</f>
        <v>0</v>
      </c>
    </row>
    <row r="836">
      <c r="A836" s="7">
        <f>IFERROR(__xludf.DUMMYFUNCTION("""COMPUTED_VALUE"""),37943.645833333336)</f>
        <v>37943.64583</v>
      </c>
      <c r="B836" s="3">
        <f>IFERROR(__xludf.DUMMYFUNCTION("""COMPUTED_VALUE"""),1579.17)</f>
        <v>1579.17</v>
      </c>
      <c r="C836" s="3">
        <f>IFERROR(__xludf.DUMMYFUNCTION("""COMPUTED_VALUE"""),1591.24)</f>
        <v>1591.24</v>
      </c>
      <c r="D836" s="3">
        <f>IFERROR(__xludf.DUMMYFUNCTION("""COMPUTED_VALUE"""),1557.21)</f>
        <v>1557.21</v>
      </c>
      <c r="E836" s="3">
        <f>IFERROR(__xludf.DUMMYFUNCTION("""COMPUTED_VALUE"""),1564.39)</f>
        <v>1564.39</v>
      </c>
      <c r="F836" s="3">
        <f>IFERROR(__xludf.DUMMYFUNCTION("""COMPUTED_VALUE"""),0.0)</f>
        <v>0</v>
      </c>
    </row>
    <row r="837">
      <c r="A837" s="7">
        <f>IFERROR(__xludf.DUMMYFUNCTION("""COMPUTED_VALUE"""),37944.645833333336)</f>
        <v>37944.64583</v>
      </c>
      <c r="B837" s="3">
        <f>IFERROR(__xludf.DUMMYFUNCTION("""COMPUTED_VALUE"""),1563.95)</f>
        <v>1563.95</v>
      </c>
      <c r="C837" s="3">
        <f>IFERROR(__xludf.DUMMYFUNCTION("""COMPUTED_VALUE"""),1564.01)</f>
        <v>1564.01</v>
      </c>
      <c r="D837" s="3">
        <f>IFERROR(__xludf.DUMMYFUNCTION("""COMPUTED_VALUE"""),1534.35)</f>
        <v>1534.35</v>
      </c>
      <c r="E837" s="3">
        <f>IFERROR(__xludf.DUMMYFUNCTION("""COMPUTED_VALUE"""),1540.62)</f>
        <v>1540.62</v>
      </c>
      <c r="F837" s="3">
        <f>IFERROR(__xludf.DUMMYFUNCTION("""COMPUTED_VALUE"""),0.0)</f>
        <v>0</v>
      </c>
    </row>
    <row r="838">
      <c r="A838" s="7">
        <f>IFERROR(__xludf.DUMMYFUNCTION("""COMPUTED_VALUE"""),37945.645833333336)</f>
        <v>37945.64583</v>
      </c>
      <c r="B838" s="3">
        <f>IFERROR(__xludf.DUMMYFUNCTION("""COMPUTED_VALUE"""),1542.87)</f>
        <v>1542.87</v>
      </c>
      <c r="C838" s="3">
        <f>IFERROR(__xludf.DUMMYFUNCTION("""COMPUTED_VALUE"""),1558.16)</f>
        <v>1558.16</v>
      </c>
      <c r="D838" s="3">
        <f>IFERROR(__xludf.DUMMYFUNCTION("""COMPUTED_VALUE"""),1517.89)</f>
        <v>1517.89</v>
      </c>
      <c r="E838" s="3">
        <f>IFERROR(__xludf.DUMMYFUNCTION("""COMPUTED_VALUE"""),1522.29)</f>
        <v>1522.29</v>
      </c>
      <c r="F838" s="3">
        <f>IFERROR(__xludf.DUMMYFUNCTION("""COMPUTED_VALUE"""),0.0)</f>
        <v>0</v>
      </c>
    </row>
    <row r="839">
      <c r="A839" s="7">
        <f>IFERROR(__xludf.DUMMYFUNCTION("""COMPUTED_VALUE"""),37946.645833333336)</f>
        <v>37946.64583</v>
      </c>
      <c r="B839" s="3">
        <f>IFERROR(__xludf.DUMMYFUNCTION("""COMPUTED_VALUE"""),1520.39)</f>
        <v>1520.39</v>
      </c>
      <c r="C839" s="3">
        <f>IFERROR(__xludf.DUMMYFUNCTION("""COMPUTED_VALUE"""),1546.98)</f>
        <v>1546.98</v>
      </c>
      <c r="D839" s="3">
        <f>IFERROR(__xludf.DUMMYFUNCTION("""COMPUTED_VALUE"""),1509.16)</f>
        <v>1509.16</v>
      </c>
      <c r="E839" s="3">
        <f>IFERROR(__xludf.DUMMYFUNCTION("""COMPUTED_VALUE"""),1540.69)</f>
        <v>1540.69</v>
      </c>
      <c r="F839" s="3">
        <f>IFERROR(__xludf.DUMMYFUNCTION("""COMPUTED_VALUE"""),0.0)</f>
        <v>0</v>
      </c>
    </row>
    <row r="840">
      <c r="A840" s="7">
        <f>IFERROR(__xludf.DUMMYFUNCTION("""COMPUTED_VALUE"""),37949.645833333336)</f>
        <v>37949.64583</v>
      </c>
      <c r="B840" s="3">
        <f>IFERROR(__xludf.DUMMYFUNCTION("""COMPUTED_VALUE"""),1541.36)</f>
        <v>1541.36</v>
      </c>
      <c r="C840" s="3">
        <f>IFERROR(__xludf.DUMMYFUNCTION("""COMPUTED_VALUE"""),1554.03)</f>
        <v>1554.03</v>
      </c>
      <c r="D840" s="3">
        <f>IFERROR(__xludf.DUMMYFUNCTION("""COMPUTED_VALUE"""),1536.48)</f>
        <v>1536.48</v>
      </c>
      <c r="E840" s="3">
        <f>IFERROR(__xludf.DUMMYFUNCTION("""COMPUTED_VALUE"""),1543.92)</f>
        <v>1543.92</v>
      </c>
      <c r="F840" s="3">
        <f>IFERROR(__xludf.DUMMYFUNCTION("""COMPUTED_VALUE"""),0.0)</f>
        <v>0</v>
      </c>
    </row>
    <row r="841">
      <c r="A841" s="7">
        <f>IFERROR(__xludf.DUMMYFUNCTION("""COMPUTED_VALUE"""),37950.645833333336)</f>
        <v>37950.64583</v>
      </c>
      <c r="B841" s="3">
        <f>IFERROR(__xludf.DUMMYFUNCTION("""COMPUTED_VALUE"""),1543.97)</f>
        <v>1543.97</v>
      </c>
      <c r="C841" s="3">
        <f>IFERROR(__xludf.DUMMYFUNCTION("""COMPUTED_VALUE"""),1572.03)</f>
        <v>1572.03</v>
      </c>
      <c r="D841" s="3">
        <f>IFERROR(__xludf.DUMMYFUNCTION("""COMPUTED_VALUE"""),1543.97)</f>
        <v>1543.97</v>
      </c>
      <c r="E841" s="3">
        <f>IFERROR(__xludf.DUMMYFUNCTION("""COMPUTED_VALUE"""),1568.67)</f>
        <v>1568.67</v>
      </c>
      <c r="F841" s="3">
        <f>IFERROR(__xludf.DUMMYFUNCTION("""COMPUTED_VALUE"""),0.0)</f>
        <v>0</v>
      </c>
    </row>
    <row r="842">
      <c r="A842" s="7">
        <f>IFERROR(__xludf.DUMMYFUNCTION("""COMPUTED_VALUE"""),37952.645833333336)</f>
        <v>37952.64583</v>
      </c>
      <c r="B842" s="3">
        <f>IFERROR(__xludf.DUMMYFUNCTION("""COMPUTED_VALUE"""),1568.87)</f>
        <v>1568.87</v>
      </c>
      <c r="C842" s="3">
        <f>IFERROR(__xludf.DUMMYFUNCTION("""COMPUTED_VALUE"""),1602.6)</f>
        <v>1602.6</v>
      </c>
      <c r="D842" s="3">
        <f>IFERROR(__xludf.DUMMYFUNCTION("""COMPUTED_VALUE"""),1568.68)</f>
        <v>1568.68</v>
      </c>
      <c r="E842" s="3">
        <f>IFERROR(__xludf.DUMMYFUNCTION("""COMPUTED_VALUE"""),1598.37)</f>
        <v>1598.37</v>
      </c>
      <c r="F842" s="3">
        <f>IFERROR(__xludf.DUMMYFUNCTION("""COMPUTED_VALUE"""),0.0)</f>
        <v>0</v>
      </c>
    </row>
    <row r="843">
      <c r="A843" s="7">
        <f>IFERROR(__xludf.DUMMYFUNCTION("""COMPUTED_VALUE"""),37953.645833333336)</f>
        <v>37953.64583</v>
      </c>
      <c r="B843" s="3">
        <f>IFERROR(__xludf.DUMMYFUNCTION("""COMPUTED_VALUE"""),1598.56)</f>
        <v>1598.56</v>
      </c>
      <c r="C843" s="3">
        <f>IFERROR(__xludf.DUMMYFUNCTION("""COMPUTED_VALUE"""),1618.94)</f>
        <v>1618.94</v>
      </c>
      <c r="D843" s="3">
        <f>IFERROR(__xludf.DUMMYFUNCTION("""COMPUTED_VALUE"""),1598.56)</f>
        <v>1598.56</v>
      </c>
      <c r="E843" s="3">
        <f>IFERROR(__xludf.DUMMYFUNCTION("""COMPUTED_VALUE"""),1615.26)</f>
        <v>1615.26</v>
      </c>
      <c r="F843" s="3">
        <f>IFERROR(__xludf.DUMMYFUNCTION("""COMPUTED_VALUE"""),0.0)</f>
        <v>0</v>
      </c>
    </row>
    <row r="844">
      <c r="A844" s="7">
        <f>IFERROR(__xludf.DUMMYFUNCTION("""COMPUTED_VALUE"""),37956.645833333336)</f>
        <v>37956.64583</v>
      </c>
      <c r="B844" s="3">
        <f>IFERROR(__xludf.DUMMYFUNCTION("""COMPUTED_VALUE"""),1615.84)</f>
        <v>1615.84</v>
      </c>
      <c r="C844" s="3">
        <f>IFERROR(__xludf.DUMMYFUNCTION("""COMPUTED_VALUE"""),1660.56)</f>
        <v>1660.56</v>
      </c>
      <c r="D844" s="3">
        <f>IFERROR(__xludf.DUMMYFUNCTION("""COMPUTED_VALUE"""),1615.72)</f>
        <v>1615.72</v>
      </c>
      <c r="E844" s="3">
        <f>IFERROR(__xludf.DUMMYFUNCTION("""COMPUTED_VALUE"""),1657.64)</f>
        <v>1657.64</v>
      </c>
      <c r="F844" s="3">
        <f>IFERROR(__xludf.DUMMYFUNCTION("""COMPUTED_VALUE"""),0.0)</f>
        <v>0</v>
      </c>
    </row>
    <row r="845">
      <c r="A845" s="7">
        <f>IFERROR(__xludf.DUMMYFUNCTION("""COMPUTED_VALUE"""),37957.645833333336)</f>
        <v>37957.64583</v>
      </c>
      <c r="B845" s="3">
        <f>IFERROR(__xludf.DUMMYFUNCTION("""COMPUTED_VALUE"""),1657.66)</f>
        <v>1657.66</v>
      </c>
      <c r="C845" s="3">
        <f>IFERROR(__xludf.DUMMYFUNCTION("""COMPUTED_VALUE"""),1671.87)</f>
        <v>1671.87</v>
      </c>
      <c r="D845" s="3">
        <f>IFERROR(__xludf.DUMMYFUNCTION("""COMPUTED_VALUE"""),1639.64)</f>
        <v>1639.64</v>
      </c>
      <c r="E845" s="3">
        <f>IFERROR(__xludf.DUMMYFUNCTION("""COMPUTED_VALUE"""),1658.49)</f>
        <v>1658.49</v>
      </c>
      <c r="F845" s="3">
        <f>IFERROR(__xludf.DUMMYFUNCTION("""COMPUTED_VALUE"""),0.0)</f>
        <v>0</v>
      </c>
    </row>
    <row r="846">
      <c r="A846" s="7">
        <f>IFERROR(__xludf.DUMMYFUNCTION("""COMPUTED_VALUE"""),37958.645833333336)</f>
        <v>37958.64583</v>
      </c>
      <c r="B846" s="3">
        <f>IFERROR(__xludf.DUMMYFUNCTION("""COMPUTED_VALUE"""),1660.72)</f>
        <v>1660.72</v>
      </c>
      <c r="C846" s="3">
        <f>IFERROR(__xludf.DUMMYFUNCTION("""COMPUTED_VALUE"""),1676.19)</f>
        <v>1676.19</v>
      </c>
      <c r="D846" s="3">
        <f>IFERROR(__xludf.DUMMYFUNCTION("""COMPUTED_VALUE"""),1655.9)</f>
        <v>1655.9</v>
      </c>
      <c r="E846" s="3">
        <f>IFERROR(__xludf.DUMMYFUNCTION("""COMPUTED_VALUE"""),1670.5)</f>
        <v>1670.5</v>
      </c>
      <c r="F846" s="3">
        <f>IFERROR(__xludf.DUMMYFUNCTION("""COMPUTED_VALUE"""),0.0)</f>
        <v>0</v>
      </c>
    </row>
    <row r="847">
      <c r="A847" s="7">
        <f>IFERROR(__xludf.DUMMYFUNCTION("""COMPUTED_VALUE"""),37959.645833333336)</f>
        <v>37959.64583</v>
      </c>
      <c r="B847" s="3">
        <f>IFERROR(__xludf.DUMMYFUNCTION("""COMPUTED_VALUE"""),1670.63)</f>
        <v>1670.63</v>
      </c>
      <c r="C847" s="3">
        <f>IFERROR(__xludf.DUMMYFUNCTION("""COMPUTED_VALUE"""),1683.75)</f>
        <v>1683.75</v>
      </c>
      <c r="D847" s="3">
        <f>IFERROR(__xludf.DUMMYFUNCTION("""COMPUTED_VALUE"""),1656.08)</f>
        <v>1656.08</v>
      </c>
      <c r="E847" s="3">
        <f>IFERROR(__xludf.DUMMYFUNCTION("""COMPUTED_VALUE"""),1675.2)</f>
        <v>1675.2</v>
      </c>
      <c r="F847" s="3">
        <f>IFERROR(__xludf.DUMMYFUNCTION("""COMPUTED_VALUE"""),0.0)</f>
        <v>0</v>
      </c>
    </row>
    <row r="848">
      <c r="A848" s="7">
        <f>IFERROR(__xludf.DUMMYFUNCTION("""COMPUTED_VALUE"""),37960.645833333336)</f>
        <v>37960.64583</v>
      </c>
      <c r="B848" s="3">
        <f>IFERROR(__xludf.DUMMYFUNCTION("""COMPUTED_VALUE"""),1675.49)</f>
        <v>1675.49</v>
      </c>
      <c r="C848" s="3">
        <f>IFERROR(__xludf.DUMMYFUNCTION("""COMPUTED_VALUE"""),1688.25)</f>
        <v>1688.25</v>
      </c>
      <c r="D848" s="3">
        <f>IFERROR(__xludf.DUMMYFUNCTION("""COMPUTED_VALUE"""),1642.04)</f>
        <v>1642.04</v>
      </c>
      <c r="E848" s="3">
        <f>IFERROR(__xludf.DUMMYFUNCTION("""COMPUTED_VALUE"""),1645.79)</f>
        <v>1645.79</v>
      </c>
      <c r="F848" s="3">
        <f>IFERROR(__xludf.DUMMYFUNCTION("""COMPUTED_VALUE"""),0.0)</f>
        <v>0</v>
      </c>
    </row>
    <row r="849">
      <c r="A849" s="7">
        <f>IFERROR(__xludf.DUMMYFUNCTION("""COMPUTED_VALUE"""),37963.645833333336)</f>
        <v>37963.64583</v>
      </c>
      <c r="B849" s="3">
        <f>IFERROR(__xludf.DUMMYFUNCTION("""COMPUTED_VALUE"""),1644.84)</f>
        <v>1644.84</v>
      </c>
      <c r="C849" s="3">
        <f>IFERROR(__xludf.DUMMYFUNCTION("""COMPUTED_VALUE"""),1654.34)</f>
        <v>1654.34</v>
      </c>
      <c r="D849" s="3">
        <f>IFERROR(__xludf.DUMMYFUNCTION("""COMPUTED_VALUE"""),1631.86)</f>
        <v>1631.86</v>
      </c>
      <c r="E849" s="3">
        <f>IFERROR(__xludf.DUMMYFUNCTION("""COMPUTED_VALUE"""),1646.23)</f>
        <v>1646.23</v>
      </c>
      <c r="F849" s="3">
        <f>IFERROR(__xludf.DUMMYFUNCTION("""COMPUTED_VALUE"""),0.0)</f>
        <v>0</v>
      </c>
    </row>
    <row r="850">
      <c r="A850" s="7">
        <f>IFERROR(__xludf.DUMMYFUNCTION("""COMPUTED_VALUE"""),37964.645833333336)</f>
        <v>37964.64583</v>
      </c>
      <c r="B850" s="3">
        <f>IFERROR(__xludf.DUMMYFUNCTION("""COMPUTED_VALUE"""),1646.4)</f>
        <v>1646.4</v>
      </c>
      <c r="C850" s="3">
        <f>IFERROR(__xludf.DUMMYFUNCTION("""COMPUTED_VALUE"""),1677.92)</f>
        <v>1677.92</v>
      </c>
      <c r="D850" s="3">
        <f>IFERROR(__xludf.DUMMYFUNCTION("""COMPUTED_VALUE"""),1646.4)</f>
        <v>1646.4</v>
      </c>
      <c r="E850" s="3">
        <f>IFERROR(__xludf.DUMMYFUNCTION("""COMPUTED_VALUE"""),1675.84)</f>
        <v>1675.84</v>
      </c>
      <c r="F850" s="3">
        <f>IFERROR(__xludf.DUMMYFUNCTION("""COMPUTED_VALUE"""),0.0)</f>
        <v>0</v>
      </c>
    </row>
    <row r="851">
      <c r="A851" s="7">
        <f>IFERROR(__xludf.DUMMYFUNCTION("""COMPUTED_VALUE"""),37965.645833333336)</f>
        <v>37965.64583</v>
      </c>
      <c r="B851" s="3">
        <f>IFERROR(__xludf.DUMMYFUNCTION("""COMPUTED_VALUE"""),1675.73)</f>
        <v>1675.73</v>
      </c>
      <c r="C851" s="3">
        <f>IFERROR(__xludf.DUMMYFUNCTION("""COMPUTED_VALUE"""),1697.28)</f>
        <v>1697.28</v>
      </c>
      <c r="D851" s="3">
        <f>IFERROR(__xludf.DUMMYFUNCTION("""COMPUTED_VALUE"""),1672.65)</f>
        <v>1672.65</v>
      </c>
      <c r="E851" s="3">
        <f>IFERROR(__xludf.DUMMYFUNCTION("""COMPUTED_VALUE"""),1686.92)</f>
        <v>1686.92</v>
      </c>
      <c r="F851" s="3">
        <f>IFERROR(__xludf.DUMMYFUNCTION("""COMPUTED_VALUE"""),0.0)</f>
        <v>0</v>
      </c>
    </row>
    <row r="852">
      <c r="A852" s="7">
        <f>IFERROR(__xludf.DUMMYFUNCTION("""COMPUTED_VALUE"""),37966.645833333336)</f>
        <v>37966.64583</v>
      </c>
      <c r="B852" s="3">
        <f>IFERROR(__xludf.DUMMYFUNCTION("""COMPUTED_VALUE"""),1688.37)</f>
        <v>1688.37</v>
      </c>
      <c r="C852" s="3">
        <f>IFERROR(__xludf.DUMMYFUNCTION("""COMPUTED_VALUE"""),1701.72)</f>
        <v>1701.72</v>
      </c>
      <c r="D852" s="3">
        <f>IFERROR(__xludf.DUMMYFUNCTION("""COMPUTED_VALUE"""),1678.36)</f>
        <v>1678.36</v>
      </c>
      <c r="E852" s="3">
        <f>IFERROR(__xludf.DUMMYFUNCTION("""COMPUTED_VALUE"""),1695.39)</f>
        <v>1695.39</v>
      </c>
      <c r="F852" s="3">
        <f>IFERROR(__xludf.DUMMYFUNCTION("""COMPUTED_VALUE"""),0.0)</f>
        <v>0</v>
      </c>
    </row>
    <row r="853">
      <c r="A853" s="7">
        <f>IFERROR(__xludf.DUMMYFUNCTION("""COMPUTED_VALUE"""),37967.645833333336)</f>
        <v>37967.64583</v>
      </c>
      <c r="B853" s="3">
        <f>IFERROR(__xludf.DUMMYFUNCTION("""COMPUTED_VALUE"""),1695.82)</f>
        <v>1695.82</v>
      </c>
      <c r="C853" s="3">
        <f>IFERROR(__xludf.DUMMYFUNCTION("""COMPUTED_VALUE"""),1705.96)</f>
        <v>1705.96</v>
      </c>
      <c r="D853" s="3">
        <f>IFERROR(__xludf.DUMMYFUNCTION("""COMPUTED_VALUE"""),1686.45)</f>
        <v>1686.45</v>
      </c>
      <c r="E853" s="3">
        <f>IFERROR(__xludf.DUMMYFUNCTION("""COMPUTED_VALUE"""),1698.88)</f>
        <v>1698.88</v>
      </c>
      <c r="F853" s="3">
        <f>IFERROR(__xludf.DUMMYFUNCTION("""COMPUTED_VALUE"""),0.0)</f>
        <v>0</v>
      </c>
    </row>
    <row r="854">
      <c r="A854" s="7">
        <f>IFERROR(__xludf.DUMMYFUNCTION("""COMPUTED_VALUE"""),37970.645833333336)</f>
        <v>37970.64583</v>
      </c>
      <c r="B854" s="3">
        <f>IFERROR(__xludf.DUMMYFUNCTION("""COMPUTED_VALUE"""),1699.69)</f>
        <v>1699.69</v>
      </c>
      <c r="C854" s="3">
        <f>IFERROR(__xludf.DUMMYFUNCTION("""COMPUTED_VALUE"""),1727.99)</f>
        <v>1727.99</v>
      </c>
      <c r="D854" s="3">
        <f>IFERROR(__xludf.DUMMYFUNCTION("""COMPUTED_VALUE"""),1699.69)</f>
        <v>1699.69</v>
      </c>
      <c r="E854" s="3">
        <f>IFERROR(__xludf.DUMMYFUNCTION("""COMPUTED_VALUE"""),1723.93)</f>
        <v>1723.93</v>
      </c>
      <c r="F854" s="3">
        <f>IFERROR(__xludf.DUMMYFUNCTION("""COMPUTED_VALUE"""),0.0)</f>
        <v>0</v>
      </c>
    </row>
    <row r="855">
      <c r="A855" s="7">
        <f>IFERROR(__xludf.DUMMYFUNCTION("""COMPUTED_VALUE"""),37971.645833333336)</f>
        <v>37971.64583</v>
      </c>
      <c r="B855" s="3">
        <f>IFERROR(__xludf.DUMMYFUNCTION("""COMPUTED_VALUE"""),1723.9)</f>
        <v>1723.9</v>
      </c>
      <c r="C855" s="3">
        <f>IFERROR(__xludf.DUMMYFUNCTION("""COMPUTED_VALUE"""),1740.3)</f>
        <v>1740.3</v>
      </c>
      <c r="D855" s="3">
        <f>IFERROR(__xludf.DUMMYFUNCTION("""COMPUTED_VALUE"""),1711.3)</f>
        <v>1711.3</v>
      </c>
      <c r="E855" s="3">
        <f>IFERROR(__xludf.DUMMYFUNCTION("""COMPUTED_VALUE"""),1736.26)</f>
        <v>1736.26</v>
      </c>
      <c r="F855" s="3">
        <f>IFERROR(__xludf.DUMMYFUNCTION("""COMPUTED_VALUE"""),0.0)</f>
        <v>0</v>
      </c>
    </row>
    <row r="856">
      <c r="A856" s="7">
        <f>IFERROR(__xludf.DUMMYFUNCTION("""COMPUTED_VALUE"""),37972.645833333336)</f>
        <v>37972.64583</v>
      </c>
      <c r="B856" s="3">
        <f>IFERROR(__xludf.DUMMYFUNCTION("""COMPUTED_VALUE"""),1736.36)</f>
        <v>1736.36</v>
      </c>
      <c r="C856" s="3">
        <f>IFERROR(__xludf.DUMMYFUNCTION("""COMPUTED_VALUE"""),1746.22)</f>
        <v>1746.22</v>
      </c>
      <c r="D856" s="3">
        <f>IFERROR(__xludf.DUMMYFUNCTION("""COMPUTED_VALUE"""),1725.39)</f>
        <v>1725.39</v>
      </c>
      <c r="E856" s="3">
        <f>IFERROR(__xludf.DUMMYFUNCTION("""COMPUTED_VALUE"""),1733.23)</f>
        <v>1733.23</v>
      </c>
      <c r="F856" s="3">
        <f>IFERROR(__xludf.DUMMYFUNCTION("""COMPUTED_VALUE"""),0.0)</f>
        <v>0</v>
      </c>
    </row>
    <row r="857">
      <c r="A857" s="7">
        <f>IFERROR(__xludf.DUMMYFUNCTION("""COMPUTED_VALUE"""),37973.645833333336)</f>
        <v>37973.64583</v>
      </c>
      <c r="B857" s="3">
        <f>IFERROR(__xludf.DUMMYFUNCTION("""COMPUTED_VALUE"""),1733.18)</f>
        <v>1733.18</v>
      </c>
      <c r="C857" s="3">
        <f>IFERROR(__xludf.DUMMYFUNCTION("""COMPUTED_VALUE"""),1759.02)</f>
        <v>1759.02</v>
      </c>
      <c r="D857" s="3">
        <f>IFERROR(__xludf.DUMMYFUNCTION("""COMPUTED_VALUE"""),1725.86)</f>
        <v>1725.86</v>
      </c>
      <c r="E857" s="3">
        <f>IFERROR(__xludf.DUMMYFUNCTION("""COMPUTED_VALUE"""),1756.11)</f>
        <v>1756.11</v>
      </c>
      <c r="F857" s="3">
        <f>IFERROR(__xludf.DUMMYFUNCTION("""COMPUTED_VALUE"""),0.0)</f>
        <v>0</v>
      </c>
    </row>
    <row r="858">
      <c r="A858" s="7">
        <f>IFERROR(__xludf.DUMMYFUNCTION("""COMPUTED_VALUE"""),37974.645833333336)</f>
        <v>37974.64583</v>
      </c>
      <c r="B858" s="3">
        <f>IFERROR(__xludf.DUMMYFUNCTION("""COMPUTED_VALUE"""),1756.98)</f>
        <v>1756.98</v>
      </c>
      <c r="C858" s="3">
        <f>IFERROR(__xludf.DUMMYFUNCTION("""COMPUTED_VALUE"""),1783.69)</f>
        <v>1783.69</v>
      </c>
      <c r="D858" s="3">
        <f>IFERROR(__xludf.DUMMYFUNCTION("""COMPUTED_VALUE"""),1755.4)</f>
        <v>1755.4</v>
      </c>
      <c r="E858" s="3">
        <f>IFERROR(__xludf.DUMMYFUNCTION("""COMPUTED_VALUE"""),1778.55)</f>
        <v>1778.55</v>
      </c>
      <c r="F858" s="3">
        <f>IFERROR(__xludf.DUMMYFUNCTION("""COMPUTED_VALUE"""),0.0)</f>
        <v>0</v>
      </c>
    </row>
    <row r="859">
      <c r="A859" s="7">
        <f>IFERROR(__xludf.DUMMYFUNCTION("""COMPUTED_VALUE"""),37977.645833333336)</f>
        <v>37977.64583</v>
      </c>
      <c r="B859" s="3">
        <f>IFERROR(__xludf.DUMMYFUNCTION("""COMPUTED_VALUE"""),1778.87)</f>
        <v>1778.87</v>
      </c>
      <c r="C859" s="3">
        <f>IFERROR(__xludf.DUMMYFUNCTION("""COMPUTED_VALUE"""),1794.31)</f>
        <v>1794.31</v>
      </c>
      <c r="D859" s="3">
        <f>IFERROR(__xludf.DUMMYFUNCTION("""COMPUTED_VALUE"""),1778.39)</f>
        <v>1778.39</v>
      </c>
      <c r="E859" s="3">
        <f>IFERROR(__xludf.DUMMYFUNCTION("""COMPUTED_VALUE"""),1789.14)</f>
        <v>1789.14</v>
      </c>
      <c r="F859" s="3">
        <f>IFERROR(__xludf.DUMMYFUNCTION("""COMPUTED_VALUE"""),0.0)</f>
        <v>0</v>
      </c>
    </row>
    <row r="860">
      <c r="A860" s="7">
        <f>IFERROR(__xludf.DUMMYFUNCTION("""COMPUTED_VALUE"""),37978.645833333336)</f>
        <v>37978.64583</v>
      </c>
      <c r="B860" s="3">
        <f>IFERROR(__xludf.DUMMYFUNCTION("""COMPUTED_VALUE"""),1789.12)</f>
        <v>1789.12</v>
      </c>
      <c r="C860" s="3">
        <f>IFERROR(__xludf.DUMMYFUNCTION("""COMPUTED_VALUE"""),1800.91)</f>
        <v>1800.91</v>
      </c>
      <c r="D860" s="3">
        <f>IFERROR(__xludf.DUMMYFUNCTION("""COMPUTED_VALUE"""),1751.03)</f>
        <v>1751.03</v>
      </c>
      <c r="E860" s="3">
        <f>IFERROR(__xludf.DUMMYFUNCTION("""COMPUTED_VALUE"""),1780.32)</f>
        <v>1780.32</v>
      </c>
      <c r="F860" s="3">
        <f>IFERROR(__xludf.DUMMYFUNCTION("""COMPUTED_VALUE"""),0.0)</f>
        <v>0</v>
      </c>
    </row>
    <row r="861">
      <c r="A861" s="7">
        <f>IFERROR(__xludf.DUMMYFUNCTION("""COMPUTED_VALUE"""),37979.645833333336)</f>
        <v>37979.64583</v>
      </c>
      <c r="B861" s="3">
        <f>IFERROR(__xludf.DUMMYFUNCTION("""COMPUTED_VALUE"""),1788.45)</f>
        <v>1788.45</v>
      </c>
      <c r="C861" s="3">
        <f>IFERROR(__xludf.DUMMYFUNCTION("""COMPUTED_VALUE"""),1815.59)</f>
        <v>1815.59</v>
      </c>
      <c r="D861" s="3">
        <f>IFERROR(__xludf.DUMMYFUNCTION("""COMPUTED_VALUE"""),1780.29)</f>
        <v>1780.29</v>
      </c>
      <c r="E861" s="3">
        <f>IFERROR(__xludf.DUMMYFUNCTION("""COMPUTED_VALUE"""),1808.7)</f>
        <v>1808.7</v>
      </c>
      <c r="F861" s="3">
        <f>IFERROR(__xludf.DUMMYFUNCTION("""COMPUTED_VALUE"""),0.0)</f>
        <v>0</v>
      </c>
    </row>
    <row r="862">
      <c r="A862" s="7">
        <f>IFERROR(__xludf.DUMMYFUNCTION("""COMPUTED_VALUE"""),37981.645833333336)</f>
        <v>37981.64583</v>
      </c>
      <c r="B862" s="3">
        <f>IFERROR(__xludf.DUMMYFUNCTION("""COMPUTED_VALUE"""),1804.7)</f>
        <v>1804.7</v>
      </c>
      <c r="C862" s="3">
        <f>IFERROR(__xludf.DUMMYFUNCTION("""COMPUTED_VALUE"""),1840.37)</f>
        <v>1840.37</v>
      </c>
      <c r="D862" s="3">
        <f>IFERROR(__xludf.DUMMYFUNCTION("""COMPUTED_VALUE"""),1804.7)</f>
        <v>1804.7</v>
      </c>
      <c r="E862" s="3">
        <f>IFERROR(__xludf.DUMMYFUNCTION("""COMPUTED_VALUE"""),1837.06)</f>
        <v>1837.06</v>
      </c>
      <c r="F862" s="3">
        <f>IFERROR(__xludf.DUMMYFUNCTION("""COMPUTED_VALUE"""),0.0)</f>
        <v>0</v>
      </c>
    </row>
    <row r="863">
      <c r="A863" s="7">
        <f>IFERROR(__xludf.DUMMYFUNCTION("""COMPUTED_VALUE"""),37984.645833333336)</f>
        <v>37984.64583</v>
      </c>
      <c r="B863" s="3">
        <f>IFERROR(__xludf.DUMMYFUNCTION("""COMPUTED_VALUE"""),1838.03)</f>
        <v>1838.03</v>
      </c>
      <c r="C863" s="3">
        <f>IFERROR(__xludf.DUMMYFUNCTION("""COMPUTED_VALUE"""),1875.99)</f>
        <v>1875.99</v>
      </c>
      <c r="D863" s="3">
        <f>IFERROR(__xludf.DUMMYFUNCTION("""COMPUTED_VALUE"""),1837.67)</f>
        <v>1837.67</v>
      </c>
      <c r="E863" s="3">
        <f>IFERROR(__xludf.DUMMYFUNCTION("""COMPUTED_VALUE"""),1874.03)</f>
        <v>1874.03</v>
      </c>
      <c r="F863" s="3">
        <f>IFERROR(__xludf.DUMMYFUNCTION("""COMPUTED_VALUE"""),0.0)</f>
        <v>0</v>
      </c>
    </row>
    <row r="864">
      <c r="A864" s="7">
        <f>IFERROR(__xludf.DUMMYFUNCTION("""COMPUTED_VALUE"""),37985.645833333336)</f>
        <v>37985.64583</v>
      </c>
      <c r="B864" s="3">
        <f>IFERROR(__xludf.DUMMYFUNCTION("""COMPUTED_VALUE"""),1878.91)</f>
        <v>1878.91</v>
      </c>
      <c r="C864" s="3">
        <f>IFERROR(__xludf.DUMMYFUNCTION("""COMPUTED_VALUE"""),1914.42)</f>
        <v>1914.42</v>
      </c>
      <c r="D864" s="3">
        <f>IFERROR(__xludf.DUMMYFUNCTION("""COMPUTED_VALUE"""),1858.53)</f>
        <v>1858.53</v>
      </c>
      <c r="E864" s="3">
        <f>IFERROR(__xludf.DUMMYFUNCTION("""COMPUTED_VALUE"""),1873.24)</f>
        <v>1873.24</v>
      </c>
      <c r="F864" s="3">
        <f>IFERROR(__xludf.DUMMYFUNCTION("""COMPUTED_VALUE"""),0.0)</f>
        <v>0</v>
      </c>
    </row>
    <row r="865">
      <c r="A865" s="7">
        <f>IFERROR(__xludf.DUMMYFUNCTION("""COMPUTED_VALUE"""),37986.645833333336)</f>
        <v>37986.64583</v>
      </c>
      <c r="B865" s="3">
        <f>IFERROR(__xludf.DUMMYFUNCTION("""COMPUTED_VALUE"""),1868.92)</f>
        <v>1868.92</v>
      </c>
      <c r="C865" s="3">
        <f>IFERROR(__xludf.DUMMYFUNCTION("""COMPUTED_VALUE"""),1895.64)</f>
        <v>1895.64</v>
      </c>
      <c r="D865" s="3">
        <f>IFERROR(__xludf.DUMMYFUNCTION("""COMPUTED_VALUE"""),1852.48)</f>
        <v>1852.48</v>
      </c>
      <c r="E865" s="3">
        <f>IFERROR(__xludf.DUMMYFUNCTION("""COMPUTED_VALUE"""),1879.77)</f>
        <v>1879.77</v>
      </c>
      <c r="F865" s="3">
        <f>IFERROR(__xludf.DUMMYFUNCTION("""COMPUTED_VALUE"""),0.0)</f>
        <v>0</v>
      </c>
    </row>
    <row r="866">
      <c r="A866" s="7">
        <f>IFERROR(__xludf.DUMMYFUNCTION("""COMPUTED_VALUE"""),37987.645833333336)</f>
        <v>37987.64583</v>
      </c>
      <c r="B866" s="3">
        <f>IFERROR(__xludf.DUMMYFUNCTION("""COMPUTED_VALUE"""),1880.33)</f>
        <v>1880.33</v>
      </c>
      <c r="C866" s="3">
        <f>IFERROR(__xludf.DUMMYFUNCTION("""COMPUTED_VALUE"""),1917.03)</f>
        <v>1917.03</v>
      </c>
      <c r="D866" s="3">
        <f>IFERROR(__xludf.DUMMYFUNCTION("""COMPUTED_VALUE"""),1880.33)</f>
        <v>1880.33</v>
      </c>
      <c r="E866" s="3">
        <f>IFERROR(__xludf.DUMMYFUNCTION("""COMPUTED_VALUE"""),1912.25)</f>
        <v>1912.25</v>
      </c>
      <c r="F866" s="3">
        <f>IFERROR(__xludf.DUMMYFUNCTION("""COMPUTED_VALUE"""),0.0)</f>
        <v>0</v>
      </c>
    </row>
    <row r="867">
      <c r="A867" s="7">
        <f>IFERROR(__xludf.DUMMYFUNCTION("""COMPUTED_VALUE"""),37988.645833333336)</f>
        <v>37988.64583</v>
      </c>
      <c r="B867" s="3">
        <f>IFERROR(__xludf.DUMMYFUNCTION("""COMPUTED_VALUE"""),1912.25)</f>
        <v>1912.25</v>
      </c>
      <c r="C867" s="3">
        <f>IFERROR(__xludf.DUMMYFUNCTION("""COMPUTED_VALUE"""),1951.69)</f>
        <v>1951.69</v>
      </c>
      <c r="D867" s="3">
        <f>IFERROR(__xludf.DUMMYFUNCTION("""COMPUTED_VALUE"""),1911.03)</f>
        <v>1911.03</v>
      </c>
      <c r="E867" s="3">
        <f>IFERROR(__xludf.DUMMYFUNCTION("""COMPUTED_VALUE"""),1946.05)</f>
        <v>1946.05</v>
      </c>
      <c r="F867" s="3">
        <f>IFERROR(__xludf.DUMMYFUNCTION("""COMPUTED_VALUE"""),0.0)</f>
        <v>0</v>
      </c>
    </row>
    <row r="868">
      <c r="A868" s="7">
        <f>IFERROR(__xludf.DUMMYFUNCTION("""COMPUTED_VALUE"""),37991.645833333336)</f>
        <v>37991.64583</v>
      </c>
      <c r="B868" s="3">
        <f>IFERROR(__xludf.DUMMYFUNCTION("""COMPUTED_VALUE"""),1946.3)</f>
        <v>1946.3</v>
      </c>
      <c r="C868" s="3">
        <f>IFERROR(__xludf.DUMMYFUNCTION("""COMPUTED_VALUE"""),1969.2)</f>
        <v>1969.2</v>
      </c>
      <c r="D868" s="3">
        <f>IFERROR(__xludf.DUMMYFUNCTION("""COMPUTED_VALUE"""),1930.77)</f>
        <v>1930.77</v>
      </c>
      <c r="E868" s="3">
        <f>IFERROR(__xludf.DUMMYFUNCTION("""COMPUTED_VALUE"""),1955.0)</f>
        <v>1955</v>
      </c>
      <c r="F868" s="3">
        <f>IFERROR(__xludf.DUMMYFUNCTION("""COMPUTED_VALUE"""),0.0)</f>
        <v>0</v>
      </c>
    </row>
    <row r="869">
      <c r="A869" s="7">
        <f>IFERROR(__xludf.DUMMYFUNCTION("""COMPUTED_VALUE"""),37992.645833333336)</f>
        <v>37992.64583</v>
      </c>
      <c r="B869" s="3">
        <f>IFERROR(__xludf.DUMMYFUNCTION("""COMPUTED_VALUE"""),1955.08)</f>
        <v>1955.08</v>
      </c>
      <c r="C869" s="3">
        <f>IFERROR(__xludf.DUMMYFUNCTION("""COMPUTED_VALUE"""),1979.06)</f>
        <v>1979.06</v>
      </c>
      <c r="D869" s="3">
        <f>IFERROR(__xludf.DUMMYFUNCTION("""COMPUTED_VALUE"""),1908.74)</f>
        <v>1908.74</v>
      </c>
      <c r="E869" s="3">
        <f>IFERROR(__xludf.DUMMYFUNCTION("""COMPUTED_VALUE"""),1926.72)</f>
        <v>1926.72</v>
      </c>
      <c r="F869" s="3">
        <f>IFERROR(__xludf.DUMMYFUNCTION("""COMPUTED_VALUE"""),0.0)</f>
        <v>0</v>
      </c>
    </row>
    <row r="870">
      <c r="A870" s="7">
        <f>IFERROR(__xludf.DUMMYFUNCTION("""COMPUTED_VALUE"""),37993.645833333336)</f>
        <v>37993.64583</v>
      </c>
      <c r="B870" s="3">
        <f>IFERROR(__xludf.DUMMYFUNCTION("""COMPUTED_VALUE"""),1927.96)</f>
        <v>1927.96</v>
      </c>
      <c r="C870" s="3">
        <f>IFERROR(__xludf.DUMMYFUNCTION("""COMPUTED_VALUE"""),1930.93)</f>
        <v>1930.93</v>
      </c>
      <c r="D870" s="3">
        <f>IFERROR(__xludf.DUMMYFUNCTION("""COMPUTED_VALUE"""),1888.1)</f>
        <v>1888.1</v>
      </c>
      <c r="E870" s="3">
        <f>IFERROR(__xludf.DUMMYFUNCTION("""COMPUTED_VALUE"""),1916.74)</f>
        <v>1916.74</v>
      </c>
      <c r="F870" s="3">
        <f>IFERROR(__xludf.DUMMYFUNCTION("""COMPUTED_VALUE"""),0.0)</f>
        <v>0</v>
      </c>
    </row>
    <row r="871">
      <c r="A871" s="7">
        <f>IFERROR(__xludf.DUMMYFUNCTION("""COMPUTED_VALUE"""),37994.645833333336)</f>
        <v>37994.64583</v>
      </c>
      <c r="B871" s="3">
        <f>IFERROR(__xludf.DUMMYFUNCTION("""COMPUTED_VALUE"""),1918.11)</f>
        <v>1918.11</v>
      </c>
      <c r="C871" s="3">
        <f>IFERROR(__xludf.DUMMYFUNCTION("""COMPUTED_VALUE"""),1973.43)</f>
        <v>1973.43</v>
      </c>
      <c r="D871" s="3">
        <f>IFERROR(__xludf.DUMMYFUNCTION("""COMPUTED_VALUE"""),1918.11)</f>
        <v>1918.11</v>
      </c>
      <c r="E871" s="3">
        <f>IFERROR(__xludf.DUMMYFUNCTION("""COMPUTED_VALUE"""),1968.56)</f>
        <v>1968.56</v>
      </c>
      <c r="F871" s="3">
        <f>IFERROR(__xludf.DUMMYFUNCTION("""COMPUTED_VALUE"""),0.0)</f>
        <v>0</v>
      </c>
    </row>
    <row r="872">
      <c r="A872" s="7">
        <f>IFERROR(__xludf.DUMMYFUNCTION("""COMPUTED_VALUE"""),37995.645833333336)</f>
        <v>37995.64583</v>
      </c>
      <c r="B872" s="3">
        <f>IFERROR(__xludf.DUMMYFUNCTION("""COMPUTED_VALUE"""),1968.99)</f>
        <v>1968.99</v>
      </c>
      <c r="C872" s="3">
        <f>IFERROR(__xludf.DUMMYFUNCTION("""COMPUTED_VALUE"""),2014.64)</f>
        <v>2014.64</v>
      </c>
      <c r="D872" s="3">
        <f>IFERROR(__xludf.DUMMYFUNCTION("""COMPUTED_VALUE"""),1957.47)</f>
        <v>1957.47</v>
      </c>
      <c r="E872" s="3">
        <f>IFERROR(__xludf.DUMMYFUNCTION("""COMPUTED_VALUE"""),1971.92)</f>
        <v>1971.92</v>
      </c>
      <c r="F872" s="3">
        <f>IFERROR(__xludf.DUMMYFUNCTION("""COMPUTED_VALUE"""),0.0)</f>
        <v>0</v>
      </c>
    </row>
    <row r="873">
      <c r="A873" s="7">
        <f>IFERROR(__xludf.DUMMYFUNCTION("""COMPUTED_VALUE"""),37998.645833333336)</f>
        <v>37998.64583</v>
      </c>
      <c r="B873" s="3">
        <f>IFERROR(__xludf.DUMMYFUNCTION("""COMPUTED_VALUE"""),1971.98)</f>
        <v>1971.98</v>
      </c>
      <c r="C873" s="3">
        <f>IFERROR(__xludf.DUMMYFUNCTION("""COMPUTED_VALUE"""),1980.53)</f>
        <v>1980.53</v>
      </c>
      <c r="D873" s="3">
        <f>IFERROR(__xludf.DUMMYFUNCTION("""COMPUTED_VALUE"""),1936.75)</f>
        <v>1936.75</v>
      </c>
      <c r="E873" s="3">
        <f>IFERROR(__xludf.DUMMYFUNCTION("""COMPUTED_VALUE"""),1945.61)</f>
        <v>1945.61</v>
      </c>
      <c r="F873" s="3">
        <f>IFERROR(__xludf.DUMMYFUNCTION("""COMPUTED_VALUE"""),0.0)</f>
        <v>0</v>
      </c>
    </row>
    <row r="874">
      <c r="A874" s="7">
        <f>IFERROR(__xludf.DUMMYFUNCTION("""COMPUTED_VALUE"""),37999.645833333336)</f>
        <v>37999.64583</v>
      </c>
      <c r="B874" s="3">
        <f>IFERROR(__xludf.DUMMYFUNCTION("""COMPUTED_VALUE"""),1944.7)</f>
        <v>1944.7</v>
      </c>
      <c r="C874" s="3">
        <f>IFERROR(__xludf.DUMMYFUNCTION("""COMPUTED_VALUE"""),1967.84)</f>
        <v>1967.84</v>
      </c>
      <c r="D874" s="3">
        <f>IFERROR(__xludf.DUMMYFUNCTION("""COMPUTED_VALUE"""),1926.11)</f>
        <v>1926.11</v>
      </c>
      <c r="E874" s="3">
        <f>IFERROR(__xludf.DUMMYFUNCTION("""COMPUTED_VALUE"""),1963.61)</f>
        <v>1963.61</v>
      </c>
      <c r="F874" s="3">
        <f>IFERROR(__xludf.DUMMYFUNCTION("""COMPUTED_VALUE"""),0.0)</f>
        <v>0</v>
      </c>
    </row>
    <row r="875">
      <c r="A875" s="7">
        <f>IFERROR(__xludf.DUMMYFUNCTION("""COMPUTED_VALUE"""),38000.645833333336)</f>
        <v>38000.64583</v>
      </c>
      <c r="B875" s="3">
        <f>IFERROR(__xludf.DUMMYFUNCTION("""COMPUTED_VALUE"""),1987.39)</f>
        <v>1987.39</v>
      </c>
      <c r="C875" s="3">
        <f>IFERROR(__xludf.DUMMYFUNCTION("""COMPUTED_VALUE"""),1995.22)</f>
        <v>1995.22</v>
      </c>
      <c r="D875" s="3">
        <f>IFERROR(__xludf.DUMMYFUNCTION("""COMPUTED_VALUE"""),1970.1)</f>
        <v>1970.1</v>
      </c>
      <c r="E875" s="3">
        <f>IFERROR(__xludf.DUMMYFUNCTION("""COMPUTED_VALUE"""),1982.17)</f>
        <v>1982.17</v>
      </c>
      <c r="F875" s="3">
        <f>IFERROR(__xludf.DUMMYFUNCTION("""COMPUTED_VALUE"""),0.0)</f>
        <v>0</v>
      </c>
    </row>
    <row r="876">
      <c r="A876" s="7">
        <f>IFERROR(__xludf.DUMMYFUNCTION("""COMPUTED_VALUE"""),38001.645833333336)</f>
        <v>38001.64583</v>
      </c>
      <c r="B876" s="3">
        <f>IFERROR(__xludf.DUMMYFUNCTION("""COMPUTED_VALUE"""),1983.18)</f>
        <v>1983.18</v>
      </c>
      <c r="C876" s="3">
        <f>IFERROR(__xludf.DUMMYFUNCTION("""COMPUTED_VALUE"""),2000.3)</f>
        <v>2000.3</v>
      </c>
      <c r="D876" s="3">
        <f>IFERROR(__xludf.DUMMYFUNCTION("""COMPUTED_VALUE"""),1933.25)</f>
        <v>1933.25</v>
      </c>
      <c r="E876" s="3">
        <f>IFERROR(__xludf.DUMMYFUNCTION("""COMPUTED_VALUE"""),1944.44)</f>
        <v>1944.44</v>
      </c>
      <c r="F876" s="3">
        <f>IFERROR(__xludf.DUMMYFUNCTION("""COMPUTED_VALUE"""),0.0)</f>
        <v>0</v>
      </c>
    </row>
    <row r="877">
      <c r="A877" s="7">
        <f>IFERROR(__xludf.DUMMYFUNCTION("""COMPUTED_VALUE"""),38002.645833333336)</f>
        <v>38002.64583</v>
      </c>
      <c r="B877" s="3">
        <f>IFERROR(__xludf.DUMMYFUNCTION("""COMPUTED_VALUE"""),1944.17)</f>
        <v>1944.17</v>
      </c>
      <c r="C877" s="3">
        <f>IFERROR(__xludf.DUMMYFUNCTION("""COMPUTED_VALUE"""),1953.04)</f>
        <v>1953.04</v>
      </c>
      <c r="D877" s="3">
        <f>IFERROR(__xludf.DUMMYFUNCTION("""COMPUTED_VALUE"""),1887.1)</f>
        <v>1887.1</v>
      </c>
      <c r="E877" s="3">
        <f>IFERROR(__xludf.DUMMYFUNCTION("""COMPUTED_VALUE"""),1900.65)</f>
        <v>1900.65</v>
      </c>
      <c r="F877" s="3">
        <f>IFERROR(__xludf.DUMMYFUNCTION("""COMPUTED_VALUE"""),0.0)</f>
        <v>0</v>
      </c>
    </row>
    <row r="878">
      <c r="A878" s="7">
        <f>IFERROR(__xludf.DUMMYFUNCTION("""COMPUTED_VALUE"""),38005.645833333336)</f>
        <v>38005.64583</v>
      </c>
      <c r="B878" s="3">
        <f>IFERROR(__xludf.DUMMYFUNCTION("""COMPUTED_VALUE"""),1901.92)</f>
        <v>1901.92</v>
      </c>
      <c r="C878" s="3">
        <f>IFERROR(__xludf.DUMMYFUNCTION("""COMPUTED_VALUE"""),1943.09)</f>
        <v>1943.09</v>
      </c>
      <c r="D878" s="3">
        <f>IFERROR(__xludf.DUMMYFUNCTION("""COMPUTED_VALUE"""),1874.95)</f>
        <v>1874.95</v>
      </c>
      <c r="E878" s="3">
        <f>IFERROR(__xludf.DUMMYFUNCTION("""COMPUTED_VALUE"""),1935.35)</f>
        <v>1935.35</v>
      </c>
      <c r="F878" s="3">
        <f>IFERROR(__xludf.DUMMYFUNCTION("""COMPUTED_VALUE"""),0.0)</f>
        <v>0</v>
      </c>
    </row>
    <row r="879">
      <c r="A879" s="7">
        <f>IFERROR(__xludf.DUMMYFUNCTION("""COMPUTED_VALUE"""),38006.645833333336)</f>
        <v>38006.64583</v>
      </c>
      <c r="B879" s="3">
        <f>IFERROR(__xludf.DUMMYFUNCTION("""COMPUTED_VALUE"""),1928.79)</f>
        <v>1928.79</v>
      </c>
      <c r="C879" s="3">
        <f>IFERROR(__xludf.DUMMYFUNCTION("""COMPUTED_VALUE"""),1957.67)</f>
        <v>1957.67</v>
      </c>
      <c r="D879" s="3">
        <f>IFERROR(__xludf.DUMMYFUNCTION("""COMPUTED_VALUE"""),1876.84)</f>
        <v>1876.84</v>
      </c>
      <c r="E879" s="3">
        <f>IFERROR(__xludf.DUMMYFUNCTION("""COMPUTED_VALUE"""),1893.25)</f>
        <v>1893.25</v>
      </c>
      <c r="F879" s="3">
        <f>IFERROR(__xludf.DUMMYFUNCTION("""COMPUTED_VALUE"""),0.0)</f>
        <v>0</v>
      </c>
    </row>
    <row r="880">
      <c r="A880" s="7">
        <f>IFERROR(__xludf.DUMMYFUNCTION("""COMPUTED_VALUE"""),38007.645833333336)</f>
        <v>38007.64583</v>
      </c>
      <c r="B880" s="3">
        <f>IFERROR(__xludf.DUMMYFUNCTION("""COMPUTED_VALUE"""),1895.46)</f>
        <v>1895.46</v>
      </c>
      <c r="C880" s="3">
        <f>IFERROR(__xludf.DUMMYFUNCTION("""COMPUTED_VALUE"""),1899.54)</f>
        <v>1899.54</v>
      </c>
      <c r="D880" s="3">
        <f>IFERROR(__xludf.DUMMYFUNCTION("""COMPUTED_VALUE"""),1811.33)</f>
        <v>1811.33</v>
      </c>
      <c r="E880" s="3">
        <f>IFERROR(__xludf.DUMMYFUNCTION("""COMPUTED_VALUE"""),1824.62)</f>
        <v>1824.62</v>
      </c>
      <c r="F880" s="3">
        <f>IFERROR(__xludf.DUMMYFUNCTION("""COMPUTED_VALUE"""),0.0)</f>
        <v>0</v>
      </c>
    </row>
    <row r="881">
      <c r="A881" s="7">
        <f>IFERROR(__xludf.DUMMYFUNCTION("""COMPUTED_VALUE"""),38008.645833333336)</f>
        <v>38008.64583</v>
      </c>
      <c r="B881" s="3">
        <f>IFERROR(__xludf.DUMMYFUNCTION("""COMPUTED_VALUE"""),1824.7)</f>
        <v>1824.7</v>
      </c>
      <c r="C881" s="3">
        <f>IFERROR(__xludf.DUMMYFUNCTION("""COMPUTED_VALUE"""),1854.57)</f>
        <v>1854.57</v>
      </c>
      <c r="D881" s="3">
        <f>IFERROR(__xludf.DUMMYFUNCTION("""COMPUTED_VALUE"""),1756.24)</f>
        <v>1756.24</v>
      </c>
      <c r="E881" s="3">
        <f>IFERROR(__xludf.DUMMYFUNCTION("""COMPUTED_VALUE"""),1770.49)</f>
        <v>1770.49</v>
      </c>
      <c r="F881" s="3">
        <f>IFERROR(__xludf.DUMMYFUNCTION("""COMPUTED_VALUE"""),0.0)</f>
        <v>0</v>
      </c>
    </row>
    <row r="882">
      <c r="A882" s="7">
        <f>IFERROR(__xludf.DUMMYFUNCTION("""COMPUTED_VALUE"""),38009.645833333336)</f>
        <v>38009.64583</v>
      </c>
      <c r="B882" s="3">
        <f>IFERROR(__xludf.DUMMYFUNCTION("""COMPUTED_VALUE"""),1771.08)</f>
        <v>1771.08</v>
      </c>
      <c r="C882" s="3">
        <f>IFERROR(__xludf.DUMMYFUNCTION("""COMPUTED_VALUE"""),1858.49)</f>
        <v>1858.49</v>
      </c>
      <c r="D882" s="3">
        <f>IFERROR(__xludf.DUMMYFUNCTION("""COMPUTED_VALUE"""),1771.08)</f>
        <v>1771.08</v>
      </c>
      <c r="E882" s="3">
        <f>IFERROR(__xludf.DUMMYFUNCTION("""COMPUTED_VALUE"""),1847.56)</f>
        <v>1847.56</v>
      </c>
      <c r="F882" s="3">
        <f>IFERROR(__xludf.DUMMYFUNCTION("""COMPUTED_VALUE"""),0.0)</f>
        <v>0</v>
      </c>
    </row>
    <row r="883">
      <c r="A883" s="7">
        <f>IFERROR(__xludf.DUMMYFUNCTION("""COMPUTED_VALUE"""),38013.645833333336)</f>
        <v>38013.64583</v>
      </c>
      <c r="B883" s="3">
        <f>IFERROR(__xludf.DUMMYFUNCTION("""COMPUTED_VALUE"""),1847.91)</f>
        <v>1847.91</v>
      </c>
      <c r="C883" s="3">
        <f>IFERROR(__xludf.DUMMYFUNCTION("""COMPUTED_VALUE"""),1911.32)</f>
        <v>1911.32</v>
      </c>
      <c r="D883" s="3">
        <f>IFERROR(__xludf.DUMMYFUNCTION("""COMPUTED_VALUE"""),1844.67)</f>
        <v>1844.67</v>
      </c>
      <c r="E883" s="3">
        <f>IFERROR(__xludf.DUMMYFUNCTION("""COMPUTED_VALUE"""),1904.7)</f>
        <v>1904.7</v>
      </c>
      <c r="F883" s="3">
        <f>IFERROR(__xludf.DUMMYFUNCTION("""COMPUTED_VALUE"""),0.0)</f>
        <v>0</v>
      </c>
    </row>
    <row r="884">
      <c r="A884" s="7">
        <f>IFERROR(__xludf.DUMMYFUNCTION("""COMPUTED_VALUE"""),38014.645833333336)</f>
        <v>38014.64583</v>
      </c>
      <c r="B884" s="3">
        <f>IFERROR(__xludf.DUMMYFUNCTION("""COMPUTED_VALUE"""),1903.9)</f>
        <v>1903.9</v>
      </c>
      <c r="C884" s="3">
        <f>IFERROR(__xludf.DUMMYFUNCTION("""COMPUTED_VALUE"""),1918.45)</f>
        <v>1918.45</v>
      </c>
      <c r="D884" s="3">
        <f>IFERROR(__xludf.DUMMYFUNCTION("""COMPUTED_VALUE"""),1846.33)</f>
        <v>1846.33</v>
      </c>
      <c r="E884" s="3">
        <f>IFERROR(__xludf.DUMMYFUNCTION("""COMPUTED_VALUE"""),1863.08)</f>
        <v>1863.08</v>
      </c>
      <c r="F884" s="3">
        <f>IFERROR(__xludf.DUMMYFUNCTION("""COMPUTED_VALUE"""),0.0)</f>
        <v>0</v>
      </c>
    </row>
    <row r="885">
      <c r="A885" s="7">
        <f>IFERROR(__xludf.DUMMYFUNCTION("""COMPUTED_VALUE"""),38015.645833333336)</f>
        <v>38015.64583</v>
      </c>
      <c r="B885" s="3">
        <f>IFERROR(__xludf.DUMMYFUNCTION("""COMPUTED_VALUE"""),1862.98)</f>
        <v>1862.98</v>
      </c>
      <c r="C885" s="3">
        <f>IFERROR(__xludf.DUMMYFUNCTION("""COMPUTED_VALUE"""),1883.12)</f>
        <v>1883.12</v>
      </c>
      <c r="D885" s="3">
        <f>IFERROR(__xludf.DUMMYFUNCTION("""COMPUTED_VALUE"""),1827.26)</f>
        <v>1827.26</v>
      </c>
      <c r="E885" s="3">
        <f>IFERROR(__xludf.DUMMYFUNCTION("""COMPUTED_VALUE"""),1843.59)</f>
        <v>1843.59</v>
      </c>
      <c r="F885" s="3">
        <f>IFERROR(__xludf.DUMMYFUNCTION("""COMPUTED_VALUE"""),0.0)</f>
        <v>0</v>
      </c>
    </row>
    <row r="886">
      <c r="A886" s="7">
        <f>IFERROR(__xludf.DUMMYFUNCTION("""COMPUTED_VALUE"""),38016.645833333336)</f>
        <v>38016.64583</v>
      </c>
      <c r="B886" s="3">
        <f>IFERROR(__xludf.DUMMYFUNCTION("""COMPUTED_VALUE"""),1843.71)</f>
        <v>1843.71</v>
      </c>
      <c r="C886" s="3">
        <f>IFERROR(__xludf.DUMMYFUNCTION("""COMPUTED_VALUE"""),1860.4)</f>
        <v>1860.4</v>
      </c>
      <c r="D886" s="3">
        <f>IFERROR(__xludf.DUMMYFUNCTION("""COMPUTED_VALUE"""),1804.31)</f>
        <v>1804.31</v>
      </c>
      <c r="E886" s="3">
        <f>IFERROR(__xludf.DUMMYFUNCTION("""COMPUTED_VALUE"""),1809.77)</f>
        <v>1809.77</v>
      </c>
      <c r="F886" s="3">
        <f>IFERROR(__xludf.DUMMYFUNCTION("""COMPUTED_VALUE"""),0.0)</f>
        <v>0</v>
      </c>
    </row>
    <row r="887">
      <c r="A887" s="7">
        <f>IFERROR(__xludf.DUMMYFUNCTION("""COMPUTED_VALUE"""),38020.645833333336)</f>
        <v>38020.64583</v>
      </c>
      <c r="B887" s="3">
        <f>IFERROR(__xludf.DUMMYFUNCTION("""COMPUTED_VALUE"""),1809.32)</f>
        <v>1809.32</v>
      </c>
      <c r="C887" s="3">
        <f>IFERROR(__xludf.DUMMYFUNCTION("""COMPUTED_VALUE"""),1815.97)</f>
        <v>1815.97</v>
      </c>
      <c r="D887" s="3">
        <f>IFERROR(__xludf.DUMMYFUNCTION("""COMPUTED_VALUE"""),1755.63)</f>
        <v>1755.63</v>
      </c>
      <c r="E887" s="3">
        <f>IFERROR(__xludf.DUMMYFUNCTION("""COMPUTED_VALUE"""),1769.01)</f>
        <v>1769.01</v>
      </c>
      <c r="F887" s="3">
        <f>IFERROR(__xludf.DUMMYFUNCTION("""COMPUTED_VALUE"""),0.0)</f>
        <v>0</v>
      </c>
    </row>
    <row r="888">
      <c r="A888" s="7">
        <f>IFERROR(__xludf.DUMMYFUNCTION("""COMPUTED_VALUE"""),38021.645833333336)</f>
        <v>38021.64583</v>
      </c>
      <c r="B888" s="3">
        <f>IFERROR(__xludf.DUMMYFUNCTION("""COMPUTED_VALUE"""),1769.08)</f>
        <v>1769.08</v>
      </c>
      <c r="C888" s="3">
        <f>IFERROR(__xludf.DUMMYFUNCTION("""COMPUTED_VALUE"""),1829.67)</f>
        <v>1829.67</v>
      </c>
      <c r="D888" s="3">
        <f>IFERROR(__xludf.DUMMYFUNCTION("""COMPUTED_VALUE"""),1761.77)</f>
        <v>1761.77</v>
      </c>
      <c r="E888" s="3">
        <f>IFERROR(__xludf.DUMMYFUNCTION("""COMPUTED_VALUE"""),1822.2)</f>
        <v>1822.2</v>
      </c>
      <c r="F888" s="3">
        <f>IFERROR(__xludf.DUMMYFUNCTION("""COMPUTED_VALUE"""),0.0)</f>
        <v>0</v>
      </c>
    </row>
    <row r="889">
      <c r="A889" s="7">
        <f>IFERROR(__xludf.DUMMYFUNCTION("""COMPUTED_VALUE"""),38022.645833333336)</f>
        <v>38022.64583</v>
      </c>
      <c r="B889" s="3">
        <f>IFERROR(__xludf.DUMMYFUNCTION("""COMPUTED_VALUE"""),1823.48)</f>
        <v>1823.48</v>
      </c>
      <c r="C889" s="3">
        <f>IFERROR(__xludf.DUMMYFUNCTION("""COMPUTED_VALUE"""),1846.77)</f>
        <v>1846.77</v>
      </c>
      <c r="D889" s="3">
        <f>IFERROR(__xludf.DUMMYFUNCTION("""COMPUTED_VALUE"""),1787.13)</f>
        <v>1787.13</v>
      </c>
      <c r="E889" s="3">
        <f>IFERROR(__xludf.DUMMYFUNCTION("""COMPUTED_VALUE"""),1804.5)</f>
        <v>1804.5</v>
      </c>
      <c r="F889" s="3">
        <f>IFERROR(__xludf.DUMMYFUNCTION("""COMPUTED_VALUE"""),0.0)</f>
        <v>0</v>
      </c>
    </row>
    <row r="890">
      <c r="A890" s="7">
        <f>IFERROR(__xludf.DUMMYFUNCTION("""COMPUTED_VALUE"""),38023.645833333336)</f>
        <v>38023.64583</v>
      </c>
      <c r="B890" s="3">
        <f>IFERROR(__xludf.DUMMYFUNCTION("""COMPUTED_VALUE"""),1804.33)</f>
        <v>1804.33</v>
      </c>
      <c r="C890" s="3">
        <f>IFERROR(__xludf.DUMMYFUNCTION("""COMPUTED_VALUE"""),1837.95)</f>
        <v>1837.95</v>
      </c>
      <c r="D890" s="3">
        <f>IFERROR(__xludf.DUMMYFUNCTION("""COMPUTED_VALUE"""),1797.97)</f>
        <v>1797.97</v>
      </c>
      <c r="E890" s="3">
        <f>IFERROR(__xludf.DUMMYFUNCTION("""COMPUTED_VALUE"""),1833.63)</f>
        <v>1833.63</v>
      </c>
      <c r="F890" s="3">
        <f>IFERROR(__xludf.DUMMYFUNCTION("""COMPUTED_VALUE"""),0.0)</f>
        <v>0</v>
      </c>
    </row>
    <row r="891">
      <c r="A891" s="7">
        <f>IFERROR(__xludf.DUMMYFUNCTION("""COMPUTED_VALUE"""),38026.645833333336)</f>
        <v>38026.64583</v>
      </c>
      <c r="B891" s="3">
        <f>IFERROR(__xludf.DUMMYFUNCTION("""COMPUTED_VALUE"""),1834.91)</f>
        <v>1834.91</v>
      </c>
      <c r="C891" s="3">
        <f>IFERROR(__xludf.DUMMYFUNCTION("""COMPUTED_VALUE"""),1885.22)</f>
        <v>1885.22</v>
      </c>
      <c r="D891" s="3">
        <f>IFERROR(__xludf.DUMMYFUNCTION("""COMPUTED_VALUE"""),1833.04)</f>
        <v>1833.04</v>
      </c>
      <c r="E891" s="3">
        <f>IFERROR(__xludf.DUMMYFUNCTION("""COMPUTED_VALUE"""),1880.68)</f>
        <v>1880.68</v>
      </c>
      <c r="F891" s="3">
        <f>IFERROR(__xludf.DUMMYFUNCTION("""COMPUTED_VALUE"""),0.0)</f>
        <v>0</v>
      </c>
    </row>
    <row r="892">
      <c r="A892" s="7">
        <f>IFERROR(__xludf.DUMMYFUNCTION("""COMPUTED_VALUE"""),38027.645833333336)</f>
        <v>38027.64583</v>
      </c>
      <c r="B892" s="3">
        <f>IFERROR(__xludf.DUMMYFUNCTION("""COMPUTED_VALUE"""),1880.83)</f>
        <v>1880.83</v>
      </c>
      <c r="C892" s="3">
        <f>IFERROR(__xludf.DUMMYFUNCTION("""COMPUTED_VALUE"""),1896.99)</f>
        <v>1896.99</v>
      </c>
      <c r="D892" s="3">
        <f>IFERROR(__xludf.DUMMYFUNCTION("""COMPUTED_VALUE"""),1861.65)</f>
        <v>1861.65</v>
      </c>
      <c r="E892" s="3">
        <f>IFERROR(__xludf.DUMMYFUNCTION("""COMPUTED_VALUE"""),1880.76)</f>
        <v>1880.76</v>
      </c>
      <c r="F892" s="3">
        <f>IFERROR(__xludf.DUMMYFUNCTION("""COMPUTED_VALUE"""),0.0)</f>
        <v>0</v>
      </c>
    </row>
    <row r="893">
      <c r="A893" s="7">
        <f>IFERROR(__xludf.DUMMYFUNCTION("""COMPUTED_VALUE"""),38028.645833333336)</f>
        <v>38028.64583</v>
      </c>
      <c r="B893" s="3">
        <f>IFERROR(__xludf.DUMMYFUNCTION("""COMPUTED_VALUE"""),1891.81)</f>
        <v>1891.81</v>
      </c>
      <c r="C893" s="3">
        <f>IFERROR(__xludf.DUMMYFUNCTION("""COMPUTED_VALUE"""),1894.8)</f>
        <v>1894.8</v>
      </c>
      <c r="D893" s="3">
        <f>IFERROR(__xludf.DUMMYFUNCTION("""COMPUTED_VALUE"""),1874.49)</f>
        <v>1874.49</v>
      </c>
      <c r="E893" s="3">
        <f>IFERROR(__xludf.DUMMYFUNCTION("""COMPUTED_VALUE"""),1891.48)</f>
        <v>1891.48</v>
      </c>
      <c r="F893" s="3">
        <f>IFERROR(__xludf.DUMMYFUNCTION("""COMPUTED_VALUE"""),0.0)</f>
        <v>0</v>
      </c>
    </row>
    <row r="894">
      <c r="A894" s="7">
        <f>IFERROR(__xludf.DUMMYFUNCTION("""COMPUTED_VALUE"""),38029.645833333336)</f>
        <v>38029.64583</v>
      </c>
      <c r="B894" s="3">
        <f>IFERROR(__xludf.DUMMYFUNCTION("""COMPUTED_VALUE"""),1892.22)</f>
        <v>1892.22</v>
      </c>
      <c r="C894" s="3">
        <f>IFERROR(__xludf.DUMMYFUNCTION("""COMPUTED_VALUE"""),1906.09)</f>
        <v>1906.09</v>
      </c>
      <c r="D894" s="3">
        <f>IFERROR(__xludf.DUMMYFUNCTION("""COMPUTED_VALUE"""),1869.27)</f>
        <v>1869.27</v>
      </c>
      <c r="E894" s="3">
        <f>IFERROR(__xludf.DUMMYFUNCTION("""COMPUTED_VALUE"""),1885.3)</f>
        <v>1885.3</v>
      </c>
      <c r="F894" s="3">
        <f>IFERROR(__xludf.DUMMYFUNCTION("""COMPUTED_VALUE"""),0.0)</f>
        <v>0</v>
      </c>
    </row>
    <row r="895">
      <c r="A895" s="7">
        <f>IFERROR(__xludf.DUMMYFUNCTION("""COMPUTED_VALUE"""),38030.645833333336)</f>
        <v>38030.64583</v>
      </c>
      <c r="B895" s="3">
        <f>IFERROR(__xludf.DUMMYFUNCTION("""COMPUTED_VALUE"""),1875.61)</f>
        <v>1875.61</v>
      </c>
      <c r="C895" s="3">
        <f>IFERROR(__xludf.DUMMYFUNCTION("""COMPUTED_VALUE"""),1916.22)</f>
        <v>1916.22</v>
      </c>
      <c r="D895" s="3">
        <f>IFERROR(__xludf.DUMMYFUNCTION("""COMPUTED_VALUE"""),1873.26)</f>
        <v>1873.26</v>
      </c>
      <c r="E895" s="3">
        <f>IFERROR(__xludf.DUMMYFUNCTION("""COMPUTED_VALUE"""),1913.62)</f>
        <v>1913.62</v>
      </c>
      <c r="F895" s="3">
        <f>IFERROR(__xludf.DUMMYFUNCTION("""COMPUTED_VALUE"""),0.0)</f>
        <v>0</v>
      </c>
    </row>
    <row r="896">
      <c r="A896" s="7">
        <f>IFERROR(__xludf.DUMMYFUNCTION("""COMPUTED_VALUE"""),38033.645833333336)</f>
        <v>38033.64583</v>
      </c>
      <c r="B896" s="3">
        <f>IFERROR(__xludf.DUMMYFUNCTION("""COMPUTED_VALUE"""),1914.47)</f>
        <v>1914.47</v>
      </c>
      <c r="C896" s="3">
        <f>IFERROR(__xludf.DUMMYFUNCTION("""COMPUTED_VALUE"""),1929.48)</f>
        <v>1929.48</v>
      </c>
      <c r="D896" s="3">
        <f>IFERROR(__xludf.DUMMYFUNCTION("""COMPUTED_VALUE"""),1909.47)</f>
        <v>1909.47</v>
      </c>
      <c r="E896" s="3">
        <f>IFERROR(__xludf.DUMMYFUNCTION("""COMPUTED_VALUE"""),1913.54)</f>
        <v>1913.54</v>
      </c>
      <c r="F896" s="3">
        <f>IFERROR(__xludf.DUMMYFUNCTION("""COMPUTED_VALUE"""),0.0)</f>
        <v>0</v>
      </c>
    </row>
    <row r="897">
      <c r="A897" s="7">
        <f>IFERROR(__xludf.DUMMYFUNCTION("""COMPUTED_VALUE"""),38034.645833333336)</f>
        <v>38034.64583</v>
      </c>
      <c r="B897" s="3">
        <f>IFERROR(__xludf.DUMMYFUNCTION("""COMPUTED_VALUE"""),1913.53)</f>
        <v>1913.53</v>
      </c>
      <c r="C897" s="3">
        <f>IFERROR(__xludf.DUMMYFUNCTION("""COMPUTED_VALUE"""),1926.15)</f>
        <v>1926.15</v>
      </c>
      <c r="D897" s="3">
        <f>IFERROR(__xludf.DUMMYFUNCTION("""COMPUTED_VALUE"""),1905.52)</f>
        <v>1905.52</v>
      </c>
      <c r="E897" s="3">
        <f>IFERROR(__xludf.DUMMYFUNCTION("""COMPUTED_VALUE"""),1920.08)</f>
        <v>1920.08</v>
      </c>
      <c r="F897" s="3">
        <f>IFERROR(__xludf.DUMMYFUNCTION("""COMPUTED_VALUE"""),0.0)</f>
        <v>0</v>
      </c>
    </row>
    <row r="898">
      <c r="A898" s="7">
        <f>IFERROR(__xludf.DUMMYFUNCTION("""COMPUTED_VALUE"""),38035.645833333336)</f>
        <v>38035.64583</v>
      </c>
      <c r="B898" s="3">
        <f>IFERROR(__xludf.DUMMYFUNCTION("""COMPUTED_VALUE"""),1920.01)</f>
        <v>1920.01</v>
      </c>
      <c r="C898" s="3">
        <f>IFERROR(__xludf.DUMMYFUNCTION("""COMPUTED_VALUE"""),1935.8)</f>
        <v>1935.8</v>
      </c>
      <c r="D898" s="3">
        <f>IFERROR(__xludf.DUMMYFUNCTION("""COMPUTED_VALUE"""),1912.59)</f>
        <v>1912.59</v>
      </c>
      <c r="E898" s="3">
        <f>IFERROR(__xludf.DUMMYFUNCTION("""COMPUTED_VALUE"""),1916.45)</f>
        <v>1916.45</v>
      </c>
      <c r="F898" s="3">
        <f>IFERROR(__xludf.DUMMYFUNCTION("""COMPUTED_VALUE"""),0.0)</f>
        <v>0</v>
      </c>
    </row>
    <row r="899">
      <c r="A899" s="7">
        <f>IFERROR(__xludf.DUMMYFUNCTION("""COMPUTED_VALUE"""),38036.645833333336)</f>
        <v>38036.64583</v>
      </c>
      <c r="B899" s="3">
        <f>IFERROR(__xludf.DUMMYFUNCTION("""COMPUTED_VALUE"""),1916.67)</f>
        <v>1916.67</v>
      </c>
      <c r="C899" s="3">
        <f>IFERROR(__xludf.DUMMYFUNCTION("""COMPUTED_VALUE"""),1919.7)</f>
        <v>1919.7</v>
      </c>
      <c r="D899" s="3">
        <f>IFERROR(__xludf.DUMMYFUNCTION("""COMPUTED_VALUE"""),1851.78)</f>
        <v>1851.78</v>
      </c>
      <c r="E899" s="3">
        <f>IFERROR(__xludf.DUMMYFUNCTION("""COMPUTED_VALUE"""),1858.29)</f>
        <v>1858.29</v>
      </c>
      <c r="F899" s="3">
        <f>IFERROR(__xludf.DUMMYFUNCTION("""COMPUTED_VALUE"""),0.0)</f>
        <v>0</v>
      </c>
    </row>
    <row r="900">
      <c r="A900" s="7">
        <f>IFERROR(__xludf.DUMMYFUNCTION("""COMPUTED_VALUE"""),38037.645833333336)</f>
        <v>38037.64583</v>
      </c>
      <c r="B900" s="3">
        <f>IFERROR(__xludf.DUMMYFUNCTION("""COMPUTED_VALUE"""),1858.27)</f>
        <v>1858.27</v>
      </c>
      <c r="C900" s="3">
        <f>IFERROR(__xludf.DUMMYFUNCTION("""COMPUTED_VALUE"""),1872.83)</f>
        <v>1872.83</v>
      </c>
      <c r="D900" s="3">
        <f>IFERROR(__xludf.DUMMYFUNCTION("""COMPUTED_VALUE"""),1831.14)</f>
        <v>1831.14</v>
      </c>
      <c r="E900" s="3">
        <f>IFERROR(__xludf.DUMMYFUNCTION("""COMPUTED_VALUE"""),1852.63)</f>
        <v>1852.63</v>
      </c>
      <c r="F900" s="3">
        <f>IFERROR(__xludf.DUMMYFUNCTION("""COMPUTED_VALUE"""),0.0)</f>
        <v>0</v>
      </c>
    </row>
    <row r="901">
      <c r="A901" s="7">
        <f>IFERROR(__xludf.DUMMYFUNCTION("""COMPUTED_VALUE"""),38040.645833333336)</f>
        <v>38040.64583</v>
      </c>
      <c r="B901" s="3">
        <f>IFERROR(__xludf.DUMMYFUNCTION("""COMPUTED_VALUE"""),1853.02)</f>
        <v>1853.02</v>
      </c>
      <c r="C901" s="3">
        <f>IFERROR(__xludf.DUMMYFUNCTION("""COMPUTED_VALUE"""),1867.25)</f>
        <v>1867.25</v>
      </c>
      <c r="D901" s="3">
        <f>IFERROR(__xludf.DUMMYFUNCTION("""COMPUTED_VALUE"""),1800.22)</f>
        <v>1800.22</v>
      </c>
      <c r="E901" s="3">
        <f>IFERROR(__xludf.DUMMYFUNCTION("""COMPUTED_VALUE"""),1808.18)</f>
        <v>1808.18</v>
      </c>
      <c r="F901" s="3">
        <f>IFERROR(__xludf.DUMMYFUNCTION("""COMPUTED_VALUE"""),0.0)</f>
        <v>0</v>
      </c>
    </row>
    <row r="902">
      <c r="A902" s="7">
        <f>IFERROR(__xludf.DUMMYFUNCTION("""COMPUTED_VALUE"""),38041.645833333336)</f>
        <v>38041.64583</v>
      </c>
      <c r="B902" s="3">
        <f>IFERROR(__xludf.DUMMYFUNCTION("""COMPUTED_VALUE"""),1808.38)</f>
        <v>1808.38</v>
      </c>
      <c r="C902" s="3">
        <f>IFERROR(__xludf.DUMMYFUNCTION("""COMPUTED_VALUE"""),1826.83)</f>
        <v>1826.83</v>
      </c>
      <c r="D902" s="3">
        <f>IFERROR(__xludf.DUMMYFUNCTION("""COMPUTED_VALUE"""),1780.36)</f>
        <v>1780.36</v>
      </c>
      <c r="E902" s="3">
        <f>IFERROR(__xludf.DUMMYFUNCTION("""COMPUTED_VALUE"""),1821.35)</f>
        <v>1821.35</v>
      </c>
      <c r="F902" s="3">
        <f>IFERROR(__xludf.DUMMYFUNCTION("""COMPUTED_VALUE"""),0.0)</f>
        <v>0</v>
      </c>
    </row>
    <row r="903">
      <c r="A903" s="7">
        <f>IFERROR(__xludf.DUMMYFUNCTION("""COMPUTED_VALUE"""),38042.645833333336)</f>
        <v>38042.64583</v>
      </c>
      <c r="B903" s="3">
        <f>IFERROR(__xludf.DUMMYFUNCTION("""COMPUTED_VALUE"""),1833.63)</f>
        <v>1833.63</v>
      </c>
      <c r="C903" s="3">
        <f>IFERROR(__xludf.DUMMYFUNCTION("""COMPUTED_VALUE"""),1834.08)</f>
        <v>1834.08</v>
      </c>
      <c r="D903" s="3">
        <f>IFERROR(__xludf.DUMMYFUNCTION("""COMPUTED_VALUE"""),1779.01)</f>
        <v>1779.01</v>
      </c>
      <c r="E903" s="3">
        <f>IFERROR(__xludf.DUMMYFUNCTION("""COMPUTED_VALUE"""),1786.8)</f>
        <v>1786.8</v>
      </c>
      <c r="F903" s="3">
        <f>IFERROR(__xludf.DUMMYFUNCTION("""COMPUTED_VALUE"""),0.0)</f>
        <v>0</v>
      </c>
    </row>
    <row r="904">
      <c r="A904" s="7">
        <f>IFERROR(__xludf.DUMMYFUNCTION("""COMPUTED_VALUE"""),38043.645833333336)</f>
        <v>38043.64583</v>
      </c>
      <c r="B904" s="3">
        <f>IFERROR(__xludf.DUMMYFUNCTION("""COMPUTED_VALUE"""),1787.47)</f>
        <v>1787.47</v>
      </c>
      <c r="C904" s="3">
        <f>IFERROR(__xludf.DUMMYFUNCTION("""COMPUTED_VALUE"""),1818.58)</f>
        <v>1818.58</v>
      </c>
      <c r="D904" s="3">
        <f>IFERROR(__xludf.DUMMYFUNCTION("""COMPUTED_VALUE"""),1760.55)</f>
        <v>1760.55</v>
      </c>
      <c r="E904" s="3">
        <f>IFERROR(__xludf.DUMMYFUNCTION("""COMPUTED_VALUE"""),1765.78)</f>
        <v>1765.78</v>
      </c>
      <c r="F904" s="3">
        <f>IFERROR(__xludf.DUMMYFUNCTION("""COMPUTED_VALUE"""),0.0)</f>
        <v>0</v>
      </c>
    </row>
    <row r="905">
      <c r="A905" s="7">
        <f>IFERROR(__xludf.DUMMYFUNCTION("""COMPUTED_VALUE"""),38044.645833333336)</f>
        <v>38044.64583</v>
      </c>
      <c r="B905" s="3">
        <f>IFERROR(__xludf.DUMMYFUNCTION("""COMPUTED_VALUE"""),1765.9)</f>
        <v>1765.9</v>
      </c>
      <c r="C905" s="3">
        <f>IFERROR(__xludf.DUMMYFUNCTION("""COMPUTED_VALUE"""),1807.44)</f>
        <v>1807.44</v>
      </c>
      <c r="D905" s="3">
        <f>IFERROR(__xludf.DUMMYFUNCTION("""COMPUTED_VALUE"""),1763.97)</f>
        <v>1763.97</v>
      </c>
      <c r="E905" s="3">
        <f>IFERROR(__xludf.DUMMYFUNCTION("""COMPUTED_VALUE"""),1800.3)</f>
        <v>1800.3</v>
      </c>
      <c r="F905" s="3">
        <f>IFERROR(__xludf.DUMMYFUNCTION("""COMPUTED_VALUE"""),0.0)</f>
        <v>0</v>
      </c>
    </row>
    <row r="906">
      <c r="A906" s="7">
        <f>IFERROR(__xludf.DUMMYFUNCTION("""COMPUTED_VALUE"""),38047.645833333336)</f>
        <v>38047.64583</v>
      </c>
      <c r="B906" s="3">
        <f>IFERROR(__xludf.DUMMYFUNCTION("""COMPUTED_VALUE"""),1798.37)</f>
        <v>1798.37</v>
      </c>
      <c r="C906" s="3">
        <f>IFERROR(__xludf.DUMMYFUNCTION("""COMPUTED_VALUE"""),1856.45)</f>
        <v>1856.45</v>
      </c>
      <c r="D906" s="3">
        <f>IFERROR(__xludf.DUMMYFUNCTION("""COMPUTED_VALUE"""),1795.33)</f>
        <v>1795.33</v>
      </c>
      <c r="E906" s="3">
        <f>IFERROR(__xludf.DUMMYFUNCTION("""COMPUTED_VALUE"""),1852.69)</f>
        <v>1852.69</v>
      </c>
      <c r="F906" s="3">
        <f>IFERROR(__xludf.DUMMYFUNCTION("""COMPUTED_VALUE"""),0.0)</f>
        <v>0</v>
      </c>
    </row>
    <row r="907">
      <c r="A907" s="7">
        <f>IFERROR(__xludf.DUMMYFUNCTION("""COMPUTED_VALUE"""),38049.645833333336)</f>
        <v>38049.64583</v>
      </c>
      <c r="B907" s="3">
        <f>IFERROR(__xludf.DUMMYFUNCTION("""COMPUTED_VALUE"""),1852.45)</f>
        <v>1852.45</v>
      </c>
      <c r="C907" s="3">
        <f>IFERROR(__xludf.DUMMYFUNCTION("""COMPUTED_VALUE"""),1868.25)</f>
        <v>1868.25</v>
      </c>
      <c r="D907" s="3">
        <f>IFERROR(__xludf.DUMMYFUNCTION("""COMPUTED_VALUE"""),1842.43)</f>
        <v>1842.43</v>
      </c>
      <c r="E907" s="3">
        <f>IFERROR(__xludf.DUMMYFUNCTION("""COMPUTED_VALUE"""),1860.38)</f>
        <v>1860.38</v>
      </c>
      <c r="F907" s="3">
        <f>IFERROR(__xludf.DUMMYFUNCTION("""COMPUTED_VALUE"""),0.0)</f>
        <v>0</v>
      </c>
    </row>
    <row r="908">
      <c r="A908" s="7">
        <f>IFERROR(__xludf.DUMMYFUNCTION("""COMPUTED_VALUE"""),38050.645833333336)</f>
        <v>38050.64583</v>
      </c>
      <c r="B908" s="3">
        <f>IFERROR(__xludf.DUMMYFUNCTION("""COMPUTED_VALUE"""),1859.31)</f>
        <v>1859.31</v>
      </c>
      <c r="C908" s="3">
        <f>IFERROR(__xludf.DUMMYFUNCTION("""COMPUTED_VALUE"""),1867.93)</f>
        <v>1867.93</v>
      </c>
      <c r="D908" s="3">
        <f>IFERROR(__xludf.DUMMYFUNCTION("""COMPUTED_VALUE"""),1831.18)</f>
        <v>1831.18</v>
      </c>
      <c r="E908" s="3">
        <f>IFERROR(__xludf.DUMMYFUNCTION("""COMPUTED_VALUE"""),1843.83)</f>
        <v>1843.83</v>
      </c>
      <c r="F908" s="3">
        <f>IFERROR(__xludf.DUMMYFUNCTION("""COMPUTED_VALUE"""),0.0)</f>
        <v>0</v>
      </c>
    </row>
    <row r="909">
      <c r="A909" s="7">
        <f>IFERROR(__xludf.DUMMYFUNCTION("""COMPUTED_VALUE"""),38051.645833333336)</f>
        <v>38051.64583</v>
      </c>
      <c r="B909" s="3">
        <f>IFERROR(__xludf.DUMMYFUNCTION("""COMPUTED_VALUE"""),1843.89)</f>
        <v>1843.89</v>
      </c>
      <c r="C909" s="3">
        <f>IFERROR(__xludf.DUMMYFUNCTION("""COMPUTED_VALUE"""),1871.1)</f>
        <v>1871.1</v>
      </c>
      <c r="D909" s="3">
        <f>IFERROR(__xludf.DUMMYFUNCTION("""COMPUTED_VALUE"""),1843.89)</f>
        <v>1843.89</v>
      </c>
      <c r="E909" s="3">
        <f>IFERROR(__xludf.DUMMYFUNCTION("""COMPUTED_VALUE"""),1867.68)</f>
        <v>1867.68</v>
      </c>
      <c r="F909" s="3">
        <f>IFERROR(__xludf.DUMMYFUNCTION("""COMPUTED_VALUE"""),0.0)</f>
        <v>0</v>
      </c>
    </row>
    <row r="910">
      <c r="A910" s="7">
        <f>IFERROR(__xludf.DUMMYFUNCTION("""COMPUTED_VALUE"""),38054.645833333336)</f>
        <v>38054.64583</v>
      </c>
      <c r="B910" s="3">
        <f>IFERROR(__xludf.DUMMYFUNCTION("""COMPUTED_VALUE"""),1868.15)</f>
        <v>1868.15</v>
      </c>
      <c r="C910" s="3">
        <f>IFERROR(__xludf.DUMMYFUNCTION("""COMPUTED_VALUE"""),1891.95)</f>
        <v>1891.95</v>
      </c>
      <c r="D910" s="3">
        <f>IFERROR(__xludf.DUMMYFUNCTION("""COMPUTED_VALUE"""),1867.97)</f>
        <v>1867.97</v>
      </c>
      <c r="E910" s="3">
        <f>IFERROR(__xludf.DUMMYFUNCTION("""COMPUTED_VALUE"""),1885.26)</f>
        <v>1885.26</v>
      </c>
      <c r="F910" s="3">
        <f>IFERROR(__xludf.DUMMYFUNCTION("""COMPUTED_VALUE"""),0.0)</f>
        <v>0</v>
      </c>
    </row>
    <row r="911">
      <c r="A911" s="7">
        <f>IFERROR(__xludf.DUMMYFUNCTION("""COMPUTED_VALUE"""),38055.645833333336)</f>
        <v>38055.64583</v>
      </c>
      <c r="B911" s="3">
        <f>IFERROR(__xludf.DUMMYFUNCTION("""COMPUTED_VALUE"""),1884.48)</f>
        <v>1884.48</v>
      </c>
      <c r="C911" s="3">
        <f>IFERROR(__xludf.DUMMYFUNCTION("""COMPUTED_VALUE"""),1898.68)</f>
        <v>1898.68</v>
      </c>
      <c r="D911" s="3">
        <f>IFERROR(__xludf.DUMMYFUNCTION("""COMPUTED_VALUE"""),1842.99)</f>
        <v>1842.99</v>
      </c>
      <c r="E911" s="3">
        <f>IFERROR(__xludf.DUMMYFUNCTION("""COMPUTED_VALUE"""),1866.07)</f>
        <v>1866.07</v>
      </c>
      <c r="F911" s="3">
        <f>IFERROR(__xludf.DUMMYFUNCTION("""COMPUTED_VALUE"""),0.0)</f>
        <v>0</v>
      </c>
    </row>
    <row r="912">
      <c r="A912" s="7">
        <f>IFERROR(__xludf.DUMMYFUNCTION("""COMPUTED_VALUE"""),38056.645833333336)</f>
        <v>38056.64583</v>
      </c>
      <c r="B912" s="3">
        <f>IFERROR(__xludf.DUMMYFUNCTION("""COMPUTED_VALUE"""),1866.3)</f>
        <v>1866.3</v>
      </c>
      <c r="C912" s="3">
        <f>IFERROR(__xludf.DUMMYFUNCTION("""COMPUTED_VALUE"""),1866.39)</f>
        <v>1866.39</v>
      </c>
      <c r="D912" s="3">
        <f>IFERROR(__xludf.DUMMYFUNCTION("""COMPUTED_VALUE"""),1835.8)</f>
        <v>1835.8</v>
      </c>
      <c r="E912" s="3">
        <f>IFERROR(__xludf.DUMMYFUNCTION("""COMPUTED_VALUE"""),1844.37)</f>
        <v>1844.37</v>
      </c>
      <c r="F912" s="3">
        <f>IFERROR(__xludf.DUMMYFUNCTION("""COMPUTED_VALUE"""),0.0)</f>
        <v>0</v>
      </c>
    </row>
    <row r="913">
      <c r="A913" s="7">
        <f>IFERROR(__xludf.DUMMYFUNCTION("""COMPUTED_VALUE"""),38057.645833333336)</f>
        <v>38057.64583</v>
      </c>
      <c r="B913" s="3">
        <f>IFERROR(__xludf.DUMMYFUNCTION("""COMPUTED_VALUE"""),1843.95)</f>
        <v>1843.95</v>
      </c>
      <c r="C913" s="3">
        <f>IFERROR(__xludf.DUMMYFUNCTION("""COMPUTED_VALUE"""),1843.95)</f>
        <v>1843.95</v>
      </c>
      <c r="D913" s="3">
        <f>IFERROR(__xludf.DUMMYFUNCTION("""COMPUTED_VALUE"""),1798.45)</f>
        <v>1798.45</v>
      </c>
      <c r="E913" s="3">
        <f>IFERROR(__xludf.DUMMYFUNCTION("""COMPUTED_VALUE"""),1805.42)</f>
        <v>1805.42</v>
      </c>
      <c r="F913" s="3">
        <f>IFERROR(__xludf.DUMMYFUNCTION("""COMPUTED_VALUE"""),0.0)</f>
        <v>0</v>
      </c>
    </row>
    <row r="914">
      <c r="A914" s="7">
        <f>IFERROR(__xludf.DUMMYFUNCTION("""COMPUTED_VALUE"""),38058.645833333336)</f>
        <v>38058.64583</v>
      </c>
      <c r="B914" s="3">
        <f>IFERROR(__xludf.DUMMYFUNCTION("""COMPUTED_VALUE"""),1805.22)</f>
        <v>1805.22</v>
      </c>
      <c r="C914" s="3">
        <f>IFERROR(__xludf.DUMMYFUNCTION("""COMPUTED_VALUE"""),1820.93)</f>
        <v>1820.93</v>
      </c>
      <c r="D914" s="3">
        <f>IFERROR(__xludf.DUMMYFUNCTION("""COMPUTED_VALUE"""),1775.88)</f>
        <v>1775.88</v>
      </c>
      <c r="E914" s="3">
        <f>IFERROR(__xludf.DUMMYFUNCTION("""COMPUTED_VALUE"""),1812.18)</f>
        <v>1812.18</v>
      </c>
      <c r="F914" s="3">
        <f>IFERROR(__xludf.DUMMYFUNCTION("""COMPUTED_VALUE"""),0.0)</f>
        <v>0</v>
      </c>
    </row>
    <row r="915">
      <c r="A915" s="7">
        <f>IFERROR(__xludf.DUMMYFUNCTION("""COMPUTED_VALUE"""),38061.645833333336)</f>
        <v>38061.64583</v>
      </c>
      <c r="B915" s="3">
        <f>IFERROR(__xludf.DUMMYFUNCTION("""COMPUTED_VALUE"""),1812.43)</f>
        <v>1812.43</v>
      </c>
      <c r="C915" s="3">
        <f>IFERROR(__xludf.DUMMYFUNCTION("""COMPUTED_VALUE"""),1835.99)</f>
        <v>1835.99</v>
      </c>
      <c r="D915" s="3">
        <f>IFERROR(__xludf.DUMMYFUNCTION("""COMPUTED_VALUE"""),1751.8)</f>
        <v>1751.8</v>
      </c>
      <c r="E915" s="3">
        <f>IFERROR(__xludf.DUMMYFUNCTION("""COMPUTED_VALUE"""),1763.39)</f>
        <v>1763.39</v>
      </c>
      <c r="F915" s="3">
        <f>IFERROR(__xludf.DUMMYFUNCTION("""COMPUTED_VALUE"""),0.0)</f>
        <v>0</v>
      </c>
    </row>
    <row r="916">
      <c r="A916" s="7">
        <f>IFERROR(__xludf.DUMMYFUNCTION("""COMPUTED_VALUE"""),38062.645833333336)</f>
        <v>38062.64583</v>
      </c>
      <c r="B916" s="3">
        <f>IFERROR(__xludf.DUMMYFUNCTION("""COMPUTED_VALUE"""),1763.36)</f>
        <v>1763.36</v>
      </c>
      <c r="C916" s="3">
        <f>IFERROR(__xludf.DUMMYFUNCTION("""COMPUTED_VALUE"""),1769.49)</f>
        <v>1769.49</v>
      </c>
      <c r="D916" s="3">
        <f>IFERROR(__xludf.DUMMYFUNCTION("""COMPUTED_VALUE"""),1730.11)</f>
        <v>1730.11</v>
      </c>
      <c r="E916" s="3">
        <f>IFERROR(__xludf.DUMMYFUNCTION("""COMPUTED_VALUE"""),1749.35)</f>
        <v>1749.35</v>
      </c>
      <c r="F916" s="3">
        <f>IFERROR(__xludf.DUMMYFUNCTION("""COMPUTED_VALUE"""),0.0)</f>
        <v>0</v>
      </c>
    </row>
    <row r="917">
      <c r="A917" s="7">
        <f>IFERROR(__xludf.DUMMYFUNCTION("""COMPUTED_VALUE"""),38063.645833333336)</f>
        <v>38063.64583</v>
      </c>
      <c r="B917" s="3">
        <f>IFERROR(__xludf.DUMMYFUNCTION("""COMPUTED_VALUE"""),1749.59)</f>
        <v>1749.59</v>
      </c>
      <c r="C917" s="3">
        <f>IFERROR(__xludf.DUMMYFUNCTION("""COMPUTED_VALUE"""),1765.04)</f>
        <v>1765.04</v>
      </c>
      <c r="D917" s="3">
        <f>IFERROR(__xludf.DUMMYFUNCTION("""COMPUTED_VALUE"""),1738.87)</f>
        <v>1738.87</v>
      </c>
      <c r="E917" s="3">
        <f>IFERROR(__xludf.DUMMYFUNCTION("""COMPUTED_VALUE"""),1749.83)</f>
        <v>1749.83</v>
      </c>
      <c r="F917" s="3">
        <f>IFERROR(__xludf.DUMMYFUNCTION("""COMPUTED_VALUE"""),0.0)</f>
        <v>0</v>
      </c>
    </row>
    <row r="918">
      <c r="A918" s="7">
        <f>IFERROR(__xludf.DUMMYFUNCTION("""COMPUTED_VALUE"""),38064.645833333336)</f>
        <v>38064.64583</v>
      </c>
      <c r="B918" s="3">
        <f>IFERROR(__xludf.DUMMYFUNCTION("""COMPUTED_VALUE"""),1750.0)</f>
        <v>1750</v>
      </c>
      <c r="C918" s="3">
        <f>IFERROR(__xludf.DUMMYFUNCTION("""COMPUTED_VALUE"""),1754.95)</f>
        <v>1754.95</v>
      </c>
      <c r="D918" s="3">
        <f>IFERROR(__xludf.DUMMYFUNCTION("""COMPUTED_VALUE"""),1708.3)</f>
        <v>1708.3</v>
      </c>
      <c r="E918" s="3">
        <f>IFERROR(__xludf.DUMMYFUNCTION("""COMPUTED_VALUE"""),1716.63)</f>
        <v>1716.63</v>
      </c>
      <c r="F918" s="3">
        <f>IFERROR(__xludf.DUMMYFUNCTION("""COMPUTED_VALUE"""),0.0)</f>
        <v>0</v>
      </c>
    </row>
    <row r="919">
      <c r="A919" s="7">
        <f>IFERROR(__xludf.DUMMYFUNCTION("""COMPUTED_VALUE"""),38065.645833333336)</f>
        <v>38065.64583</v>
      </c>
      <c r="B919" s="3">
        <f>IFERROR(__xludf.DUMMYFUNCTION("""COMPUTED_VALUE"""),1716.28)</f>
        <v>1716.28</v>
      </c>
      <c r="C919" s="3">
        <f>IFERROR(__xludf.DUMMYFUNCTION("""COMPUTED_VALUE"""),1738.58)</f>
        <v>1738.58</v>
      </c>
      <c r="D919" s="3">
        <f>IFERROR(__xludf.DUMMYFUNCTION("""COMPUTED_VALUE"""),1703.54)</f>
        <v>1703.54</v>
      </c>
      <c r="E919" s="3">
        <f>IFERROR(__xludf.DUMMYFUNCTION("""COMPUTED_VALUE"""),1725.11)</f>
        <v>1725.11</v>
      </c>
      <c r="F919" s="3">
        <f>IFERROR(__xludf.DUMMYFUNCTION("""COMPUTED_VALUE"""),0.0)</f>
        <v>0</v>
      </c>
    </row>
    <row r="920">
      <c r="A920" s="7">
        <f>IFERROR(__xludf.DUMMYFUNCTION("""COMPUTED_VALUE"""),38068.645833333336)</f>
        <v>38068.64583</v>
      </c>
      <c r="B920" s="3">
        <f>IFERROR(__xludf.DUMMYFUNCTION("""COMPUTED_VALUE"""),1726.29)</f>
        <v>1726.29</v>
      </c>
      <c r="C920" s="3">
        <f>IFERROR(__xludf.DUMMYFUNCTION("""COMPUTED_VALUE"""),1726.36)</f>
        <v>1726.36</v>
      </c>
      <c r="D920" s="3">
        <f>IFERROR(__xludf.DUMMYFUNCTION("""COMPUTED_VALUE"""),1678.39)</f>
        <v>1678.39</v>
      </c>
      <c r="E920" s="3">
        <f>IFERROR(__xludf.DUMMYFUNCTION("""COMPUTED_VALUE"""),1685.0)</f>
        <v>1685</v>
      </c>
      <c r="F920" s="3">
        <f>IFERROR(__xludf.DUMMYFUNCTION("""COMPUTED_VALUE"""),0.0)</f>
        <v>0</v>
      </c>
    </row>
    <row r="921">
      <c r="A921" s="7">
        <f>IFERROR(__xludf.DUMMYFUNCTION("""COMPUTED_VALUE"""),38069.645833333336)</f>
        <v>38069.64583</v>
      </c>
      <c r="B921" s="3">
        <f>IFERROR(__xludf.DUMMYFUNCTION("""COMPUTED_VALUE"""),1685.13)</f>
        <v>1685.13</v>
      </c>
      <c r="C921" s="3">
        <f>IFERROR(__xludf.DUMMYFUNCTION("""COMPUTED_VALUE"""),1710.47)</f>
        <v>1710.47</v>
      </c>
      <c r="D921" s="3">
        <f>IFERROR(__xludf.DUMMYFUNCTION("""COMPUTED_VALUE"""),1669.71)</f>
        <v>1669.71</v>
      </c>
      <c r="E921" s="3">
        <f>IFERROR(__xludf.DUMMYFUNCTION("""COMPUTED_VALUE"""),1696.4)</f>
        <v>1696.4</v>
      </c>
      <c r="F921" s="3">
        <f>IFERROR(__xludf.DUMMYFUNCTION("""COMPUTED_VALUE"""),0.0)</f>
        <v>0</v>
      </c>
    </row>
    <row r="922">
      <c r="A922" s="7">
        <f>IFERROR(__xludf.DUMMYFUNCTION("""COMPUTED_VALUE"""),38070.645833333336)</f>
        <v>38070.64583</v>
      </c>
      <c r="B922" s="3">
        <f>IFERROR(__xludf.DUMMYFUNCTION("""COMPUTED_VALUE"""),1697.4)</f>
        <v>1697.4</v>
      </c>
      <c r="C922" s="3">
        <f>IFERROR(__xludf.DUMMYFUNCTION("""COMPUTED_VALUE"""),1700.65)</f>
        <v>1700.65</v>
      </c>
      <c r="D922" s="3">
        <f>IFERROR(__xludf.DUMMYFUNCTION("""COMPUTED_VALUE"""),1676.41)</f>
        <v>1676.41</v>
      </c>
      <c r="E922" s="3">
        <f>IFERROR(__xludf.DUMMYFUNCTION("""COMPUTED_VALUE"""),1692.09)</f>
        <v>1692.09</v>
      </c>
      <c r="F922" s="3">
        <f>IFERROR(__xludf.DUMMYFUNCTION("""COMPUTED_VALUE"""),0.0)</f>
        <v>0</v>
      </c>
    </row>
    <row r="923">
      <c r="A923" s="7">
        <f>IFERROR(__xludf.DUMMYFUNCTION("""COMPUTED_VALUE"""),38071.645833333336)</f>
        <v>38071.64583</v>
      </c>
      <c r="B923" s="3">
        <f>IFERROR(__xludf.DUMMYFUNCTION("""COMPUTED_VALUE"""),1691.94)</f>
        <v>1691.94</v>
      </c>
      <c r="C923" s="3">
        <f>IFERROR(__xludf.DUMMYFUNCTION("""COMPUTED_VALUE"""),1720.65)</f>
        <v>1720.65</v>
      </c>
      <c r="D923" s="3">
        <f>IFERROR(__xludf.DUMMYFUNCTION("""COMPUTED_VALUE"""),1691.94)</f>
        <v>1691.94</v>
      </c>
      <c r="E923" s="3">
        <f>IFERROR(__xludf.DUMMYFUNCTION("""COMPUTED_VALUE"""),1704.44)</f>
        <v>1704.44</v>
      </c>
      <c r="F923" s="3">
        <f>IFERROR(__xludf.DUMMYFUNCTION("""COMPUTED_VALUE"""),0.0)</f>
        <v>0</v>
      </c>
    </row>
    <row r="924">
      <c r="A924" s="7">
        <f>IFERROR(__xludf.DUMMYFUNCTION("""COMPUTED_VALUE"""),38072.645833333336)</f>
        <v>38072.64583</v>
      </c>
      <c r="B924" s="3">
        <f>IFERROR(__xludf.DUMMYFUNCTION("""COMPUTED_VALUE"""),1704.44)</f>
        <v>1704.44</v>
      </c>
      <c r="C924" s="3">
        <f>IFERROR(__xludf.DUMMYFUNCTION("""COMPUTED_VALUE"""),1755.45)</f>
        <v>1755.45</v>
      </c>
      <c r="D924" s="3">
        <f>IFERROR(__xludf.DUMMYFUNCTION("""COMPUTED_VALUE"""),1703.78)</f>
        <v>1703.78</v>
      </c>
      <c r="E924" s="3">
        <f>IFERROR(__xludf.DUMMYFUNCTION("""COMPUTED_VALUE"""),1747.52)</f>
        <v>1747.52</v>
      </c>
      <c r="F924" s="3">
        <f>IFERROR(__xludf.DUMMYFUNCTION("""COMPUTED_VALUE"""),0.0)</f>
        <v>0</v>
      </c>
    </row>
    <row r="925">
      <c r="A925" s="7">
        <f>IFERROR(__xludf.DUMMYFUNCTION("""COMPUTED_VALUE"""),38075.645833333336)</f>
        <v>38075.64583</v>
      </c>
      <c r="B925" s="3">
        <f>IFERROR(__xludf.DUMMYFUNCTION("""COMPUTED_VALUE"""),1747.34)</f>
        <v>1747.34</v>
      </c>
      <c r="C925" s="3">
        <f>IFERROR(__xludf.DUMMYFUNCTION("""COMPUTED_VALUE"""),1766.14)</f>
        <v>1766.14</v>
      </c>
      <c r="D925" s="3">
        <f>IFERROR(__xludf.DUMMYFUNCTION("""COMPUTED_VALUE"""),1739.49)</f>
        <v>1739.49</v>
      </c>
      <c r="E925" s="3">
        <f>IFERROR(__xludf.DUMMYFUNCTION("""COMPUTED_VALUE"""),1762.06)</f>
        <v>1762.06</v>
      </c>
      <c r="F925" s="3">
        <f>IFERROR(__xludf.DUMMYFUNCTION("""COMPUTED_VALUE"""),0.0)</f>
        <v>0</v>
      </c>
    </row>
    <row r="926">
      <c r="A926" s="7">
        <f>IFERROR(__xludf.DUMMYFUNCTION("""COMPUTED_VALUE"""),38076.645833333336)</f>
        <v>38076.64583</v>
      </c>
      <c r="B926" s="3">
        <f>IFERROR(__xludf.DUMMYFUNCTION("""COMPUTED_VALUE"""),1762.13)</f>
        <v>1762.13</v>
      </c>
      <c r="C926" s="3">
        <f>IFERROR(__xludf.DUMMYFUNCTION("""COMPUTED_VALUE"""),1775.38)</f>
        <v>1775.38</v>
      </c>
      <c r="D926" s="3">
        <f>IFERROR(__xludf.DUMMYFUNCTION("""COMPUTED_VALUE"""),1746.26)</f>
        <v>1746.26</v>
      </c>
      <c r="E926" s="3">
        <f>IFERROR(__xludf.DUMMYFUNCTION("""COMPUTED_VALUE"""),1750.15)</f>
        <v>1750.15</v>
      </c>
      <c r="F926" s="3">
        <f>IFERROR(__xludf.DUMMYFUNCTION("""COMPUTED_VALUE"""),0.0)</f>
        <v>0</v>
      </c>
    </row>
    <row r="927">
      <c r="A927" s="7">
        <f>IFERROR(__xludf.DUMMYFUNCTION("""COMPUTED_VALUE"""),38077.645833333336)</f>
        <v>38077.64583</v>
      </c>
      <c r="B927" s="3">
        <f>IFERROR(__xludf.DUMMYFUNCTION("""COMPUTED_VALUE"""),1744.58)</f>
        <v>1744.58</v>
      </c>
      <c r="C927" s="3">
        <f>IFERROR(__xludf.DUMMYFUNCTION("""COMPUTED_VALUE"""),1775.3)</f>
        <v>1775.3</v>
      </c>
      <c r="D927" s="3">
        <f>IFERROR(__xludf.DUMMYFUNCTION("""COMPUTED_VALUE"""),1740.18)</f>
        <v>1740.18</v>
      </c>
      <c r="E927" s="3">
        <f>IFERROR(__xludf.DUMMYFUNCTION("""COMPUTED_VALUE"""),1771.92)</f>
        <v>1771.92</v>
      </c>
      <c r="F927" s="3">
        <f>IFERROR(__xludf.DUMMYFUNCTION("""COMPUTED_VALUE"""),0.0)</f>
        <v>0</v>
      </c>
    </row>
    <row r="928">
      <c r="A928" s="7">
        <f>IFERROR(__xludf.DUMMYFUNCTION("""COMPUTED_VALUE"""),38078.645833333336)</f>
        <v>38078.64583</v>
      </c>
      <c r="B928" s="3">
        <f>IFERROR(__xludf.DUMMYFUNCTION("""COMPUTED_VALUE"""),1771.44)</f>
        <v>1771.44</v>
      </c>
      <c r="C928" s="3">
        <f>IFERROR(__xludf.DUMMYFUNCTION("""COMPUTED_VALUE"""),1823.07)</f>
        <v>1823.07</v>
      </c>
      <c r="D928" s="3">
        <f>IFERROR(__xludf.DUMMYFUNCTION("""COMPUTED_VALUE"""),1771.44)</f>
        <v>1771.44</v>
      </c>
      <c r="E928" s="3">
        <f>IFERROR(__xludf.DUMMYFUNCTION("""COMPUTED_VALUE"""),1819.66)</f>
        <v>1819.66</v>
      </c>
      <c r="F928" s="3">
        <f>IFERROR(__xludf.DUMMYFUNCTION("""COMPUTED_VALUE"""),0.0)</f>
        <v>0</v>
      </c>
    </row>
    <row r="929">
      <c r="A929" s="7">
        <f>IFERROR(__xludf.DUMMYFUNCTION("""COMPUTED_VALUE"""),38079.645833333336)</f>
        <v>38079.64583</v>
      </c>
      <c r="B929" s="3">
        <f>IFERROR(__xludf.DUMMYFUNCTION("""COMPUTED_VALUE"""),1856.1)</f>
        <v>1856.1</v>
      </c>
      <c r="C929" s="3">
        <f>IFERROR(__xludf.DUMMYFUNCTION("""COMPUTED_VALUE"""),1856.3)</f>
        <v>1856.3</v>
      </c>
      <c r="D929" s="3">
        <f>IFERROR(__xludf.DUMMYFUNCTION("""COMPUTED_VALUE"""),1808.98)</f>
        <v>1808.98</v>
      </c>
      <c r="E929" s="3">
        <f>IFERROR(__xludf.DUMMYFUNCTION("""COMPUTED_VALUE"""),1841.12)</f>
        <v>1841.12</v>
      </c>
      <c r="F929" s="3">
        <f>IFERROR(__xludf.DUMMYFUNCTION("""COMPUTED_VALUE"""),0.0)</f>
        <v>0</v>
      </c>
    </row>
    <row r="930">
      <c r="A930" s="7">
        <f>IFERROR(__xludf.DUMMYFUNCTION("""COMPUTED_VALUE"""),38082.645833333336)</f>
        <v>38082.64583</v>
      </c>
      <c r="B930" s="3">
        <f>IFERROR(__xludf.DUMMYFUNCTION("""COMPUTED_VALUE"""),1841.12)</f>
        <v>1841.12</v>
      </c>
      <c r="C930" s="3">
        <f>IFERROR(__xludf.DUMMYFUNCTION("""COMPUTED_VALUE"""),1878.79)</f>
        <v>1878.79</v>
      </c>
      <c r="D930" s="3">
        <f>IFERROR(__xludf.DUMMYFUNCTION("""COMPUTED_VALUE"""),1840.01)</f>
        <v>1840.01</v>
      </c>
      <c r="E930" s="3">
        <f>IFERROR(__xludf.DUMMYFUNCTION("""COMPUTED_VALUE"""),1856.61)</f>
        <v>1856.61</v>
      </c>
      <c r="F930" s="3">
        <f>IFERROR(__xludf.DUMMYFUNCTION("""COMPUTED_VALUE"""),0.0)</f>
        <v>0</v>
      </c>
    </row>
    <row r="931">
      <c r="A931" s="7">
        <f>IFERROR(__xludf.DUMMYFUNCTION("""COMPUTED_VALUE"""),38083.645833333336)</f>
        <v>38083.64583</v>
      </c>
      <c r="B931" s="3">
        <f>IFERROR(__xludf.DUMMYFUNCTION("""COMPUTED_VALUE"""),1870.8)</f>
        <v>1870.8</v>
      </c>
      <c r="C931" s="3">
        <f>IFERROR(__xludf.DUMMYFUNCTION("""COMPUTED_VALUE"""),1876.14)</f>
        <v>1876.14</v>
      </c>
      <c r="D931" s="3">
        <f>IFERROR(__xludf.DUMMYFUNCTION("""COMPUTED_VALUE"""),1836.9)</f>
        <v>1836.9</v>
      </c>
      <c r="E931" s="3">
        <f>IFERROR(__xludf.DUMMYFUNCTION("""COMPUTED_VALUE"""),1851.17)</f>
        <v>1851.17</v>
      </c>
      <c r="F931" s="3">
        <f>IFERROR(__xludf.DUMMYFUNCTION("""COMPUTED_VALUE"""),0.0)</f>
        <v>0</v>
      </c>
    </row>
    <row r="932">
      <c r="A932" s="7">
        <f>IFERROR(__xludf.DUMMYFUNCTION("""COMPUTED_VALUE"""),38084.645833333336)</f>
        <v>38084.64583</v>
      </c>
      <c r="B932" s="3">
        <f>IFERROR(__xludf.DUMMYFUNCTION("""COMPUTED_VALUE"""),1856.38)</f>
        <v>1856.38</v>
      </c>
      <c r="C932" s="3">
        <f>IFERROR(__xludf.DUMMYFUNCTION("""COMPUTED_VALUE"""),1865.22)</f>
        <v>1865.22</v>
      </c>
      <c r="D932" s="3">
        <f>IFERROR(__xludf.DUMMYFUNCTION("""COMPUTED_VALUE"""),1833.96)</f>
        <v>1833.96</v>
      </c>
      <c r="E932" s="3">
        <f>IFERROR(__xludf.DUMMYFUNCTION("""COMPUTED_VALUE"""),1848.68)</f>
        <v>1848.68</v>
      </c>
      <c r="F932" s="3">
        <f>IFERROR(__xludf.DUMMYFUNCTION("""COMPUTED_VALUE"""),0.0)</f>
        <v>0</v>
      </c>
    </row>
    <row r="933">
      <c r="A933" s="7">
        <f>IFERROR(__xludf.DUMMYFUNCTION("""COMPUTED_VALUE"""),38085.645833333336)</f>
        <v>38085.64583</v>
      </c>
      <c r="B933" s="3">
        <f>IFERROR(__xludf.DUMMYFUNCTION("""COMPUTED_VALUE"""),1854.02)</f>
        <v>1854.02</v>
      </c>
      <c r="C933" s="3">
        <f>IFERROR(__xludf.DUMMYFUNCTION("""COMPUTED_VALUE"""),1864.93)</f>
        <v>1864.93</v>
      </c>
      <c r="D933" s="3">
        <f>IFERROR(__xludf.DUMMYFUNCTION("""COMPUTED_VALUE"""),1839.68)</f>
        <v>1839.68</v>
      </c>
      <c r="E933" s="3">
        <f>IFERROR(__xludf.DUMMYFUNCTION("""COMPUTED_VALUE"""),1853.57)</f>
        <v>1853.57</v>
      </c>
      <c r="F933" s="3">
        <f>IFERROR(__xludf.DUMMYFUNCTION("""COMPUTED_VALUE"""),0.0)</f>
        <v>0</v>
      </c>
    </row>
    <row r="934">
      <c r="A934" s="7">
        <f>IFERROR(__xludf.DUMMYFUNCTION("""COMPUTED_VALUE"""),38089.645833333336)</f>
        <v>38089.64583</v>
      </c>
      <c r="B934" s="3">
        <f>IFERROR(__xludf.DUMMYFUNCTION("""COMPUTED_VALUE"""),1860.28)</f>
        <v>1860.28</v>
      </c>
      <c r="C934" s="3">
        <f>IFERROR(__xludf.DUMMYFUNCTION("""COMPUTED_VALUE"""),1873.77)</f>
        <v>1873.77</v>
      </c>
      <c r="D934" s="3">
        <f>IFERROR(__xludf.DUMMYFUNCTION("""COMPUTED_VALUE"""),1828.93)</f>
        <v>1828.93</v>
      </c>
      <c r="E934" s="3">
        <f>IFERROR(__xludf.DUMMYFUNCTION("""COMPUTED_VALUE"""),1838.22)</f>
        <v>1838.22</v>
      </c>
      <c r="F934" s="3">
        <f>IFERROR(__xludf.DUMMYFUNCTION("""COMPUTED_VALUE"""),0.0)</f>
        <v>0</v>
      </c>
    </row>
    <row r="935">
      <c r="A935" s="7">
        <f>IFERROR(__xludf.DUMMYFUNCTION("""COMPUTED_VALUE"""),38090.645833333336)</f>
        <v>38090.64583</v>
      </c>
      <c r="B935" s="3">
        <f>IFERROR(__xludf.DUMMYFUNCTION("""COMPUTED_VALUE"""),1838.48)</f>
        <v>1838.48</v>
      </c>
      <c r="C935" s="3">
        <f>IFERROR(__xludf.DUMMYFUNCTION("""COMPUTED_VALUE"""),1885.14)</f>
        <v>1885.14</v>
      </c>
      <c r="D935" s="3">
        <f>IFERROR(__xludf.DUMMYFUNCTION("""COMPUTED_VALUE"""),1819.78)</f>
        <v>1819.78</v>
      </c>
      <c r="E935" s="3">
        <f>IFERROR(__xludf.DUMMYFUNCTION("""COMPUTED_VALUE"""),1878.46)</f>
        <v>1878.46</v>
      </c>
      <c r="F935" s="3">
        <f>IFERROR(__xludf.DUMMYFUNCTION("""COMPUTED_VALUE"""),0.0)</f>
        <v>0</v>
      </c>
    </row>
    <row r="936">
      <c r="A936" s="7">
        <f>IFERROR(__xludf.DUMMYFUNCTION("""COMPUTED_VALUE"""),38092.645833333336)</f>
        <v>38092.64583</v>
      </c>
      <c r="B936" s="3">
        <f>IFERROR(__xludf.DUMMYFUNCTION("""COMPUTED_VALUE"""),1878.52)</f>
        <v>1878.52</v>
      </c>
      <c r="C936" s="3">
        <f>IFERROR(__xludf.DUMMYFUNCTION("""COMPUTED_VALUE"""),1884.51)</f>
        <v>1884.51</v>
      </c>
      <c r="D936" s="3">
        <f>IFERROR(__xludf.DUMMYFUNCTION("""COMPUTED_VALUE"""),1854.98)</f>
        <v>1854.98</v>
      </c>
      <c r="E936" s="3">
        <f>IFERROR(__xludf.DUMMYFUNCTION("""COMPUTED_VALUE"""),1861.95)</f>
        <v>1861.95</v>
      </c>
      <c r="F936" s="3">
        <f>IFERROR(__xludf.DUMMYFUNCTION("""COMPUTED_VALUE"""),0.0)</f>
        <v>0</v>
      </c>
    </row>
    <row r="937">
      <c r="A937" s="7">
        <f>IFERROR(__xludf.DUMMYFUNCTION("""COMPUTED_VALUE"""),38093.645833333336)</f>
        <v>38093.64583</v>
      </c>
      <c r="B937" s="3">
        <f>IFERROR(__xludf.DUMMYFUNCTION("""COMPUTED_VALUE"""),1863.86)</f>
        <v>1863.86</v>
      </c>
      <c r="C937" s="3">
        <f>IFERROR(__xludf.DUMMYFUNCTION("""COMPUTED_VALUE"""),1882.57)</f>
        <v>1882.57</v>
      </c>
      <c r="D937" s="3">
        <f>IFERROR(__xludf.DUMMYFUNCTION("""COMPUTED_VALUE"""),1861.81)</f>
        <v>1861.81</v>
      </c>
      <c r="E937" s="3">
        <f>IFERROR(__xludf.DUMMYFUNCTION("""COMPUTED_VALUE"""),1868.94)</f>
        <v>1868.94</v>
      </c>
      <c r="F937" s="3">
        <f>IFERROR(__xludf.DUMMYFUNCTION("""COMPUTED_VALUE"""),0.0)</f>
        <v>0</v>
      </c>
    </row>
    <row r="938">
      <c r="A938" s="7">
        <f>IFERROR(__xludf.DUMMYFUNCTION("""COMPUTED_VALUE"""),38096.645833333336)</f>
        <v>38096.64583</v>
      </c>
      <c r="B938" s="3">
        <f>IFERROR(__xludf.DUMMYFUNCTION("""COMPUTED_VALUE"""),1868.2)</f>
        <v>1868.2</v>
      </c>
      <c r="C938" s="3">
        <f>IFERROR(__xludf.DUMMYFUNCTION("""COMPUTED_VALUE"""),1876.22)</f>
        <v>1876.22</v>
      </c>
      <c r="D938" s="3">
        <f>IFERROR(__xludf.DUMMYFUNCTION("""COMPUTED_VALUE"""),1837.42)</f>
        <v>1837.42</v>
      </c>
      <c r="E938" s="3">
        <f>IFERROR(__xludf.DUMMYFUNCTION("""COMPUTED_VALUE"""),1844.03)</f>
        <v>1844.03</v>
      </c>
      <c r="F938" s="3">
        <f>IFERROR(__xludf.DUMMYFUNCTION("""COMPUTED_VALUE"""),0.0)</f>
        <v>0</v>
      </c>
    </row>
    <row r="939">
      <c r="A939" s="7">
        <f>IFERROR(__xludf.DUMMYFUNCTION("""COMPUTED_VALUE"""),38097.645833333336)</f>
        <v>38097.64583</v>
      </c>
      <c r="B939" s="3">
        <f>IFERROR(__xludf.DUMMYFUNCTION("""COMPUTED_VALUE"""),1844.42)</f>
        <v>1844.42</v>
      </c>
      <c r="C939" s="3">
        <f>IFERROR(__xludf.DUMMYFUNCTION("""COMPUTED_VALUE"""),1850.99)</f>
        <v>1850.99</v>
      </c>
      <c r="D939" s="3">
        <f>IFERROR(__xludf.DUMMYFUNCTION("""COMPUTED_VALUE"""),1832.02)</f>
        <v>1832.02</v>
      </c>
      <c r="E939" s="3">
        <f>IFERROR(__xludf.DUMMYFUNCTION("""COMPUTED_VALUE"""),1844.27)</f>
        <v>1844.27</v>
      </c>
      <c r="F939" s="3">
        <f>IFERROR(__xludf.DUMMYFUNCTION("""COMPUTED_VALUE"""),0.0)</f>
        <v>0</v>
      </c>
    </row>
    <row r="940">
      <c r="A940" s="7">
        <f>IFERROR(__xludf.DUMMYFUNCTION("""COMPUTED_VALUE"""),38098.645833333336)</f>
        <v>38098.64583</v>
      </c>
      <c r="B940" s="3">
        <f>IFERROR(__xludf.DUMMYFUNCTION("""COMPUTED_VALUE"""),1844.35)</f>
        <v>1844.35</v>
      </c>
      <c r="C940" s="3">
        <f>IFERROR(__xludf.DUMMYFUNCTION("""COMPUTED_VALUE"""),1876.02)</f>
        <v>1876.02</v>
      </c>
      <c r="D940" s="3">
        <f>IFERROR(__xludf.DUMMYFUNCTION("""COMPUTED_VALUE"""),1838.62)</f>
        <v>1838.62</v>
      </c>
      <c r="E940" s="3">
        <f>IFERROR(__xludf.DUMMYFUNCTION("""COMPUTED_VALUE"""),1873.37)</f>
        <v>1873.37</v>
      </c>
      <c r="F940" s="3">
        <f>IFERROR(__xludf.DUMMYFUNCTION("""COMPUTED_VALUE"""),0.0)</f>
        <v>0</v>
      </c>
    </row>
    <row r="941">
      <c r="A941" s="7">
        <f>IFERROR(__xludf.DUMMYFUNCTION("""COMPUTED_VALUE"""),38099.645833333336)</f>
        <v>38099.64583</v>
      </c>
      <c r="B941" s="3">
        <f>IFERROR(__xludf.DUMMYFUNCTION("""COMPUTED_VALUE"""),1873.57)</f>
        <v>1873.57</v>
      </c>
      <c r="C941" s="3">
        <f>IFERROR(__xludf.DUMMYFUNCTION("""COMPUTED_VALUE"""),1894.61)</f>
        <v>1894.61</v>
      </c>
      <c r="D941" s="3">
        <f>IFERROR(__xludf.DUMMYFUNCTION("""COMPUTED_VALUE"""),1870.98)</f>
        <v>1870.98</v>
      </c>
      <c r="E941" s="3">
        <f>IFERROR(__xludf.DUMMYFUNCTION("""COMPUTED_VALUE"""),1889.54)</f>
        <v>1889.54</v>
      </c>
      <c r="F941" s="3">
        <f>IFERROR(__xludf.DUMMYFUNCTION("""COMPUTED_VALUE"""),0.0)</f>
        <v>0</v>
      </c>
    </row>
    <row r="942">
      <c r="A942" s="7">
        <f>IFERROR(__xludf.DUMMYFUNCTION("""COMPUTED_VALUE"""),38100.645833333336)</f>
        <v>38100.64583</v>
      </c>
      <c r="B942" s="3">
        <f>IFERROR(__xludf.DUMMYFUNCTION("""COMPUTED_VALUE"""),1890.86)</f>
        <v>1890.86</v>
      </c>
      <c r="C942" s="3">
        <f>IFERROR(__xludf.DUMMYFUNCTION("""COMPUTED_VALUE"""),1912.34)</f>
        <v>1912.34</v>
      </c>
      <c r="D942" s="3">
        <f>IFERROR(__xludf.DUMMYFUNCTION("""COMPUTED_VALUE"""),1885.73)</f>
        <v>1885.73</v>
      </c>
      <c r="E942" s="3">
        <f>IFERROR(__xludf.DUMMYFUNCTION("""COMPUTED_VALUE"""),1892.44)</f>
        <v>1892.44</v>
      </c>
      <c r="F942" s="3">
        <f>IFERROR(__xludf.DUMMYFUNCTION("""COMPUTED_VALUE"""),0.0)</f>
        <v>0</v>
      </c>
    </row>
    <row r="943">
      <c r="A943" s="7">
        <f>IFERROR(__xludf.DUMMYFUNCTION("""COMPUTED_VALUE"""),38104.645833333336)</f>
        <v>38104.64583</v>
      </c>
      <c r="B943" s="3">
        <f>IFERROR(__xludf.DUMMYFUNCTION("""COMPUTED_VALUE"""),1890.06)</f>
        <v>1890.06</v>
      </c>
      <c r="C943" s="3">
        <f>IFERROR(__xludf.DUMMYFUNCTION("""COMPUTED_VALUE"""),1893.11)</f>
        <v>1893.11</v>
      </c>
      <c r="D943" s="3">
        <f>IFERROR(__xludf.DUMMYFUNCTION("""COMPUTED_VALUE"""),1813.98)</f>
        <v>1813.98</v>
      </c>
      <c r="E943" s="3">
        <f>IFERROR(__xludf.DUMMYFUNCTION("""COMPUTED_VALUE"""),1817.23)</f>
        <v>1817.23</v>
      </c>
      <c r="F943" s="3">
        <f>IFERROR(__xludf.DUMMYFUNCTION("""COMPUTED_VALUE"""),0.0)</f>
        <v>0</v>
      </c>
    </row>
    <row r="944">
      <c r="A944" s="7">
        <f>IFERROR(__xludf.DUMMYFUNCTION("""COMPUTED_VALUE"""),38105.645833333336)</f>
        <v>38105.64583</v>
      </c>
      <c r="B944" s="3">
        <f>IFERROR(__xludf.DUMMYFUNCTION("""COMPUTED_VALUE"""),1819.01)</f>
        <v>1819.01</v>
      </c>
      <c r="C944" s="3">
        <f>IFERROR(__xludf.DUMMYFUNCTION("""COMPUTED_VALUE"""),1833.94)</f>
        <v>1833.94</v>
      </c>
      <c r="D944" s="3">
        <f>IFERROR(__xludf.DUMMYFUNCTION("""COMPUTED_VALUE"""),1801.78)</f>
        <v>1801.78</v>
      </c>
      <c r="E944" s="3">
        <f>IFERROR(__xludf.DUMMYFUNCTION("""COMPUTED_VALUE"""),1816.53)</f>
        <v>1816.53</v>
      </c>
      <c r="F944" s="3">
        <f>IFERROR(__xludf.DUMMYFUNCTION("""COMPUTED_VALUE"""),0.0)</f>
        <v>0</v>
      </c>
    </row>
    <row r="945">
      <c r="A945" s="7">
        <f>IFERROR(__xludf.DUMMYFUNCTION("""COMPUTED_VALUE"""),38106.645833333336)</f>
        <v>38106.64583</v>
      </c>
      <c r="B945" s="3">
        <f>IFERROR(__xludf.DUMMYFUNCTION("""COMPUTED_VALUE"""),1816.72)</f>
        <v>1816.72</v>
      </c>
      <c r="C945" s="3">
        <f>IFERROR(__xludf.DUMMYFUNCTION("""COMPUTED_VALUE"""),1818.91)</f>
        <v>1818.91</v>
      </c>
      <c r="D945" s="3">
        <f>IFERROR(__xludf.DUMMYFUNCTION("""COMPUTED_VALUE"""),1793.12)</f>
        <v>1793.12</v>
      </c>
      <c r="E945" s="3">
        <f>IFERROR(__xludf.DUMMYFUNCTION("""COMPUTED_VALUE"""),1808.94)</f>
        <v>1808.94</v>
      </c>
      <c r="F945" s="3">
        <f>IFERROR(__xludf.DUMMYFUNCTION("""COMPUTED_VALUE"""),0.0)</f>
        <v>0</v>
      </c>
    </row>
    <row r="946">
      <c r="A946" s="7">
        <f>IFERROR(__xludf.DUMMYFUNCTION("""COMPUTED_VALUE"""),38107.645833333336)</f>
        <v>38107.64583</v>
      </c>
      <c r="B946" s="3">
        <f>IFERROR(__xludf.DUMMYFUNCTION("""COMPUTED_VALUE"""),1820.55)</f>
        <v>1820.55</v>
      </c>
      <c r="C946" s="3">
        <f>IFERROR(__xludf.DUMMYFUNCTION("""COMPUTED_VALUE"""),1841.44)</f>
        <v>1841.44</v>
      </c>
      <c r="D946" s="3">
        <f>IFERROR(__xludf.DUMMYFUNCTION("""COMPUTED_VALUE"""),1788.29)</f>
        <v>1788.29</v>
      </c>
      <c r="E946" s="3">
        <f>IFERROR(__xludf.DUMMYFUNCTION("""COMPUTED_VALUE"""),1796.09)</f>
        <v>1796.09</v>
      </c>
      <c r="F946" s="3">
        <f>IFERROR(__xludf.DUMMYFUNCTION("""COMPUTED_VALUE"""),0.0)</f>
        <v>0</v>
      </c>
    </row>
    <row r="947">
      <c r="A947" s="7">
        <f>IFERROR(__xludf.DUMMYFUNCTION("""COMPUTED_VALUE"""),38110.645833333336)</f>
        <v>38110.64583</v>
      </c>
      <c r="B947" s="3">
        <f>IFERROR(__xludf.DUMMYFUNCTION("""COMPUTED_VALUE"""),1796.1)</f>
        <v>1796.1</v>
      </c>
      <c r="C947" s="3">
        <f>IFERROR(__xludf.DUMMYFUNCTION("""COMPUTED_VALUE"""),1801.44)</f>
        <v>1801.44</v>
      </c>
      <c r="D947" s="3">
        <f>IFERROR(__xludf.DUMMYFUNCTION("""COMPUTED_VALUE"""),1742.81)</f>
        <v>1742.81</v>
      </c>
      <c r="E947" s="3">
        <f>IFERROR(__xludf.DUMMYFUNCTION("""COMPUTED_VALUE"""),1766.7)</f>
        <v>1766.7</v>
      </c>
      <c r="F947" s="3">
        <f>IFERROR(__xludf.DUMMYFUNCTION("""COMPUTED_VALUE"""),0.0)</f>
        <v>0</v>
      </c>
    </row>
    <row r="948">
      <c r="A948" s="7">
        <f>IFERROR(__xludf.DUMMYFUNCTION("""COMPUTED_VALUE"""),38111.645833333336)</f>
        <v>38111.64583</v>
      </c>
      <c r="B948" s="3">
        <f>IFERROR(__xludf.DUMMYFUNCTION("""COMPUTED_VALUE"""),1769.12)</f>
        <v>1769.12</v>
      </c>
      <c r="C948" s="3">
        <f>IFERROR(__xludf.DUMMYFUNCTION("""COMPUTED_VALUE"""),1803.14)</f>
        <v>1803.14</v>
      </c>
      <c r="D948" s="3">
        <f>IFERROR(__xludf.DUMMYFUNCTION("""COMPUTED_VALUE"""),1768.82)</f>
        <v>1768.82</v>
      </c>
      <c r="E948" s="3">
        <f>IFERROR(__xludf.DUMMYFUNCTION("""COMPUTED_VALUE"""),1793.11)</f>
        <v>1793.11</v>
      </c>
      <c r="F948" s="3">
        <f>IFERROR(__xludf.DUMMYFUNCTION("""COMPUTED_VALUE"""),0.0)</f>
        <v>0</v>
      </c>
    </row>
    <row r="949">
      <c r="A949" s="7">
        <f>IFERROR(__xludf.DUMMYFUNCTION("""COMPUTED_VALUE"""),38112.645833333336)</f>
        <v>38112.64583</v>
      </c>
      <c r="B949" s="3">
        <f>IFERROR(__xludf.DUMMYFUNCTION("""COMPUTED_VALUE"""),1789.45)</f>
        <v>1789.45</v>
      </c>
      <c r="C949" s="3">
        <f>IFERROR(__xludf.DUMMYFUNCTION("""COMPUTED_VALUE"""),1814.37)</f>
        <v>1814.37</v>
      </c>
      <c r="D949" s="3">
        <f>IFERROR(__xludf.DUMMYFUNCTION("""COMPUTED_VALUE"""),1788.09)</f>
        <v>1788.09</v>
      </c>
      <c r="E949" s="3">
        <f>IFERROR(__xludf.DUMMYFUNCTION("""COMPUTED_VALUE"""),1809.91)</f>
        <v>1809.91</v>
      </c>
      <c r="F949" s="3">
        <f>IFERROR(__xludf.DUMMYFUNCTION("""COMPUTED_VALUE"""),0.0)</f>
        <v>0</v>
      </c>
    </row>
    <row r="950">
      <c r="A950" s="7">
        <f>IFERROR(__xludf.DUMMYFUNCTION("""COMPUTED_VALUE"""),38113.645833333336)</f>
        <v>38113.64583</v>
      </c>
      <c r="B950" s="3">
        <f>IFERROR(__xludf.DUMMYFUNCTION("""COMPUTED_VALUE"""),1810.29)</f>
        <v>1810.29</v>
      </c>
      <c r="C950" s="3">
        <f>IFERROR(__xludf.DUMMYFUNCTION("""COMPUTED_VALUE"""),1837.97)</f>
        <v>1837.97</v>
      </c>
      <c r="D950" s="3">
        <f>IFERROR(__xludf.DUMMYFUNCTION("""COMPUTED_VALUE"""),1810.29)</f>
        <v>1810.29</v>
      </c>
      <c r="E950" s="3">
        <f>IFERROR(__xludf.DUMMYFUNCTION("""COMPUTED_VALUE"""),1832.81)</f>
        <v>1832.81</v>
      </c>
      <c r="F950" s="3">
        <f>IFERROR(__xludf.DUMMYFUNCTION("""COMPUTED_VALUE"""),0.0)</f>
        <v>0</v>
      </c>
    </row>
    <row r="951">
      <c r="A951" s="7">
        <f>IFERROR(__xludf.DUMMYFUNCTION("""COMPUTED_VALUE"""),38114.645833333336)</f>
        <v>38114.64583</v>
      </c>
      <c r="B951" s="3">
        <f>IFERROR(__xludf.DUMMYFUNCTION("""COMPUTED_VALUE"""),1832.84)</f>
        <v>1832.84</v>
      </c>
      <c r="C951" s="3">
        <f>IFERROR(__xludf.DUMMYFUNCTION("""COMPUTED_VALUE"""),1833.17)</f>
        <v>1833.17</v>
      </c>
      <c r="D951" s="3">
        <f>IFERROR(__xludf.DUMMYFUNCTION("""COMPUTED_VALUE"""),1796.93)</f>
        <v>1796.93</v>
      </c>
      <c r="E951" s="3">
        <f>IFERROR(__xludf.DUMMYFUNCTION("""COMPUTED_VALUE"""),1804.44)</f>
        <v>1804.44</v>
      </c>
      <c r="F951" s="3">
        <f>IFERROR(__xludf.DUMMYFUNCTION("""COMPUTED_VALUE"""),0.0)</f>
        <v>0</v>
      </c>
    </row>
    <row r="952">
      <c r="A952" s="7">
        <f>IFERROR(__xludf.DUMMYFUNCTION("""COMPUTED_VALUE"""),38117.645833333336)</f>
        <v>38117.64583</v>
      </c>
      <c r="B952" s="3">
        <f>IFERROR(__xludf.DUMMYFUNCTION("""COMPUTED_VALUE"""),1804.42)</f>
        <v>1804.42</v>
      </c>
      <c r="C952" s="3">
        <f>IFERROR(__xludf.DUMMYFUNCTION("""COMPUTED_VALUE"""),1804.42)</f>
        <v>1804.42</v>
      </c>
      <c r="D952" s="3">
        <f>IFERROR(__xludf.DUMMYFUNCTION("""COMPUTED_VALUE"""),1753.8)</f>
        <v>1753.8</v>
      </c>
      <c r="E952" s="3">
        <f>IFERROR(__xludf.DUMMYFUNCTION("""COMPUTED_VALUE"""),1769.11)</f>
        <v>1769.11</v>
      </c>
      <c r="F952" s="3">
        <f>IFERROR(__xludf.DUMMYFUNCTION("""COMPUTED_VALUE"""),0.0)</f>
        <v>0</v>
      </c>
    </row>
    <row r="953">
      <c r="A953" s="7">
        <f>IFERROR(__xludf.DUMMYFUNCTION("""COMPUTED_VALUE"""),38118.645833333336)</f>
        <v>38118.64583</v>
      </c>
      <c r="B953" s="3">
        <f>IFERROR(__xludf.DUMMYFUNCTION("""COMPUTED_VALUE"""),1768.7)</f>
        <v>1768.7</v>
      </c>
      <c r="C953" s="3">
        <f>IFERROR(__xludf.DUMMYFUNCTION("""COMPUTED_VALUE"""),1768.7)</f>
        <v>1768.7</v>
      </c>
      <c r="D953" s="3">
        <f>IFERROR(__xludf.DUMMYFUNCTION("""COMPUTED_VALUE"""),1692.91)</f>
        <v>1692.91</v>
      </c>
      <c r="E953" s="3">
        <f>IFERROR(__xludf.DUMMYFUNCTION("""COMPUTED_VALUE"""),1699.46)</f>
        <v>1699.46</v>
      </c>
      <c r="F953" s="3">
        <f>IFERROR(__xludf.DUMMYFUNCTION("""COMPUTED_VALUE"""),0.0)</f>
        <v>0</v>
      </c>
    </row>
    <row r="954">
      <c r="A954" s="7">
        <f>IFERROR(__xludf.DUMMYFUNCTION("""COMPUTED_VALUE"""),38119.645833333336)</f>
        <v>38119.64583</v>
      </c>
      <c r="B954" s="3">
        <f>IFERROR(__xludf.DUMMYFUNCTION("""COMPUTED_VALUE"""),1699.25)</f>
        <v>1699.25</v>
      </c>
      <c r="C954" s="3">
        <f>IFERROR(__xludf.DUMMYFUNCTION("""COMPUTED_VALUE"""),1721.33)</f>
        <v>1721.33</v>
      </c>
      <c r="D954" s="3">
        <f>IFERROR(__xludf.DUMMYFUNCTION("""COMPUTED_VALUE"""),1689.83)</f>
        <v>1689.83</v>
      </c>
      <c r="E954" s="3">
        <f>IFERROR(__xludf.DUMMYFUNCTION("""COMPUTED_VALUE"""),1711.1)</f>
        <v>1711.1</v>
      </c>
      <c r="F954" s="3">
        <f>IFERROR(__xludf.DUMMYFUNCTION("""COMPUTED_VALUE"""),0.0)</f>
        <v>0</v>
      </c>
    </row>
    <row r="955">
      <c r="A955" s="7">
        <f>IFERROR(__xludf.DUMMYFUNCTION("""COMPUTED_VALUE"""),38120.645833333336)</f>
        <v>38120.64583</v>
      </c>
      <c r="B955" s="3">
        <f>IFERROR(__xludf.DUMMYFUNCTION("""COMPUTED_VALUE"""),1707.95)</f>
        <v>1707.95</v>
      </c>
      <c r="C955" s="3">
        <f>IFERROR(__xludf.DUMMYFUNCTION("""COMPUTED_VALUE"""),1750.31)</f>
        <v>1750.31</v>
      </c>
      <c r="D955" s="3">
        <f>IFERROR(__xludf.DUMMYFUNCTION("""COMPUTED_VALUE"""),1625.11)</f>
        <v>1625.11</v>
      </c>
      <c r="E955" s="3">
        <f>IFERROR(__xludf.DUMMYFUNCTION("""COMPUTED_VALUE"""),1717.51)</f>
        <v>1717.51</v>
      </c>
      <c r="F955" s="3">
        <f>IFERROR(__xludf.DUMMYFUNCTION("""COMPUTED_VALUE"""),0.0)</f>
        <v>0</v>
      </c>
    </row>
    <row r="956">
      <c r="A956" s="7">
        <f>IFERROR(__xludf.DUMMYFUNCTION("""COMPUTED_VALUE"""),38121.645833333336)</f>
        <v>38121.64583</v>
      </c>
      <c r="B956" s="3">
        <f>IFERROR(__xludf.DUMMYFUNCTION("""COMPUTED_VALUE"""),1717.03)</f>
        <v>1717.03</v>
      </c>
      <c r="C956" s="3">
        <f>IFERROR(__xludf.DUMMYFUNCTION("""COMPUTED_VALUE"""),1722.79)</f>
        <v>1722.79</v>
      </c>
      <c r="D956" s="3">
        <f>IFERROR(__xludf.DUMMYFUNCTION("""COMPUTED_VALUE"""),1566.93)</f>
        <v>1566.93</v>
      </c>
      <c r="E956" s="3">
        <f>IFERROR(__xludf.DUMMYFUNCTION("""COMPUTED_VALUE"""),1582.39)</f>
        <v>1582.39</v>
      </c>
      <c r="F956" s="3">
        <f>IFERROR(__xludf.DUMMYFUNCTION("""COMPUTED_VALUE"""),0.0)</f>
        <v>0</v>
      </c>
    </row>
    <row r="957">
      <c r="A957" s="7">
        <f>IFERROR(__xludf.DUMMYFUNCTION("""COMPUTED_VALUE"""),38124.645833333336)</f>
        <v>38124.64583</v>
      </c>
      <c r="B957" s="3">
        <f>IFERROR(__xludf.DUMMYFUNCTION("""COMPUTED_VALUE"""),1582.49)</f>
        <v>1582.49</v>
      </c>
      <c r="C957" s="3">
        <f>IFERROR(__xludf.DUMMYFUNCTION("""COMPUTED_VALUE"""),1583.78)</f>
        <v>1583.78</v>
      </c>
      <c r="D957" s="3">
        <f>IFERROR(__xludf.DUMMYFUNCTION("""COMPUTED_VALUE"""),1292.21)</f>
        <v>1292.21</v>
      </c>
      <c r="E957" s="3">
        <f>IFERROR(__xludf.DUMMYFUNCTION("""COMPUTED_VALUE"""),1388.73)</f>
        <v>1388.73</v>
      </c>
      <c r="F957" s="3">
        <f>IFERROR(__xludf.DUMMYFUNCTION("""COMPUTED_VALUE"""),0.0)</f>
        <v>0</v>
      </c>
    </row>
    <row r="958">
      <c r="A958" s="7">
        <f>IFERROR(__xludf.DUMMYFUNCTION("""COMPUTED_VALUE"""),38125.645833333336)</f>
        <v>38125.64583</v>
      </c>
      <c r="B958" s="3">
        <f>IFERROR(__xludf.DUMMYFUNCTION("""COMPUTED_VALUE"""),1392.96)</f>
        <v>1392.96</v>
      </c>
      <c r="C958" s="3">
        <f>IFERROR(__xludf.DUMMYFUNCTION("""COMPUTED_VALUE"""),1517.59)</f>
        <v>1517.59</v>
      </c>
      <c r="D958" s="3">
        <f>IFERROR(__xludf.DUMMYFUNCTION("""COMPUTED_VALUE"""),1389.67)</f>
        <v>1389.67</v>
      </c>
      <c r="E958" s="3">
        <f>IFERROR(__xludf.DUMMYFUNCTION("""COMPUTED_VALUE"""),1503.96)</f>
        <v>1503.96</v>
      </c>
      <c r="F958" s="3">
        <f>IFERROR(__xludf.DUMMYFUNCTION("""COMPUTED_VALUE"""),0.0)</f>
        <v>0</v>
      </c>
    </row>
    <row r="959">
      <c r="A959" s="7">
        <f>IFERROR(__xludf.DUMMYFUNCTION("""COMPUTED_VALUE"""),38126.645833333336)</f>
        <v>38126.64583</v>
      </c>
      <c r="B959" s="3">
        <f>IFERROR(__xludf.DUMMYFUNCTION("""COMPUTED_VALUE"""),1508.06)</f>
        <v>1508.06</v>
      </c>
      <c r="C959" s="3">
        <f>IFERROR(__xludf.DUMMYFUNCTION("""COMPUTED_VALUE"""),1576.07)</f>
        <v>1576.07</v>
      </c>
      <c r="D959" s="3">
        <f>IFERROR(__xludf.DUMMYFUNCTION("""COMPUTED_VALUE"""),1508.06)</f>
        <v>1508.06</v>
      </c>
      <c r="E959" s="3">
        <f>IFERROR(__xludf.DUMMYFUNCTION("""COMPUTED_VALUE"""),1567.87)</f>
        <v>1567.87</v>
      </c>
      <c r="F959" s="3">
        <f>IFERROR(__xludf.DUMMYFUNCTION("""COMPUTED_VALUE"""),0.0)</f>
        <v>0</v>
      </c>
    </row>
    <row r="960">
      <c r="A960" s="7">
        <f>IFERROR(__xludf.DUMMYFUNCTION("""COMPUTED_VALUE"""),38127.645833333336)</f>
        <v>38127.64583</v>
      </c>
      <c r="B960" s="3">
        <f>IFERROR(__xludf.DUMMYFUNCTION("""COMPUTED_VALUE"""),1566.49)</f>
        <v>1566.49</v>
      </c>
      <c r="C960" s="3">
        <f>IFERROR(__xludf.DUMMYFUNCTION("""COMPUTED_VALUE"""),1591.05)</f>
        <v>1591.05</v>
      </c>
      <c r="D960" s="3">
        <f>IFERROR(__xludf.DUMMYFUNCTION("""COMPUTED_VALUE"""),1531.29)</f>
        <v>1531.29</v>
      </c>
      <c r="E960" s="3">
        <f>IFERROR(__xludf.DUMMYFUNCTION("""COMPUTED_VALUE"""),1543.85)</f>
        <v>1543.85</v>
      </c>
      <c r="F960" s="3">
        <f>IFERROR(__xludf.DUMMYFUNCTION("""COMPUTED_VALUE"""),0.0)</f>
        <v>0</v>
      </c>
    </row>
    <row r="961">
      <c r="A961" s="7">
        <f>IFERROR(__xludf.DUMMYFUNCTION("""COMPUTED_VALUE"""),38128.645833333336)</f>
        <v>38128.64583</v>
      </c>
      <c r="B961" s="3">
        <f>IFERROR(__xludf.DUMMYFUNCTION("""COMPUTED_VALUE"""),1545.06)</f>
        <v>1545.06</v>
      </c>
      <c r="C961" s="3">
        <f>IFERROR(__xludf.DUMMYFUNCTION("""COMPUTED_VALUE"""),1566.15)</f>
        <v>1566.15</v>
      </c>
      <c r="D961" s="3">
        <f>IFERROR(__xludf.DUMMYFUNCTION("""COMPUTED_VALUE"""),1498.11)</f>
        <v>1498.11</v>
      </c>
      <c r="E961" s="3">
        <f>IFERROR(__xludf.DUMMYFUNCTION("""COMPUTED_VALUE"""),1560.21)</f>
        <v>1560.21</v>
      </c>
      <c r="F961" s="3">
        <f>IFERROR(__xludf.DUMMYFUNCTION("""COMPUTED_VALUE"""),0.0)</f>
        <v>0</v>
      </c>
    </row>
    <row r="962">
      <c r="A962" s="7">
        <f>IFERROR(__xludf.DUMMYFUNCTION("""COMPUTED_VALUE"""),38131.645833333336)</f>
        <v>38131.64583</v>
      </c>
      <c r="B962" s="3">
        <f>IFERROR(__xludf.DUMMYFUNCTION("""COMPUTED_VALUE"""),1563.65)</f>
        <v>1563.65</v>
      </c>
      <c r="C962" s="3">
        <f>IFERROR(__xludf.DUMMYFUNCTION("""COMPUTED_VALUE"""),1613.59)</f>
        <v>1613.59</v>
      </c>
      <c r="D962" s="3">
        <f>IFERROR(__xludf.DUMMYFUNCTION("""COMPUTED_VALUE"""),1563.03)</f>
        <v>1563.03</v>
      </c>
      <c r="E962" s="3">
        <f>IFERROR(__xludf.DUMMYFUNCTION("""COMPUTED_VALUE"""),1608.86)</f>
        <v>1608.86</v>
      </c>
      <c r="F962" s="3">
        <f>IFERROR(__xludf.DUMMYFUNCTION("""COMPUTED_VALUE"""),0.0)</f>
        <v>0</v>
      </c>
    </row>
    <row r="963">
      <c r="A963" s="7">
        <f>IFERROR(__xludf.DUMMYFUNCTION("""COMPUTED_VALUE"""),38132.645833333336)</f>
        <v>38132.64583</v>
      </c>
      <c r="B963" s="3">
        <f>IFERROR(__xludf.DUMMYFUNCTION("""COMPUTED_VALUE"""),1608.92)</f>
        <v>1608.92</v>
      </c>
      <c r="C963" s="3">
        <f>IFERROR(__xludf.DUMMYFUNCTION("""COMPUTED_VALUE"""),1621.43)</f>
        <v>1621.43</v>
      </c>
      <c r="D963" s="3">
        <f>IFERROR(__xludf.DUMMYFUNCTION("""COMPUTED_VALUE"""),1566.38)</f>
        <v>1566.38</v>
      </c>
      <c r="E963" s="3">
        <f>IFERROR(__xludf.DUMMYFUNCTION("""COMPUTED_VALUE"""),1606.72)</f>
        <v>1606.72</v>
      </c>
      <c r="F963" s="3">
        <f>IFERROR(__xludf.DUMMYFUNCTION("""COMPUTED_VALUE"""),0.0)</f>
        <v>0</v>
      </c>
    </row>
    <row r="964">
      <c r="A964" s="7">
        <f>IFERROR(__xludf.DUMMYFUNCTION("""COMPUTED_VALUE"""),38133.645833333336)</f>
        <v>38133.64583</v>
      </c>
      <c r="B964" s="3">
        <f>IFERROR(__xludf.DUMMYFUNCTION("""COMPUTED_VALUE"""),1608.13)</f>
        <v>1608.13</v>
      </c>
      <c r="C964" s="3">
        <f>IFERROR(__xludf.DUMMYFUNCTION("""COMPUTED_VALUE"""),1625.69)</f>
        <v>1625.69</v>
      </c>
      <c r="D964" s="3">
        <f>IFERROR(__xludf.DUMMYFUNCTION("""COMPUTED_VALUE"""),1586.98)</f>
        <v>1586.98</v>
      </c>
      <c r="E964" s="3">
        <f>IFERROR(__xludf.DUMMYFUNCTION("""COMPUTED_VALUE"""),1598.79)</f>
        <v>1598.79</v>
      </c>
      <c r="F964" s="3">
        <f>IFERROR(__xludf.DUMMYFUNCTION("""COMPUTED_VALUE"""),0.0)</f>
        <v>0</v>
      </c>
    </row>
    <row r="965">
      <c r="A965" s="7">
        <f>IFERROR(__xludf.DUMMYFUNCTION("""COMPUTED_VALUE"""),38134.645833333336)</f>
        <v>38134.64583</v>
      </c>
      <c r="B965" s="3">
        <f>IFERROR(__xludf.DUMMYFUNCTION("""COMPUTED_VALUE"""),1590.14)</f>
        <v>1590.14</v>
      </c>
      <c r="C965" s="3">
        <f>IFERROR(__xludf.DUMMYFUNCTION("""COMPUTED_VALUE"""),1606.0)</f>
        <v>1606</v>
      </c>
      <c r="D965" s="3">
        <f>IFERROR(__xludf.DUMMYFUNCTION("""COMPUTED_VALUE"""),1576.06)</f>
        <v>1576.06</v>
      </c>
      <c r="E965" s="3">
        <f>IFERROR(__xludf.DUMMYFUNCTION("""COMPUTED_VALUE"""),1586.39)</f>
        <v>1586.39</v>
      </c>
      <c r="F965" s="3">
        <f>IFERROR(__xludf.DUMMYFUNCTION("""COMPUTED_VALUE"""),0.0)</f>
        <v>0</v>
      </c>
    </row>
    <row r="966">
      <c r="A966" s="7">
        <f>IFERROR(__xludf.DUMMYFUNCTION("""COMPUTED_VALUE"""),38135.645833333336)</f>
        <v>38135.64583</v>
      </c>
      <c r="B966" s="3">
        <f>IFERROR(__xludf.DUMMYFUNCTION("""COMPUTED_VALUE"""),1586.37)</f>
        <v>1586.37</v>
      </c>
      <c r="C966" s="3">
        <f>IFERROR(__xludf.DUMMYFUNCTION("""COMPUTED_VALUE"""),1587.09)</f>
        <v>1587.09</v>
      </c>
      <c r="D966" s="3">
        <f>IFERROR(__xludf.DUMMYFUNCTION("""COMPUTED_VALUE"""),1504.0)</f>
        <v>1504</v>
      </c>
      <c r="E966" s="3">
        <f>IFERROR(__xludf.DUMMYFUNCTION("""COMPUTED_VALUE"""),1508.76)</f>
        <v>1508.76</v>
      </c>
      <c r="F966" s="3">
        <f>IFERROR(__xludf.DUMMYFUNCTION("""COMPUTED_VALUE"""),0.0)</f>
        <v>0</v>
      </c>
    </row>
    <row r="967">
      <c r="A967" s="7">
        <f>IFERROR(__xludf.DUMMYFUNCTION("""COMPUTED_VALUE"""),38138.645833333336)</f>
        <v>38138.64583</v>
      </c>
      <c r="B967" s="3">
        <f>IFERROR(__xludf.DUMMYFUNCTION("""COMPUTED_VALUE"""),1507.03)</f>
        <v>1507.03</v>
      </c>
      <c r="C967" s="3">
        <f>IFERROR(__xludf.DUMMYFUNCTION("""COMPUTED_VALUE"""),1509.06)</f>
        <v>1509.06</v>
      </c>
      <c r="D967" s="3">
        <f>IFERROR(__xludf.DUMMYFUNCTION("""COMPUTED_VALUE"""),1456.19)</f>
        <v>1456.19</v>
      </c>
      <c r="E967" s="3">
        <f>IFERROR(__xludf.DUMMYFUNCTION("""COMPUTED_VALUE"""),1483.6)</f>
        <v>1483.6</v>
      </c>
      <c r="F967" s="3">
        <f>IFERROR(__xludf.DUMMYFUNCTION("""COMPUTED_VALUE"""),0.0)</f>
        <v>0</v>
      </c>
    </row>
    <row r="968">
      <c r="A968" s="7">
        <f>IFERROR(__xludf.DUMMYFUNCTION("""COMPUTED_VALUE"""),38139.645833333336)</f>
        <v>38139.64583</v>
      </c>
      <c r="B968" s="3">
        <f>IFERROR(__xludf.DUMMYFUNCTION("""COMPUTED_VALUE"""),1483.91)</f>
        <v>1483.91</v>
      </c>
      <c r="C968" s="3">
        <f>IFERROR(__xludf.DUMMYFUNCTION("""COMPUTED_VALUE"""),1529.59)</f>
        <v>1529.59</v>
      </c>
      <c r="D968" s="3">
        <f>IFERROR(__xludf.DUMMYFUNCTION("""COMPUTED_VALUE"""),1483.91)</f>
        <v>1483.91</v>
      </c>
      <c r="E968" s="3">
        <f>IFERROR(__xludf.DUMMYFUNCTION("""COMPUTED_VALUE"""),1507.9)</f>
        <v>1507.9</v>
      </c>
      <c r="F968" s="3">
        <f>IFERROR(__xludf.DUMMYFUNCTION("""COMPUTED_VALUE"""),0.0)</f>
        <v>0</v>
      </c>
    </row>
    <row r="969">
      <c r="A969" s="7">
        <f>IFERROR(__xludf.DUMMYFUNCTION("""COMPUTED_VALUE"""),38140.645833333336)</f>
        <v>38140.64583</v>
      </c>
      <c r="B969" s="3">
        <f>IFERROR(__xludf.DUMMYFUNCTION("""COMPUTED_VALUE"""),1508.02)</f>
        <v>1508.02</v>
      </c>
      <c r="C969" s="3">
        <f>IFERROR(__xludf.DUMMYFUNCTION("""COMPUTED_VALUE"""),1543.31)</f>
        <v>1543.31</v>
      </c>
      <c r="D969" s="3">
        <f>IFERROR(__xludf.DUMMYFUNCTION("""COMPUTED_VALUE"""),1508.02)</f>
        <v>1508.02</v>
      </c>
      <c r="E969" s="3">
        <f>IFERROR(__xludf.DUMMYFUNCTION("""COMPUTED_VALUE"""),1535.21)</f>
        <v>1535.21</v>
      </c>
      <c r="F969" s="3">
        <f>IFERROR(__xludf.DUMMYFUNCTION("""COMPUTED_VALUE"""),0.0)</f>
        <v>0</v>
      </c>
    </row>
    <row r="970">
      <c r="A970" s="7">
        <f>IFERROR(__xludf.DUMMYFUNCTION("""COMPUTED_VALUE"""),38141.645833333336)</f>
        <v>38141.64583</v>
      </c>
      <c r="B970" s="3">
        <f>IFERROR(__xludf.DUMMYFUNCTION("""COMPUTED_VALUE"""),1535.79)</f>
        <v>1535.79</v>
      </c>
      <c r="C970" s="3">
        <f>IFERROR(__xludf.DUMMYFUNCTION("""COMPUTED_VALUE"""),1566.52)</f>
        <v>1566.52</v>
      </c>
      <c r="D970" s="3">
        <f>IFERROR(__xludf.DUMMYFUNCTION("""COMPUTED_VALUE"""),1484.51)</f>
        <v>1484.51</v>
      </c>
      <c r="E970" s="3">
        <f>IFERROR(__xludf.DUMMYFUNCTION("""COMPUTED_VALUE"""),1495.09)</f>
        <v>1495.09</v>
      </c>
      <c r="F970" s="3">
        <f>IFERROR(__xludf.DUMMYFUNCTION("""COMPUTED_VALUE"""),0.0)</f>
        <v>0</v>
      </c>
    </row>
    <row r="971">
      <c r="A971" s="7">
        <f>IFERROR(__xludf.DUMMYFUNCTION("""COMPUTED_VALUE"""),38142.645833333336)</f>
        <v>38142.64583</v>
      </c>
      <c r="B971" s="3">
        <f>IFERROR(__xludf.DUMMYFUNCTION("""COMPUTED_VALUE"""),1494.86)</f>
        <v>1494.86</v>
      </c>
      <c r="C971" s="3">
        <f>IFERROR(__xludf.DUMMYFUNCTION("""COMPUTED_VALUE"""),1526.99)</f>
        <v>1526.99</v>
      </c>
      <c r="D971" s="3">
        <f>IFERROR(__xludf.DUMMYFUNCTION("""COMPUTED_VALUE"""),1480.8)</f>
        <v>1480.8</v>
      </c>
      <c r="E971" s="3">
        <f>IFERROR(__xludf.DUMMYFUNCTION("""COMPUTED_VALUE"""),1521.1)</f>
        <v>1521.1</v>
      </c>
      <c r="F971" s="3">
        <f>IFERROR(__xludf.DUMMYFUNCTION("""COMPUTED_VALUE"""),0.0)</f>
        <v>0</v>
      </c>
    </row>
    <row r="972">
      <c r="A972" s="7">
        <f>IFERROR(__xludf.DUMMYFUNCTION("""COMPUTED_VALUE"""),38145.645833333336)</f>
        <v>38145.64583</v>
      </c>
      <c r="B972" s="3">
        <f>IFERROR(__xludf.DUMMYFUNCTION("""COMPUTED_VALUE"""),1521.6)</f>
        <v>1521.6</v>
      </c>
      <c r="C972" s="3">
        <f>IFERROR(__xludf.DUMMYFUNCTION("""COMPUTED_VALUE"""),1557.52)</f>
        <v>1557.52</v>
      </c>
      <c r="D972" s="3">
        <f>IFERROR(__xludf.DUMMYFUNCTION("""COMPUTED_VALUE"""),1521.6)</f>
        <v>1521.6</v>
      </c>
      <c r="E972" s="3">
        <f>IFERROR(__xludf.DUMMYFUNCTION("""COMPUTED_VALUE"""),1542.56)</f>
        <v>1542.56</v>
      </c>
      <c r="F972" s="3">
        <f>IFERROR(__xludf.DUMMYFUNCTION("""COMPUTED_VALUE"""),0.0)</f>
        <v>0</v>
      </c>
    </row>
    <row r="973">
      <c r="A973" s="7">
        <f>IFERROR(__xludf.DUMMYFUNCTION("""COMPUTED_VALUE"""),38146.645833333336)</f>
        <v>38146.64583</v>
      </c>
      <c r="B973" s="3">
        <f>IFERROR(__xludf.DUMMYFUNCTION("""COMPUTED_VALUE"""),1542.59)</f>
        <v>1542.59</v>
      </c>
      <c r="C973" s="3">
        <f>IFERROR(__xludf.DUMMYFUNCTION("""COMPUTED_VALUE"""),1557.0)</f>
        <v>1557</v>
      </c>
      <c r="D973" s="3">
        <f>IFERROR(__xludf.DUMMYFUNCTION("""COMPUTED_VALUE"""),1526.45)</f>
        <v>1526.45</v>
      </c>
      <c r="E973" s="3">
        <f>IFERROR(__xludf.DUMMYFUNCTION("""COMPUTED_VALUE"""),1550.53)</f>
        <v>1550.53</v>
      </c>
      <c r="F973" s="3">
        <f>IFERROR(__xludf.DUMMYFUNCTION("""COMPUTED_VALUE"""),0.0)</f>
        <v>0</v>
      </c>
    </row>
    <row r="974">
      <c r="A974" s="7">
        <f>IFERROR(__xludf.DUMMYFUNCTION("""COMPUTED_VALUE"""),38147.645833333336)</f>
        <v>38147.64583</v>
      </c>
      <c r="B974" s="3">
        <f>IFERROR(__xludf.DUMMYFUNCTION("""COMPUTED_VALUE"""),1550.43)</f>
        <v>1550.43</v>
      </c>
      <c r="C974" s="3">
        <f>IFERROR(__xludf.DUMMYFUNCTION("""COMPUTED_VALUE"""),1561.6)</f>
        <v>1561.6</v>
      </c>
      <c r="D974" s="3">
        <f>IFERROR(__xludf.DUMMYFUNCTION("""COMPUTED_VALUE"""),1541.59)</f>
        <v>1541.59</v>
      </c>
      <c r="E974" s="3">
        <f>IFERROR(__xludf.DUMMYFUNCTION("""COMPUTED_VALUE"""),1548.3)</f>
        <v>1548.3</v>
      </c>
      <c r="F974" s="3">
        <f>IFERROR(__xludf.DUMMYFUNCTION("""COMPUTED_VALUE"""),0.0)</f>
        <v>0</v>
      </c>
    </row>
    <row r="975">
      <c r="A975" s="7">
        <f>IFERROR(__xludf.DUMMYFUNCTION("""COMPUTED_VALUE"""),38148.645833333336)</f>
        <v>38148.64583</v>
      </c>
      <c r="B975" s="3">
        <f>IFERROR(__xludf.DUMMYFUNCTION("""COMPUTED_VALUE"""),1547.68)</f>
        <v>1547.68</v>
      </c>
      <c r="C975" s="3">
        <f>IFERROR(__xludf.DUMMYFUNCTION("""COMPUTED_VALUE"""),1552.76)</f>
        <v>1552.76</v>
      </c>
      <c r="D975" s="3">
        <f>IFERROR(__xludf.DUMMYFUNCTION("""COMPUTED_VALUE"""),1535.01)</f>
        <v>1535.01</v>
      </c>
      <c r="E975" s="3">
        <f>IFERROR(__xludf.DUMMYFUNCTION("""COMPUTED_VALUE"""),1544.75)</f>
        <v>1544.75</v>
      </c>
      <c r="F975" s="3">
        <f>IFERROR(__xludf.DUMMYFUNCTION("""COMPUTED_VALUE"""),0.0)</f>
        <v>0</v>
      </c>
    </row>
    <row r="976">
      <c r="A976" s="7">
        <f>IFERROR(__xludf.DUMMYFUNCTION("""COMPUTED_VALUE"""),38149.645833333336)</f>
        <v>38149.64583</v>
      </c>
      <c r="B976" s="3">
        <f>IFERROR(__xludf.DUMMYFUNCTION("""COMPUTED_VALUE"""),1544.93)</f>
        <v>1544.93</v>
      </c>
      <c r="C976" s="3">
        <f>IFERROR(__xludf.DUMMYFUNCTION("""COMPUTED_VALUE"""),1547.38)</f>
        <v>1547.38</v>
      </c>
      <c r="D976" s="3">
        <f>IFERROR(__xludf.DUMMYFUNCTION("""COMPUTED_VALUE"""),1504.78)</f>
        <v>1504.78</v>
      </c>
      <c r="E976" s="3">
        <f>IFERROR(__xludf.DUMMYFUNCTION("""COMPUTED_VALUE"""),1508.43)</f>
        <v>1508.43</v>
      </c>
      <c r="F976" s="3">
        <f>IFERROR(__xludf.DUMMYFUNCTION("""COMPUTED_VALUE"""),0.0)</f>
        <v>0</v>
      </c>
    </row>
    <row r="977">
      <c r="A977" s="7">
        <f>IFERROR(__xludf.DUMMYFUNCTION("""COMPUTED_VALUE"""),38152.645833333336)</f>
        <v>38152.64583</v>
      </c>
      <c r="B977" s="3">
        <f>IFERROR(__xludf.DUMMYFUNCTION("""COMPUTED_VALUE"""),1508.16)</f>
        <v>1508.16</v>
      </c>
      <c r="C977" s="3">
        <f>IFERROR(__xludf.DUMMYFUNCTION("""COMPUTED_VALUE"""),1509.59)</f>
        <v>1509.59</v>
      </c>
      <c r="D977" s="3">
        <f>IFERROR(__xludf.DUMMYFUNCTION("""COMPUTED_VALUE"""),1474.63)</f>
        <v>1474.63</v>
      </c>
      <c r="E977" s="3">
        <f>IFERROR(__xludf.DUMMYFUNCTION("""COMPUTED_VALUE"""),1481.34)</f>
        <v>1481.34</v>
      </c>
      <c r="F977" s="3">
        <f>IFERROR(__xludf.DUMMYFUNCTION("""COMPUTED_VALUE"""),0.0)</f>
        <v>0</v>
      </c>
    </row>
    <row r="978">
      <c r="A978" s="7">
        <f>IFERROR(__xludf.DUMMYFUNCTION("""COMPUTED_VALUE"""),38153.645833333336)</f>
        <v>38153.64583</v>
      </c>
      <c r="B978" s="3">
        <f>IFERROR(__xludf.DUMMYFUNCTION("""COMPUTED_VALUE"""),1481.44)</f>
        <v>1481.44</v>
      </c>
      <c r="C978" s="3">
        <f>IFERROR(__xludf.DUMMYFUNCTION("""COMPUTED_VALUE"""),1507.83)</f>
        <v>1507.83</v>
      </c>
      <c r="D978" s="3">
        <f>IFERROR(__xludf.DUMMYFUNCTION("""COMPUTED_VALUE"""),1480.98)</f>
        <v>1480.98</v>
      </c>
      <c r="E978" s="3">
        <f>IFERROR(__xludf.DUMMYFUNCTION("""COMPUTED_VALUE"""),1501.0)</f>
        <v>1501</v>
      </c>
      <c r="F978" s="3">
        <f>IFERROR(__xludf.DUMMYFUNCTION("""COMPUTED_VALUE"""),0.0)</f>
        <v>0</v>
      </c>
    </row>
    <row r="979">
      <c r="A979" s="7">
        <f>IFERROR(__xludf.DUMMYFUNCTION("""COMPUTED_VALUE"""),38154.645833333336)</f>
        <v>38154.64583</v>
      </c>
      <c r="B979" s="3">
        <f>IFERROR(__xludf.DUMMYFUNCTION("""COMPUTED_VALUE"""),1500.93)</f>
        <v>1500.93</v>
      </c>
      <c r="C979" s="3">
        <f>IFERROR(__xludf.DUMMYFUNCTION("""COMPUTED_VALUE"""),1525.22)</f>
        <v>1525.22</v>
      </c>
      <c r="D979" s="3">
        <f>IFERROR(__xludf.DUMMYFUNCTION("""COMPUTED_VALUE"""),1490.43)</f>
        <v>1490.43</v>
      </c>
      <c r="E979" s="3">
        <f>IFERROR(__xludf.DUMMYFUNCTION("""COMPUTED_VALUE"""),1494.74)</f>
        <v>1494.74</v>
      </c>
      <c r="F979" s="3">
        <f>IFERROR(__xludf.DUMMYFUNCTION("""COMPUTED_VALUE"""),0.0)</f>
        <v>0</v>
      </c>
    </row>
    <row r="980">
      <c r="A980" s="7">
        <f>IFERROR(__xludf.DUMMYFUNCTION("""COMPUTED_VALUE"""),38155.645833333336)</f>
        <v>38155.64583</v>
      </c>
      <c r="B980" s="3">
        <f>IFERROR(__xludf.DUMMYFUNCTION("""COMPUTED_VALUE"""),1494.69)</f>
        <v>1494.69</v>
      </c>
      <c r="C980" s="3">
        <f>IFERROR(__xludf.DUMMYFUNCTION("""COMPUTED_VALUE"""),1519.19)</f>
        <v>1519.19</v>
      </c>
      <c r="D980" s="3">
        <f>IFERROR(__xludf.DUMMYFUNCTION("""COMPUTED_VALUE"""),1482.19)</f>
        <v>1482.19</v>
      </c>
      <c r="E980" s="3">
        <f>IFERROR(__xludf.DUMMYFUNCTION("""COMPUTED_VALUE"""),1512.05)</f>
        <v>1512.05</v>
      </c>
      <c r="F980" s="3">
        <f>IFERROR(__xludf.DUMMYFUNCTION("""COMPUTED_VALUE"""),0.0)</f>
        <v>0</v>
      </c>
    </row>
    <row r="981">
      <c r="A981" s="7">
        <f>IFERROR(__xludf.DUMMYFUNCTION("""COMPUTED_VALUE"""),38156.645833333336)</f>
        <v>38156.64583</v>
      </c>
      <c r="B981" s="3">
        <f>IFERROR(__xludf.DUMMYFUNCTION("""COMPUTED_VALUE"""),1511.95)</f>
        <v>1511.95</v>
      </c>
      <c r="C981" s="3">
        <f>IFERROR(__xludf.DUMMYFUNCTION("""COMPUTED_VALUE"""),1515.07)</f>
        <v>1515.07</v>
      </c>
      <c r="D981" s="3">
        <f>IFERROR(__xludf.DUMMYFUNCTION("""COMPUTED_VALUE"""),1485.06)</f>
        <v>1485.06</v>
      </c>
      <c r="E981" s="3">
        <f>IFERROR(__xludf.DUMMYFUNCTION("""COMPUTED_VALUE"""),1491.2)</f>
        <v>1491.2</v>
      </c>
      <c r="F981" s="3">
        <f>IFERROR(__xludf.DUMMYFUNCTION("""COMPUTED_VALUE"""),0.0)</f>
        <v>0</v>
      </c>
    </row>
    <row r="982">
      <c r="A982" s="7">
        <f>IFERROR(__xludf.DUMMYFUNCTION("""COMPUTED_VALUE"""),38159.645833333336)</f>
        <v>38159.64583</v>
      </c>
      <c r="B982" s="3">
        <f>IFERROR(__xludf.DUMMYFUNCTION("""COMPUTED_VALUE"""),1490.77)</f>
        <v>1490.77</v>
      </c>
      <c r="C982" s="3">
        <f>IFERROR(__xludf.DUMMYFUNCTION("""COMPUTED_VALUE"""),1499.81)</f>
        <v>1499.81</v>
      </c>
      <c r="D982" s="3">
        <f>IFERROR(__xludf.DUMMYFUNCTION("""COMPUTED_VALUE"""),1478.85)</f>
        <v>1478.85</v>
      </c>
      <c r="E982" s="3">
        <f>IFERROR(__xludf.DUMMYFUNCTION("""COMPUTED_VALUE"""),1481.99)</f>
        <v>1481.99</v>
      </c>
      <c r="F982" s="3">
        <f>IFERROR(__xludf.DUMMYFUNCTION("""COMPUTED_VALUE"""),0.0)</f>
        <v>0</v>
      </c>
    </row>
    <row r="983">
      <c r="A983" s="7">
        <f>IFERROR(__xludf.DUMMYFUNCTION("""COMPUTED_VALUE"""),38160.645833333336)</f>
        <v>38160.64583</v>
      </c>
      <c r="B983" s="3">
        <f>IFERROR(__xludf.DUMMYFUNCTION("""COMPUTED_VALUE"""),1482.83)</f>
        <v>1482.83</v>
      </c>
      <c r="C983" s="3">
        <f>IFERROR(__xludf.DUMMYFUNCTION("""COMPUTED_VALUE"""),1489.59)</f>
        <v>1489.59</v>
      </c>
      <c r="D983" s="3">
        <f>IFERROR(__xludf.DUMMYFUNCTION("""COMPUTED_VALUE"""),1467.63)</f>
        <v>1467.63</v>
      </c>
      <c r="E983" s="3">
        <f>IFERROR(__xludf.DUMMYFUNCTION("""COMPUTED_VALUE"""),1474.68)</f>
        <v>1474.68</v>
      </c>
      <c r="F983" s="3">
        <f>IFERROR(__xludf.DUMMYFUNCTION("""COMPUTED_VALUE"""),0.0)</f>
        <v>0</v>
      </c>
    </row>
    <row r="984">
      <c r="A984" s="7">
        <f>IFERROR(__xludf.DUMMYFUNCTION("""COMPUTED_VALUE"""),38161.645833333336)</f>
        <v>38161.64583</v>
      </c>
      <c r="B984" s="3">
        <f>IFERROR(__xludf.DUMMYFUNCTION("""COMPUTED_VALUE"""),1474.82)</f>
        <v>1474.82</v>
      </c>
      <c r="C984" s="3">
        <f>IFERROR(__xludf.DUMMYFUNCTION("""COMPUTED_VALUE"""),1481.44)</f>
        <v>1481.44</v>
      </c>
      <c r="D984" s="3">
        <f>IFERROR(__xludf.DUMMYFUNCTION("""COMPUTED_VALUE"""),1442.56)</f>
        <v>1442.56</v>
      </c>
      <c r="E984" s="3">
        <f>IFERROR(__xludf.DUMMYFUNCTION("""COMPUTED_VALUE"""),1446.1)</f>
        <v>1446.1</v>
      </c>
      <c r="F984" s="3">
        <f>IFERROR(__xludf.DUMMYFUNCTION("""COMPUTED_VALUE"""),0.0)</f>
        <v>0</v>
      </c>
    </row>
    <row r="985">
      <c r="A985" s="7">
        <f>IFERROR(__xludf.DUMMYFUNCTION("""COMPUTED_VALUE"""),38162.645833333336)</f>
        <v>38162.64583</v>
      </c>
      <c r="B985" s="3">
        <f>IFERROR(__xludf.DUMMYFUNCTION("""COMPUTED_VALUE"""),1445.33)</f>
        <v>1445.33</v>
      </c>
      <c r="C985" s="3">
        <f>IFERROR(__xludf.DUMMYFUNCTION("""COMPUTED_VALUE"""),1474.3)</f>
        <v>1474.3</v>
      </c>
      <c r="D985" s="3">
        <f>IFERROR(__xludf.DUMMYFUNCTION("""COMPUTED_VALUE"""),1437.89)</f>
        <v>1437.89</v>
      </c>
      <c r="E985" s="3">
        <f>IFERROR(__xludf.DUMMYFUNCTION("""COMPUTED_VALUE"""),1470.74)</f>
        <v>1470.74</v>
      </c>
      <c r="F985" s="3">
        <f>IFERROR(__xludf.DUMMYFUNCTION("""COMPUTED_VALUE"""),0.0)</f>
        <v>0</v>
      </c>
    </row>
    <row r="986">
      <c r="A986" s="7">
        <f>IFERROR(__xludf.DUMMYFUNCTION("""COMPUTED_VALUE"""),38163.645833333336)</f>
        <v>38163.64583</v>
      </c>
      <c r="B986" s="3">
        <f>IFERROR(__xludf.DUMMYFUNCTION("""COMPUTED_VALUE"""),1471.48)</f>
        <v>1471.48</v>
      </c>
      <c r="C986" s="3">
        <f>IFERROR(__xludf.DUMMYFUNCTION("""COMPUTED_VALUE"""),1493.98)</f>
        <v>1493.98</v>
      </c>
      <c r="D986" s="3">
        <f>IFERROR(__xludf.DUMMYFUNCTION("""COMPUTED_VALUE"""),1459.57)</f>
        <v>1459.57</v>
      </c>
      <c r="E986" s="3">
        <f>IFERROR(__xludf.DUMMYFUNCTION("""COMPUTED_VALUE"""),1488.51)</f>
        <v>1488.51</v>
      </c>
      <c r="F986" s="3">
        <f>IFERROR(__xludf.DUMMYFUNCTION("""COMPUTED_VALUE"""),0.0)</f>
        <v>0</v>
      </c>
    </row>
    <row r="987">
      <c r="A987" s="7">
        <f>IFERROR(__xludf.DUMMYFUNCTION("""COMPUTED_VALUE"""),38166.645833333336)</f>
        <v>38166.64583</v>
      </c>
      <c r="B987" s="3">
        <f>IFERROR(__xludf.DUMMYFUNCTION("""COMPUTED_VALUE"""),1488.59)</f>
        <v>1488.59</v>
      </c>
      <c r="C987" s="3">
        <f>IFERROR(__xludf.DUMMYFUNCTION("""COMPUTED_VALUE"""),1516.93)</f>
        <v>1516.93</v>
      </c>
      <c r="D987" s="3">
        <f>IFERROR(__xludf.DUMMYFUNCTION("""COMPUTED_VALUE"""),1488.59)</f>
        <v>1488.59</v>
      </c>
      <c r="E987" s="3">
        <f>IFERROR(__xludf.DUMMYFUNCTION("""COMPUTED_VALUE"""),1514.33)</f>
        <v>1514.33</v>
      </c>
      <c r="F987" s="3">
        <f>IFERROR(__xludf.DUMMYFUNCTION("""COMPUTED_VALUE"""),0.0)</f>
        <v>0</v>
      </c>
    </row>
    <row r="988">
      <c r="A988" s="7">
        <f>IFERROR(__xludf.DUMMYFUNCTION("""COMPUTED_VALUE"""),38167.645833333336)</f>
        <v>38167.64583</v>
      </c>
      <c r="B988" s="3">
        <f>IFERROR(__xludf.DUMMYFUNCTION("""COMPUTED_VALUE"""),1514.33)</f>
        <v>1514.33</v>
      </c>
      <c r="C988" s="3">
        <f>IFERROR(__xludf.DUMMYFUNCTION("""COMPUTED_VALUE"""),1528.48)</f>
        <v>1528.48</v>
      </c>
      <c r="D988" s="3">
        <f>IFERROR(__xludf.DUMMYFUNCTION("""COMPUTED_VALUE"""),1503.29)</f>
        <v>1503.29</v>
      </c>
      <c r="E988" s="3">
        <f>IFERROR(__xludf.DUMMYFUNCTION("""COMPUTED_VALUE"""),1518.28)</f>
        <v>1518.28</v>
      </c>
      <c r="F988" s="3">
        <f>IFERROR(__xludf.DUMMYFUNCTION("""COMPUTED_VALUE"""),0.0)</f>
        <v>0</v>
      </c>
    </row>
    <row r="989">
      <c r="A989" s="7">
        <f>IFERROR(__xludf.DUMMYFUNCTION("""COMPUTED_VALUE"""),38168.645833333336)</f>
        <v>38168.64583</v>
      </c>
      <c r="B989" s="3">
        <f>IFERROR(__xludf.DUMMYFUNCTION("""COMPUTED_VALUE"""),1518.71)</f>
        <v>1518.71</v>
      </c>
      <c r="C989" s="3">
        <f>IFERROR(__xludf.DUMMYFUNCTION("""COMPUTED_VALUE"""),1532.16)</f>
        <v>1532.16</v>
      </c>
      <c r="D989" s="3">
        <f>IFERROR(__xludf.DUMMYFUNCTION("""COMPUTED_VALUE"""),1501.69)</f>
        <v>1501.69</v>
      </c>
      <c r="E989" s="3">
        <f>IFERROR(__xludf.DUMMYFUNCTION("""COMPUTED_VALUE"""),1505.62)</f>
        <v>1505.62</v>
      </c>
      <c r="F989" s="3">
        <f>IFERROR(__xludf.DUMMYFUNCTION("""COMPUTED_VALUE"""),0.0)</f>
        <v>0</v>
      </c>
    </row>
    <row r="990">
      <c r="A990" s="7">
        <f>IFERROR(__xludf.DUMMYFUNCTION("""COMPUTED_VALUE"""),38169.645833333336)</f>
        <v>38169.64583</v>
      </c>
      <c r="B990" s="3">
        <f>IFERROR(__xludf.DUMMYFUNCTION("""COMPUTED_VALUE"""),1506.63)</f>
        <v>1506.63</v>
      </c>
      <c r="C990" s="3">
        <f>IFERROR(__xludf.DUMMYFUNCTION("""COMPUTED_VALUE"""),1539.13)</f>
        <v>1539.13</v>
      </c>
      <c r="D990" s="3">
        <f>IFERROR(__xludf.DUMMYFUNCTION("""COMPUTED_VALUE"""),1504.55)</f>
        <v>1504.55</v>
      </c>
      <c r="E990" s="3">
        <f>IFERROR(__xludf.DUMMYFUNCTION("""COMPUTED_VALUE"""),1537.19)</f>
        <v>1537.19</v>
      </c>
      <c r="F990" s="3">
        <f>IFERROR(__xludf.DUMMYFUNCTION("""COMPUTED_VALUE"""),0.0)</f>
        <v>0</v>
      </c>
    </row>
    <row r="991">
      <c r="A991" s="7">
        <f>IFERROR(__xludf.DUMMYFUNCTION("""COMPUTED_VALUE"""),38170.645833333336)</f>
        <v>38170.64583</v>
      </c>
      <c r="B991" s="3">
        <f>IFERROR(__xludf.DUMMYFUNCTION("""COMPUTED_VALUE"""),1537.03)</f>
        <v>1537.03</v>
      </c>
      <c r="C991" s="3">
        <f>IFERROR(__xludf.DUMMYFUNCTION("""COMPUTED_VALUE"""),1547.66)</f>
        <v>1547.66</v>
      </c>
      <c r="D991" s="3">
        <f>IFERROR(__xludf.DUMMYFUNCTION("""COMPUTED_VALUE"""),1516.13)</f>
        <v>1516.13</v>
      </c>
      <c r="E991" s="3">
        <f>IFERROR(__xludf.DUMMYFUNCTION("""COMPUTED_VALUE"""),1537.5)</f>
        <v>1537.5</v>
      </c>
      <c r="F991" s="3">
        <f>IFERROR(__xludf.DUMMYFUNCTION("""COMPUTED_VALUE"""),0.0)</f>
        <v>0</v>
      </c>
    </row>
    <row r="992">
      <c r="A992" s="7">
        <f>IFERROR(__xludf.DUMMYFUNCTION("""COMPUTED_VALUE"""),38173.645833333336)</f>
        <v>38173.64583</v>
      </c>
      <c r="B992" s="3">
        <f>IFERROR(__xludf.DUMMYFUNCTION("""COMPUTED_VALUE"""),1537.53)</f>
        <v>1537.53</v>
      </c>
      <c r="C992" s="3">
        <f>IFERROR(__xludf.DUMMYFUNCTION("""COMPUTED_VALUE"""),1545.99)</f>
        <v>1545.99</v>
      </c>
      <c r="D992" s="3">
        <f>IFERROR(__xludf.DUMMYFUNCTION("""COMPUTED_VALUE"""),1522.9)</f>
        <v>1522.9</v>
      </c>
      <c r="E992" s="3">
        <f>IFERROR(__xludf.DUMMYFUNCTION("""COMPUTED_VALUE"""),1526.87)</f>
        <v>1526.87</v>
      </c>
      <c r="F992" s="3">
        <f>IFERROR(__xludf.DUMMYFUNCTION("""COMPUTED_VALUE"""),0.0)</f>
        <v>0</v>
      </c>
    </row>
    <row r="993">
      <c r="A993" s="7">
        <f>IFERROR(__xludf.DUMMYFUNCTION("""COMPUTED_VALUE"""),38174.645833333336)</f>
        <v>38174.64583</v>
      </c>
      <c r="B993" s="3">
        <f>IFERROR(__xludf.DUMMYFUNCTION("""COMPUTED_VALUE"""),1526.63)</f>
        <v>1526.63</v>
      </c>
      <c r="C993" s="3">
        <f>IFERROR(__xludf.DUMMYFUNCTION("""COMPUTED_VALUE"""),1561.01)</f>
        <v>1561.01</v>
      </c>
      <c r="D993" s="3">
        <f>IFERROR(__xludf.DUMMYFUNCTION("""COMPUTED_VALUE"""),1524.16)</f>
        <v>1524.16</v>
      </c>
      <c r="E993" s="3">
        <f>IFERROR(__xludf.DUMMYFUNCTION("""COMPUTED_VALUE"""),1558.26)</f>
        <v>1558.26</v>
      </c>
      <c r="F993" s="3">
        <f>IFERROR(__xludf.DUMMYFUNCTION("""COMPUTED_VALUE"""),0.0)</f>
        <v>0</v>
      </c>
    </row>
    <row r="994">
      <c r="A994" s="7">
        <f>IFERROR(__xludf.DUMMYFUNCTION("""COMPUTED_VALUE"""),38175.645833333336)</f>
        <v>38175.64583</v>
      </c>
      <c r="B994" s="3">
        <f>IFERROR(__xludf.DUMMYFUNCTION("""COMPUTED_VALUE"""),1558.07)</f>
        <v>1558.07</v>
      </c>
      <c r="C994" s="3">
        <f>IFERROR(__xludf.DUMMYFUNCTION("""COMPUTED_VALUE"""),1578.48)</f>
        <v>1578.48</v>
      </c>
      <c r="D994" s="3">
        <f>IFERROR(__xludf.DUMMYFUNCTION("""COMPUTED_VALUE"""),1551.36)</f>
        <v>1551.36</v>
      </c>
      <c r="E994" s="3">
        <f>IFERROR(__xludf.DUMMYFUNCTION("""COMPUTED_VALUE"""),1566.82)</f>
        <v>1566.82</v>
      </c>
      <c r="F994" s="3">
        <f>IFERROR(__xludf.DUMMYFUNCTION("""COMPUTED_VALUE"""),0.0)</f>
        <v>0</v>
      </c>
    </row>
    <row r="995">
      <c r="A995" s="7">
        <f>IFERROR(__xludf.DUMMYFUNCTION("""COMPUTED_VALUE"""),38176.645833333336)</f>
        <v>38176.64583</v>
      </c>
      <c r="B995" s="3">
        <f>IFERROR(__xludf.DUMMYFUNCTION("""COMPUTED_VALUE"""),1567.23)</f>
        <v>1567.23</v>
      </c>
      <c r="C995" s="3">
        <f>IFERROR(__xludf.DUMMYFUNCTION("""COMPUTED_VALUE"""),1586.56)</f>
        <v>1586.56</v>
      </c>
      <c r="D995" s="3">
        <f>IFERROR(__xludf.DUMMYFUNCTION("""COMPUTED_VALUE"""),1504.48)</f>
        <v>1504.48</v>
      </c>
      <c r="E995" s="3">
        <f>IFERROR(__xludf.DUMMYFUNCTION("""COMPUTED_VALUE"""),1518.14)</f>
        <v>1518.14</v>
      </c>
      <c r="F995" s="3">
        <f>IFERROR(__xludf.DUMMYFUNCTION("""COMPUTED_VALUE"""),0.0)</f>
        <v>0</v>
      </c>
    </row>
    <row r="996">
      <c r="A996" s="7">
        <f>IFERROR(__xludf.DUMMYFUNCTION("""COMPUTED_VALUE"""),38177.645833333336)</f>
        <v>38177.64583</v>
      </c>
      <c r="B996" s="3">
        <f>IFERROR(__xludf.DUMMYFUNCTION("""COMPUTED_VALUE"""),1517.47)</f>
        <v>1517.47</v>
      </c>
      <c r="C996" s="3">
        <f>IFERROR(__xludf.DUMMYFUNCTION("""COMPUTED_VALUE"""),1557.73)</f>
        <v>1557.73</v>
      </c>
      <c r="D996" s="3">
        <f>IFERROR(__xludf.DUMMYFUNCTION("""COMPUTED_VALUE"""),1472.55)</f>
        <v>1472.55</v>
      </c>
      <c r="E996" s="3">
        <f>IFERROR(__xludf.DUMMYFUNCTION("""COMPUTED_VALUE"""),1553.2)</f>
        <v>1553.2</v>
      </c>
      <c r="F996" s="3">
        <f>IFERROR(__xludf.DUMMYFUNCTION("""COMPUTED_VALUE"""),0.0)</f>
        <v>0</v>
      </c>
    </row>
    <row r="997">
      <c r="A997" s="7">
        <f>IFERROR(__xludf.DUMMYFUNCTION("""COMPUTED_VALUE"""),38180.645833333336)</f>
        <v>38180.64583</v>
      </c>
      <c r="B997" s="3">
        <f>IFERROR(__xludf.DUMMYFUNCTION("""COMPUTED_VALUE"""),1548.59)</f>
        <v>1548.59</v>
      </c>
      <c r="C997" s="3">
        <f>IFERROR(__xludf.DUMMYFUNCTION("""COMPUTED_VALUE"""),1562.78)</f>
        <v>1562.78</v>
      </c>
      <c r="D997" s="3">
        <f>IFERROR(__xludf.DUMMYFUNCTION("""COMPUTED_VALUE"""),1537.71)</f>
        <v>1537.71</v>
      </c>
      <c r="E997" s="3">
        <f>IFERROR(__xludf.DUMMYFUNCTION("""COMPUTED_VALUE"""),1556.94)</f>
        <v>1556.94</v>
      </c>
      <c r="F997" s="3">
        <f>IFERROR(__xludf.DUMMYFUNCTION("""COMPUTED_VALUE"""),0.0)</f>
        <v>0</v>
      </c>
    </row>
    <row r="998">
      <c r="A998" s="7">
        <f>IFERROR(__xludf.DUMMYFUNCTION("""COMPUTED_VALUE"""),38181.645833333336)</f>
        <v>38181.64583</v>
      </c>
      <c r="B998" s="3">
        <f>IFERROR(__xludf.DUMMYFUNCTION("""COMPUTED_VALUE"""),1560.01)</f>
        <v>1560.01</v>
      </c>
      <c r="C998" s="3">
        <f>IFERROR(__xludf.DUMMYFUNCTION("""COMPUTED_VALUE"""),1569.76)</f>
        <v>1569.76</v>
      </c>
      <c r="D998" s="3">
        <f>IFERROR(__xludf.DUMMYFUNCTION("""COMPUTED_VALUE"""),1530.59)</f>
        <v>1530.59</v>
      </c>
      <c r="E998" s="3">
        <f>IFERROR(__xludf.DUMMYFUNCTION("""COMPUTED_VALUE"""),1539.29)</f>
        <v>1539.29</v>
      </c>
      <c r="F998" s="3">
        <f>IFERROR(__xludf.DUMMYFUNCTION("""COMPUTED_VALUE"""),0.0)</f>
        <v>0</v>
      </c>
    </row>
    <row r="999">
      <c r="A999" s="7">
        <f>IFERROR(__xludf.DUMMYFUNCTION("""COMPUTED_VALUE"""),38182.645833333336)</f>
        <v>38182.64583</v>
      </c>
      <c r="B999" s="3">
        <f>IFERROR(__xludf.DUMMYFUNCTION("""COMPUTED_VALUE"""),1535.12)</f>
        <v>1535.12</v>
      </c>
      <c r="C999" s="3">
        <f>IFERROR(__xludf.DUMMYFUNCTION("""COMPUTED_VALUE"""),1552.26)</f>
        <v>1552.26</v>
      </c>
      <c r="D999" s="3">
        <f>IFERROR(__xludf.DUMMYFUNCTION("""COMPUTED_VALUE"""),1519.33)</f>
        <v>1519.33</v>
      </c>
      <c r="E999" s="3">
        <f>IFERROR(__xludf.DUMMYFUNCTION("""COMPUTED_VALUE"""),1522.74)</f>
        <v>1522.74</v>
      </c>
      <c r="F999" s="3">
        <f>IFERROR(__xludf.DUMMYFUNCTION("""COMPUTED_VALUE"""),0.0)</f>
        <v>0</v>
      </c>
    </row>
    <row r="1000">
      <c r="A1000" s="7">
        <f>IFERROR(__xludf.DUMMYFUNCTION("""COMPUTED_VALUE"""),38183.645833333336)</f>
        <v>38183.64583</v>
      </c>
      <c r="B1000" s="3">
        <f>IFERROR(__xludf.DUMMYFUNCTION("""COMPUTED_VALUE"""),1523.08)</f>
        <v>1523.08</v>
      </c>
      <c r="C1000" s="3">
        <f>IFERROR(__xludf.DUMMYFUNCTION("""COMPUTED_VALUE"""),1543.23)</f>
        <v>1543.23</v>
      </c>
      <c r="D1000" s="3">
        <f>IFERROR(__xludf.DUMMYFUNCTION("""COMPUTED_VALUE"""),1517.79)</f>
        <v>1517.79</v>
      </c>
      <c r="E1000" s="3">
        <f>IFERROR(__xludf.DUMMYFUNCTION("""COMPUTED_VALUE"""),1539.42)</f>
        <v>1539.42</v>
      </c>
      <c r="F1000" s="3">
        <f>IFERROR(__xludf.DUMMYFUNCTION("""COMPUTED_VALUE"""),0.0)</f>
        <v>0</v>
      </c>
    </row>
    <row r="1001">
      <c r="A1001" s="7">
        <f>IFERROR(__xludf.DUMMYFUNCTION("""COMPUTED_VALUE"""),38184.645833333336)</f>
        <v>38184.64583</v>
      </c>
      <c r="B1001" s="3">
        <f>IFERROR(__xludf.DUMMYFUNCTION("""COMPUTED_VALUE"""),1538.15)</f>
        <v>1538.15</v>
      </c>
      <c r="C1001" s="3">
        <f>IFERROR(__xludf.DUMMYFUNCTION("""COMPUTED_VALUE"""),1562.0)</f>
        <v>1562</v>
      </c>
      <c r="D1001" s="3">
        <f>IFERROR(__xludf.DUMMYFUNCTION("""COMPUTED_VALUE"""),1533.65)</f>
        <v>1533.65</v>
      </c>
      <c r="E1001" s="3">
        <f>IFERROR(__xludf.DUMMYFUNCTION("""COMPUTED_VALUE"""),1558.8)</f>
        <v>1558.8</v>
      </c>
      <c r="F1001" s="3">
        <f>IFERROR(__xludf.DUMMYFUNCTION("""COMPUTED_VALUE"""),0.0)</f>
        <v>0</v>
      </c>
    </row>
    <row r="1002">
      <c r="A1002" s="7">
        <f>IFERROR(__xludf.DUMMYFUNCTION("""COMPUTED_VALUE"""),38187.645833333336)</f>
        <v>38187.64583</v>
      </c>
      <c r="B1002" s="3">
        <f>IFERROR(__xludf.DUMMYFUNCTION("""COMPUTED_VALUE"""),1559.19)</f>
        <v>1559.19</v>
      </c>
      <c r="C1002" s="3">
        <f>IFERROR(__xludf.DUMMYFUNCTION("""COMPUTED_VALUE"""),1582.37)</f>
        <v>1582.37</v>
      </c>
      <c r="D1002" s="3">
        <f>IFERROR(__xludf.DUMMYFUNCTION("""COMPUTED_VALUE"""),1556.56)</f>
        <v>1556.56</v>
      </c>
      <c r="E1002" s="3">
        <f>IFERROR(__xludf.DUMMYFUNCTION("""COMPUTED_VALUE"""),1571.58)</f>
        <v>1571.58</v>
      </c>
      <c r="F1002" s="3">
        <f>IFERROR(__xludf.DUMMYFUNCTION("""COMPUTED_VALUE"""),0.0)</f>
        <v>0</v>
      </c>
    </row>
    <row r="1003">
      <c r="A1003" s="7">
        <f>IFERROR(__xludf.DUMMYFUNCTION("""COMPUTED_VALUE"""),38188.645833333336)</f>
        <v>38188.64583</v>
      </c>
      <c r="B1003" s="3">
        <f>IFERROR(__xludf.DUMMYFUNCTION("""COMPUTED_VALUE"""),1571.68)</f>
        <v>1571.68</v>
      </c>
      <c r="C1003" s="3">
        <f>IFERROR(__xludf.DUMMYFUNCTION("""COMPUTED_VALUE"""),1581.03)</f>
        <v>1581.03</v>
      </c>
      <c r="D1003" s="3">
        <f>IFERROR(__xludf.DUMMYFUNCTION("""COMPUTED_VALUE"""),1555.57)</f>
        <v>1555.57</v>
      </c>
      <c r="E1003" s="3">
        <f>IFERROR(__xludf.DUMMYFUNCTION("""COMPUTED_VALUE"""),1566.08)</f>
        <v>1566.08</v>
      </c>
      <c r="F1003" s="3">
        <f>IFERROR(__xludf.DUMMYFUNCTION("""COMPUTED_VALUE"""),0.0)</f>
        <v>0</v>
      </c>
    </row>
    <row r="1004">
      <c r="A1004" s="7">
        <f>IFERROR(__xludf.DUMMYFUNCTION("""COMPUTED_VALUE"""),38189.645833333336)</f>
        <v>38189.64583</v>
      </c>
      <c r="B1004" s="3">
        <f>IFERROR(__xludf.DUMMYFUNCTION("""COMPUTED_VALUE"""),1566.17)</f>
        <v>1566.17</v>
      </c>
      <c r="C1004" s="3">
        <f>IFERROR(__xludf.DUMMYFUNCTION("""COMPUTED_VALUE"""),1600.72)</f>
        <v>1600.72</v>
      </c>
      <c r="D1004" s="3">
        <f>IFERROR(__xludf.DUMMYFUNCTION("""COMPUTED_VALUE"""),1562.9)</f>
        <v>1562.9</v>
      </c>
      <c r="E1004" s="3">
        <f>IFERROR(__xludf.DUMMYFUNCTION("""COMPUTED_VALUE"""),1581.41)</f>
        <v>1581.41</v>
      </c>
      <c r="F1004" s="3">
        <f>IFERROR(__xludf.DUMMYFUNCTION("""COMPUTED_VALUE"""),0.0)</f>
        <v>0</v>
      </c>
    </row>
    <row r="1005">
      <c r="A1005" s="7">
        <f>IFERROR(__xludf.DUMMYFUNCTION("""COMPUTED_VALUE"""),38190.645833333336)</f>
        <v>38190.64583</v>
      </c>
      <c r="B1005" s="3">
        <f>IFERROR(__xludf.DUMMYFUNCTION("""COMPUTED_VALUE"""),1581.61)</f>
        <v>1581.61</v>
      </c>
      <c r="C1005" s="3">
        <f>IFERROR(__xludf.DUMMYFUNCTION("""COMPUTED_VALUE"""),1609.54)</f>
        <v>1609.54</v>
      </c>
      <c r="D1005" s="3">
        <f>IFERROR(__xludf.DUMMYFUNCTION("""COMPUTED_VALUE"""),1580.93)</f>
        <v>1580.93</v>
      </c>
      <c r="E1005" s="3">
        <f>IFERROR(__xludf.DUMMYFUNCTION("""COMPUTED_VALUE"""),1598.11)</f>
        <v>1598.11</v>
      </c>
      <c r="F1005" s="3">
        <f>IFERROR(__xludf.DUMMYFUNCTION("""COMPUTED_VALUE"""),0.0)</f>
        <v>0</v>
      </c>
    </row>
    <row r="1006">
      <c r="A1006" s="7">
        <f>IFERROR(__xludf.DUMMYFUNCTION("""COMPUTED_VALUE"""),38191.645833333336)</f>
        <v>38191.64583</v>
      </c>
      <c r="B1006" s="3">
        <f>IFERROR(__xludf.DUMMYFUNCTION("""COMPUTED_VALUE"""),1587.6)</f>
        <v>1587.6</v>
      </c>
      <c r="C1006" s="3">
        <f>IFERROR(__xludf.DUMMYFUNCTION("""COMPUTED_VALUE"""),1610.87)</f>
        <v>1610.87</v>
      </c>
      <c r="D1006" s="3">
        <f>IFERROR(__xludf.DUMMYFUNCTION("""COMPUTED_VALUE"""),1587.6)</f>
        <v>1587.6</v>
      </c>
      <c r="E1006" s="3">
        <f>IFERROR(__xludf.DUMMYFUNCTION("""COMPUTED_VALUE"""),1601.58)</f>
        <v>1601.58</v>
      </c>
      <c r="F1006" s="3">
        <f>IFERROR(__xludf.DUMMYFUNCTION("""COMPUTED_VALUE"""),0.0)</f>
        <v>0</v>
      </c>
    </row>
    <row r="1007">
      <c r="A1007" s="7">
        <f>IFERROR(__xludf.DUMMYFUNCTION("""COMPUTED_VALUE"""),38194.645833333336)</f>
        <v>38194.64583</v>
      </c>
      <c r="B1007" s="3">
        <f>IFERROR(__xludf.DUMMYFUNCTION("""COMPUTED_VALUE"""),1602.13)</f>
        <v>1602.13</v>
      </c>
      <c r="C1007" s="3">
        <f>IFERROR(__xludf.DUMMYFUNCTION("""COMPUTED_VALUE"""),1620.35)</f>
        <v>1620.35</v>
      </c>
      <c r="D1007" s="3">
        <f>IFERROR(__xludf.DUMMYFUNCTION("""COMPUTED_VALUE"""),1584.65)</f>
        <v>1584.65</v>
      </c>
      <c r="E1007" s="3">
        <f>IFERROR(__xludf.DUMMYFUNCTION("""COMPUTED_VALUE"""),1618.02)</f>
        <v>1618.02</v>
      </c>
      <c r="F1007" s="3">
        <f>IFERROR(__xludf.DUMMYFUNCTION("""COMPUTED_VALUE"""),0.0)</f>
        <v>0</v>
      </c>
    </row>
    <row r="1008">
      <c r="A1008" s="7">
        <f>IFERROR(__xludf.DUMMYFUNCTION("""COMPUTED_VALUE"""),38195.645833333336)</f>
        <v>38195.64583</v>
      </c>
      <c r="B1008" s="3">
        <f>IFERROR(__xludf.DUMMYFUNCTION("""COMPUTED_VALUE"""),1617.95)</f>
        <v>1617.95</v>
      </c>
      <c r="C1008" s="3">
        <f>IFERROR(__xludf.DUMMYFUNCTION("""COMPUTED_VALUE"""),1629.33)</f>
        <v>1629.33</v>
      </c>
      <c r="D1008" s="3">
        <f>IFERROR(__xludf.DUMMYFUNCTION("""COMPUTED_VALUE"""),1597.19)</f>
        <v>1597.19</v>
      </c>
      <c r="E1008" s="3">
        <f>IFERROR(__xludf.DUMMYFUNCTION("""COMPUTED_VALUE"""),1600.76)</f>
        <v>1600.76</v>
      </c>
      <c r="F1008" s="3">
        <f>IFERROR(__xludf.DUMMYFUNCTION("""COMPUTED_VALUE"""),0.0)</f>
        <v>0</v>
      </c>
    </row>
    <row r="1009">
      <c r="A1009" s="7">
        <f>IFERROR(__xludf.DUMMYFUNCTION("""COMPUTED_VALUE"""),38196.645833333336)</f>
        <v>38196.64583</v>
      </c>
      <c r="B1009" s="3">
        <f>IFERROR(__xludf.DUMMYFUNCTION("""COMPUTED_VALUE"""),1600.87)</f>
        <v>1600.87</v>
      </c>
      <c r="C1009" s="3">
        <f>IFERROR(__xludf.DUMMYFUNCTION("""COMPUTED_VALUE"""),1609.44)</f>
        <v>1609.44</v>
      </c>
      <c r="D1009" s="3">
        <f>IFERROR(__xludf.DUMMYFUNCTION("""COMPUTED_VALUE"""),1586.14)</f>
        <v>1586.14</v>
      </c>
      <c r="E1009" s="3">
        <f>IFERROR(__xludf.DUMMYFUNCTION("""COMPUTED_VALUE"""),1594.17)</f>
        <v>1594.17</v>
      </c>
      <c r="F1009" s="3">
        <f>IFERROR(__xludf.DUMMYFUNCTION("""COMPUTED_VALUE"""),0.0)</f>
        <v>0</v>
      </c>
    </row>
    <row r="1010">
      <c r="A1010" s="7">
        <f>IFERROR(__xludf.DUMMYFUNCTION("""COMPUTED_VALUE"""),38197.645833333336)</f>
        <v>38197.64583</v>
      </c>
      <c r="B1010" s="3">
        <f>IFERROR(__xludf.DUMMYFUNCTION("""COMPUTED_VALUE"""),1594.7)</f>
        <v>1594.7</v>
      </c>
      <c r="C1010" s="3">
        <f>IFERROR(__xludf.DUMMYFUNCTION("""COMPUTED_VALUE"""),1624.3)</f>
        <v>1624.3</v>
      </c>
      <c r="D1010" s="3">
        <f>IFERROR(__xludf.DUMMYFUNCTION("""COMPUTED_VALUE"""),1590.15)</f>
        <v>1590.15</v>
      </c>
      <c r="E1010" s="3">
        <f>IFERROR(__xludf.DUMMYFUNCTION("""COMPUTED_VALUE"""),1618.7)</f>
        <v>1618.7</v>
      </c>
      <c r="F1010" s="3">
        <f>IFERROR(__xludf.DUMMYFUNCTION("""COMPUTED_VALUE"""),0.0)</f>
        <v>0</v>
      </c>
    </row>
    <row r="1011">
      <c r="A1011" s="7">
        <f>IFERROR(__xludf.DUMMYFUNCTION("""COMPUTED_VALUE"""),38198.645833333336)</f>
        <v>38198.64583</v>
      </c>
      <c r="B1011" s="3">
        <f>IFERROR(__xludf.DUMMYFUNCTION("""COMPUTED_VALUE"""),1618.89)</f>
        <v>1618.89</v>
      </c>
      <c r="C1011" s="3">
        <f>IFERROR(__xludf.DUMMYFUNCTION("""COMPUTED_VALUE"""),1638.68)</f>
        <v>1638.68</v>
      </c>
      <c r="D1011" s="3">
        <f>IFERROR(__xludf.DUMMYFUNCTION("""COMPUTED_VALUE"""),1609.89)</f>
        <v>1609.89</v>
      </c>
      <c r="E1011" s="3">
        <f>IFERROR(__xludf.DUMMYFUNCTION("""COMPUTED_VALUE"""),1632.32)</f>
        <v>1632.32</v>
      </c>
      <c r="F1011" s="3">
        <f>IFERROR(__xludf.DUMMYFUNCTION("""COMPUTED_VALUE"""),0.0)</f>
        <v>0</v>
      </c>
    </row>
    <row r="1012">
      <c r="A1012" s="7">
        <f>IFERROR(__xludf.DUMMYFUNCTION("""COMPUTED_VALUE"""),38201.645833333336)</f>
        <v>38201.64583</v>
      </c>
      <c r="B1012" s="3">
        <f>IFERROR(__xludf.DUMMYFUNCTION("""COMPUTED_VALUE"""),1631.57)</f>
        <v>1631.57</v>
      </c>
      <c r="C1012" s="3">
        <f>IFERROR(__xludf.DUMMYFUNCTION("""COMPUTED_VALUE"""),1643.78)</f>
        <v>1643.78</v>
      </c>
      <c r="D1012" s="3">
        <f>IFERROR(__xludf.DUMMYFUNCTION("""COMPUTED_VALUE"""),1627.27)</f>
        <v>1627.27</v>
      </c>
      <c r="E1012" s="3">
        <f>IFERROR(__xludf.DUMMYFUNCTION("""COMPUTED_VALUE"""),1639.04)</f>
        <v>1639.04</v>
      </c>
      <c r="F1012" s="3">
        <f>IFERROR(__xludf.DUMMYFUNCTION("""COMPUTED_VALUE"""),0.0)</f>
        <v>0</v>
      </c>
    </row>
    <row r="1013">
      <c r="A1013" s="7">
        <f>IFERROR(__xludf.DUMMYFUNCTION("""COMPUTED_VALUE"""),38202.645833333336)</f>
        <v>38202.64583</v>
      </c>
      <c r="B1013" s="3">
        <f>IFERROR(__xludf.DUMMYFUNCTION("""COMPUTED_VALUE"""),1639.95)</f>
        <v>1639.95</v>
      </c>
      <c r="C1013" s="3">
        <f>IFERROR(__xludf.DUMMYFUNCTION("""COMPUTED_VALUE"""),1648.37)</f>
        <v>1648.37</v>
      </c>
      <c r="D1013" s="3">
        <f>IFERROR(__xludf.DUMMYFUNCTION("""COMPUTED_VALUE"""),1626.31)</f>
        <v>1626.31</v>
      </c>
      <c r="E1013" s="3">
        <f>IFERROR(__xludf.DUMMYFUNCTION("""COMPUTED_VALUE"""),1630.6)</f>
        <v>1630.6</v>
      </c>
      <c r="F1013" s="3">
        <f>IFERROR(__xludf.DUMMYFUNCTION("""COMPUTED_VALUE"""),0.0)</f>
        <v>0</v>
      </c>
    </row>
    <row r="1014">
      <c r="A1014" s="7">
        <f>IFERROR(__xludf.DUMMYFUNCTION("""COMPUTED_VALUE"""),38203.645833333336)</f>
        <v>38203.64583</v>
      </c>
      <c r="B1014" s="3">
        <f>IFERROR(__xludf.DUMMYFUNCTION("""COMPUTED_VALUE"""),1631.32)</f>
        <v>1631.32</v>
      </c>
      <c r="C1014" s="3">
        <f>IFERROR(__xludf.DUMMYFUNCTION("""COMPUTED_VALUE"""),1635.96)</f>
        <v>1635.96</v>
      </c>
      <c r="D1014" s="3">
        <f>IFERROR(__xludf.DUMMYFUNCTION("""COMPUTED_VALUE"""),1618.22)</f>
        <v>1618.22</v>
      </c>
      <c r="E1014" s="3">
        <f>IFERROR(__xludf.DUMMYFUNCTION("""COMPUTED_VALUE"""),1626.55)</f>
        <v>1626.55</v>
      </c>
      <c r="F1014" s="3">
        <f>IFERROR(__xludf.DUMMYFUNCTION("""COMPUTED_VALUE"""),0.0)</f>
        <v>0</v>
      </c>
    </row>
    <row r="1015">
      <c r="A1015" s="7">
        <f>IFERROR(__xludf.DUMMYFUNCTION("""COMPUTED_VALUE"""),38204.645833333336)</f>
        <v>38204.64583</v>
      </c>
      <c r="B1015" s="3">
        <f>IFERROR(__xludf.DUMMYFUNCTION("""COMPUTED_VALUE"""),1626.42)</f>
        <v>1626.42</v>
      </c>
      <c r="C1015" s="3">
        <f>IFERROR(__xludf.DUMMYFUNCTION("""COMPUTED_VALUE"""),1656.27)</f>
        <v>1656.27</v>
      </c>
      <c r="D1015" s="3">
        <f>IFERROR(__xludf.DUMMYFUNCTION("""COMPUTED_VALUE"""),1626.42)</f>
        <v>1626.42</v>
      </c>
      <c r="E1015" s="3">
        <f>IFERROR(__xludf.DUMMYFUNCTION("""COMPUTED_VALUE"""),1654.93)</f>
        <v>1654.93</v>
      </c>
      <c r="F1015" s="3">
        <f>IFERROR(__xludf.DUMMYFUNCTION("""COMPUTED_VALUE"""),0.0)</f>
        <v>0</v>
      </c>
    </row>
    <row r="1016">
      <c r="A1016" s="7">
        <f>IFERROR(__xludf.DUMMYFUNCTION("""COMPUTED_VALUE"""),38205.645833333336)</f>
        <v>38205.64583</v>
      </c>
      <c r="B1016" s="3">
        <f>IFERROR(__xludf.DUMMYFUNCTION("""COMPUTED_VALUE"""),1654.84)</f>
        <v>1654.84</v>
      </c>
      <c r="C1016" s="3">
        <f>IFERROR(__xludf.DUMMYFUNCTION("""COMPUTED_VALUE"""),1658.69)</f>
        <v>1658.69</v>
      </c>
      <c r="D1016" s="3">
        <f>IFERROR(__xludf.DUMMYFUNCTION("""COMPUTED_VALUE"""),1626.71)</f>
        <v>1626.71</v>
      </c>
      <c r="E1016" s="3">
        <f>IFERROR(__xludf.DUMMYFUNCTION("""COMPUTED_VALUE"""),1633.38)</f>
        <v>1633.38</v>
      </c>
      <c r="F1016" s="3">
        <f>IFERROR(__xludf.DUMMYFUNCTION("""COMPUTED_VALUE"""),0.0)</f>
        <v>0</v>
      </c>
    </row>
    <row r="1017">
      <c r="A1017" s="7">
        <f>IFERROR(__xludf.DUMMYFUNCTION("""COMPUTED_VALUE"""),38208.645833333336)</f>
        <v>38208.64583</v>
      </c>
      <c r="B1017" s="3">
        <f>IFERROR(__xludf.DUMMYFUNCTION("""COMPUTED_VALUE"""),1633.25)</f>
        <v>1633.25</v>
      </c>
      <c r="C1017" s="3">
        <f>IFERROR(__xludf.DUMMYFUNCTION("""COMPUTED_VALUE"""),1644.38)</f>
        <v>1644.38</v>
      </c>
      <c r="D1017" s="3">
        <f>IFERROR(__xludf.DUMMYFUNCTION("""COMPUTED_VALUE"""),1617.06)</f>
        <v>1617.06</v>
      </c>
      <c r="E1017" s="3">
        <f>IFERROR(__xludf.DUMMYFUNCTION("""COMPUTED_VALUE"""),1642.6)</f>
        <v>1642.6</v>
      </c>
      <c r="F1017" s="3">
        <f>IFERROR(__xludf.DUMMYFUNCTION("""COMPUTED_VALUE"""),0.0)</f>
        <v>0</v>
      </c>
    </row>
    <row r="1018">
      <c r="A1018" s="7">
        <f>IFERROR(__xludf.DUMMYFUNCTION("""COMPUTED_VALUE"""),38209.645833333336)</f>
        <v>38209.64583</v>
      </c>
      <c r="B1018" s="3">
        <f>IFERROR(__xludf.DUMMYFUNCTION("""COMPUTED_VALUE"""),1642.76)</f>
        <v>1642.76</v>
      </c>
      <c r="C1018" s="3">
        <f>IFERROR(__xludf.DUMMYFUNCTION("""COMPUTED_VALUE"""),1656.6)</f>
        <v>1656.6</v>
      </c>
      <c r="D1018" s="3">
        <f>IFERROR(__xludf.DUMMYFUNCTION("""COMPUTED_VALUE"""),1637.69)</f>
        <v>1637.69</v>
      </c>
      <c r="E1018" s="3">
        <f>IFERROR(__xludf.DUMMYFUNCTION("""COMPUTED_VALUE"""),1652.16)</f>
        <v>1652.16</v>
      </c>
      <c r="F1018" s="3">
        <f>IFERROR(__xludf.DUMMYFUNCTION("""COMPUTED_VALUE"""),0.0)</f>
        <v>0</v>
      </c>
    </row>
    <row r="1019">
      <c r="A1019" s="7">
        <f>IFERROR(__xludf.DUMMYFUNCTION("""COMPUTED_VALUE"""),38210.645833333336)</f>
        <v>38210.64583</v>
      </c>
      <c r="B1019" s="3">
        <f>IFERROR(__xludf.DUMMYFUNCTION("""COMPUTED_VALUE"""),1652.11)</f>
        <v>1652.11</v>
      </c>
      <c r="C1019" s="3">
        <f>IFERROR(__xludf.DUMMYFUNCTION("""COMPUTED_VALUE"""),1658.92)</f>
        <v>1658.92</v>
      </c>
      <c r="D1019" s="3">
        <f>IFERROR(__xludf.DUMMYFUNCTION("""COMPUTED_VALUE"""),1616.86)</f>
        <v>1616.86</v>
      </c>
      <c r="E1019" s="3">
        <f>IFERROR(__xludf.DUMMYFUNCTION("""COMPUTED_VALUE"""),1621.62)</f>
        <v>1621.62</v>
      </c>
      <c r="F1019" s="3">
        <f>IFERROR(__xludf.DUMMYFUNCTION("""COMPUTED_VALUE"""),0.0)</f>
        <v>0</v>
      </c>
    </row>
    <row r="1020">
      <c r="A1020" s="7">
        <f>IFERROR(__xludf.DUMMYFUNCTION("""COMPUTED_VALUE"""),38211.645833333336)</f>
        <v>38211.64583</v>
      </c>
      <c r="B1020" s="3">
        <f>IFERROR(__xludf.DUMMYFUNCTION("""COMPUTED_VALUE"""),1624.28)</f>
        <v>1624.28</v>
      </c>
      <c r="C1020" s="3">
        <f>IFERROR(__xludf.DUMMYFUNCTION("""COMPUTED_VALUE"""),1629.15)</f>
        <v>1629.15</v>
      </c>
      <c r="D1020" s="3">
        <f>IFERROR(__xludf.DUMMYFUNCTION("""COMPUTED_VALUE"""),1599.48)</f>
        <v>1599.48</v>
      </c>
      <c r="E1020" s="3">
        <f>IFERROR(__xludf.DUMMYFUNCTION("""COMPUTED_VALUE"""),1607.18)</f>
        <v>1607.18</v>
      </c>
      <c r="F1020" s="3">
        <f>IFERROR(__xludf.DUMMYFUNCTION("""COMPUTED_VALUE"""),0.0)</f>
        <v>0</v>
      </c>
    </row>
    <row r="1021">
      <c r="A1021" s="7">
        <f>IFERROR(__xludf.DUMMYFUNCTION("""COMPUTED_VALUE"""),38212.645833333336)</f>
        <v>38212.64583</v>
      </c>
      <c r="B1021" s="3">
        <f>IFERROR(__xludf.DUMMYFUNCTION("""COMPUTED_VALUE"""),1598.2)</f>
        <v>1598.2</v>
      </c>
      <c r="C1021" s="3">
        <f>IFERROR(__xludf.DUMMYFUNCTION("""COMPUTED_VALUE"""),1612.7)</f>
        <v>1612.7</v>
      </c>
      <c r="D1021" s="3">
        <f>IFERROR(__xludf.DUMMYFUNCTION("""COMPUTED_VALUE"""),1591.61)</f>
        <v>1591.61</v>
      </c>
      <c r="E1021" s="3">
        <f>IFERROR(__xludf.DUMMYFUNCTION("""COMPUTED_VALUE"""),1598.2)</f>
        <v>1598.2</v>
      </c>
      <c r="F1021" s="3">
        <f>IFERROR(__xludf.DUMMYFUNCTION("""COMPUTED_VALUE"""),0.0)</f>
        <v>0</v>
      </c>
    </row>
    <row r="1022">
      <c r="A1022" s="7">
        <f>IFERROR(__xludf.DUMMYFUNCTION("""COMPUTED_VALUE"""),38215.645833333336)</f>
        <v>38215.64583</v>
      </c>
      <c r="B1022" s="3">
        <f>IFERROR(__xludf.DUMMYFUNCTION("""COMPUTED_VALUE"""),1597.48)</f>
        <v>1597.48</v>
      </c>
      <c r="C1022" s="3">
        <f>IFERROR(__xludf.DUMMYFUNCTION("""COMPUTED_VALUE"""),1603.18)</f>
        <v>1603.18</v>
      </c>
      <c r="D1022" s="3">
        <f>IFERROR(__xludf.DUMMYFUNCTION("""COMPUTED_VALUE"""),1582.35)</f>
        <v>1582.35</v>
      </c>
      <c r="E1022" s="3">
        <f>IFERROR(__xludf.DUMMYFUNCTION("""COMPUTED_VALUE"""),1599.17)</f>
        <v>1599.17</v>
      </c>
      <c r="F1022" s="3">
        <f>IFERROR(__xludf.DUMMYFUNCTION("""COMPUTED_VALUE"""),0.0)</f>
        <v>0</v>
      </c>
    </row>
    <row r="1023">
      <c r="A1023" s="7">
        <f>IFERROR(__xludf.DUMMYFUNCTION("""COMPUTED_VALUE"""),38216.645833333336)</f>
        <v>38216.64583</v>
      </c>
      <c r="B1023" s="3">
        <f>IFERROR(__xludf.DUMMYFUNCTION("""COMPUTED_VALUE"""),1624.02)</f>
        <v>1624.02</v>
      </c>
      <c r="C1023" s="3">
        <f>IFERROR(__xludf.DUMMYFUNCTION("""COMPUTED_VALUE"""),1628.45)</f>
        <v>1628.45</v>
      </c>
      <c r="D1023" s="3">
        <f>IFERROR(__xludf.DUMMYFUNCTION("""COMPUTED_VALUE"""),1597.47)</f>
        <v>1597.47</v>
      </c>
      <c r="E1023" s="3">
        <f>IFERROR(__xludf.DUMMYFUNCTION("""COMPUTED_VALUE"""),1604.35)</f>
        <v>1604.35</v>
      </c>
      <c r="F1023" s="3">
        <f>IFERROR(__xludf.DUMMYFUNCTION("""COMPUTED_VALUE"""),0.0)</f>
        <v>0</v>
      </c>
    </row>
    <row r="1024">
      <c r="A1024" s="7">
        <f>IFERROR(__xludf.DUMMYFUNCTION("""COMPUTED_VALUE"""),38217.645833333336)</f>
        <v>38217.64583</v>
      </c>
      <c r="B1024" s="3">
        <f>IFERROR(__xludf.DUMMYFUNCTION("""COMPUTED_VALUE"""),1604.13)</f>
        <v>1604.13</v>
      </c>
      <c r="C1024" s="3">
        <f>IFERROR(__xludf.DUMMYFUNCTION("""COMPUTED_VALUE"""),1604.13)</f>
        <v>1604.13</v>
      </c>
      <c r="D1024" s="3">
        <f>IFERROR(__xludf.DUMMYFUNCTION("""COMPUTED_VALUE"""),1577.26)</f>
        <v>1577.26</v>
      </c>
      <c r="E1024" s="3">
        <f>IFERROR(__xludf.DUMMYFUNCTION("""COMPUTED_VALUE"""),1581.82)</f>
        <v>1581.82</v>
      </c>
      <c r="F1024" s="3">
        <f>IFERROR(__xludf.DUMMYFUNCTION("""COMPUTED_VALUE"""),0.0)</f>
        <v>0</v>
      </c>
    </row>
    <row r="1025">
      <c r="A1025" s="7">
        <f>IFERROR(__xludf.DUMMYFUNCTION("""COMPUTED_VALUE"""),38218.645833333336)</f>
        <v>38218.64583</v>
      </c>
      <c r="B1025" s="3">
        <f>IFERROR(__xludf.DUMMYFUNCTION("""COMPUTED_VALUE"""),1581.9)</f>
        <v>1581.9</v>
      </c>
      <c r="C1025" s="3">
        <f>IFERROR(__xludf.DUMMYFUNCTION("""COMPUTED_VALUE"""),1612.52)</f>
        <v>1612.52</v>
      </c>
      <c r="D1025" s="3">
        <f>IFERROR(__xludf.DUMMYFUNCTION("""COMPUTED_VALUE"""),1581.9)</f>
        <v>1581.9</v>
      </c>
      <c r="E1025" s="3">
        <f>IFERROR(__xludf.DUMMYFUNCTION("""COMPUTED_VALUE"""),1609.22)</f>
        <v>1609.22</v>
      </c>
      <c r="F1025" s="3">
        <f>IFERROR(__xludf.DUMMYFUNCTION("""COMPUTED_VALUE"""),0.0)</f>
        <v>0</v>
      </c>
    </row>
    <row r="1026">
      <c r="A1026" s="7">
        <f>IFERROR(__xludf.DUMMYFUNCTION("""COMPUTED_VALUE"""),38219.645833333336)</f>
        <v>38219.64583</v>
      </c>
      <c r="B1026" s="3">
        <f>IFERROR(__xludf.DUMMYFUNCTION("""COMPUTED_VALUE"""),1609.2)</f>
        <v>1609.2</v>
      </c>
      <c r="C1026" s="3">
        <f>IFERROR(__xludf.DUMMYFUNCTION("""COMPUTED_VALUE"""),1610.6)</f>
        <v>1610.6</v>
      </c>
      <c r="D1026" s="3">
        <f>IFERROR(__xludf.DUMMYFUNCTION("""COMPUTED_VALUE"""),1584.05)</f>
        <v>1584.05</v>
      </c>
      <c r="E1026" s="3">
        <f>IFERROR(__xludf.DUMMYFUNCTION("""COMPUTED_VALUE"""),1590.35)</f>
        <v>1590.35</v>
      </c>
      <c r="F1026" s="3">
        <f>IFERROR(__xludf.DUMMYFUNCTION("""COMPUTED_VALUE"""),0.0)</f>
        <v>0</v>
      </c>
    </row>
    <row r="1027">
      <c r="A1027" s="7">
        <f>IFERROR(__xludf.DUMMYFUNCTION("""COMPUTED_VALUE"""),38222.645833333336)</f>
        <v>38222.64583</v>
      </c>
      <c r="B1027" s="3">
        <f>IFERROR(__xludf.DUMMYFUNCTION("""COMPUTED_VALUE"""),1590.0)</f>
        <v>1590</v>
      </c>
      <c r="C1027" s="3">
        <f>IFERROR(__xludf.DUMMYFUNCTION("""COMPUTED_VALUE"""),1595.0)</f>
        <v>1595</v>
      </c>
      <c r="D1027" s="3">
        <f>IFERROR(__xludf.DUMMYFUNCTION("""COMPUTED_VALUE"""),1575.0)</f>
        <v>1575</v>
      </c>
      <c r="E1027" s="3">
        <f>IFERROR(__xludf.DUMMYFUNCTION("""COMPUTED_VALUE"""),1578.2)</f>
        <v>1578.2</v>
      </c>
      <c r="F1027" s="3">
        <f>IFERROR(__xludf.DUMMYFUNCTION("""COMPUTED_VALUE"""),0.0)</f>
        <v>0</v>
      </c>
    </row>
    <row r="1028">
      <c r="A1028" s="7">
        <f>IFERROR(__xludf.DUMMYFUNCTION("""COMPUTED_VALUE"""),38223.645833333336)</f>
        <v>38223.64583</v>
      </c>
      <c r="B1028" s="3">
        <f>IFERROR(__xludf.DUMMYFUNCTION("""COMPUTED_VALUE"""),1578.2)</f>
        <v>1578.2</v>
      </c>
      <c r="C1028" s="3">
        <f>IFERROR(__xludf.DUMMYFUNCTION("""COMPUTED_VALUE"""),1597.9)</f>
        <v>1597.9</v>
      </c>
      <c r="D1028" s="3">
        <f>IFERROR(__xludf.DUMMYFUNCTION("""COMPUTED_VALUE"""),1578.05)</f>
        <v>1578.05</v>
      </c>
      <c r="E1028" s="3">
        <f>IFERROR(__xludf.DUMMYFUNCTION("""COMPUTED_VALUE"""),1591.6)</f>
        <v>1591.6</v>
      </c>
      <c r="F1028" s="3">
        <f>IFERROR(__xludf.DUMMYFUNCTION("""COMPUTED_VALUE"""),0.0)</f>
        <v>0</v>
      </c>
    </row>
    <row r="1029">
      <c r="A1029" s="7">
        <f>IFERROR(__xludf.DUMMYFUNCTION("""COMPUTED_VALUE"""),38224.645833333336)</f>
        <v>38224.64583</v>
      </c>
      <c r="B1029" s="3">
        <f>IFERROR(__xludf.DUMMYFUNCTION("""COMPUTED_VALUE"""),1592.2)</f>
        <v>1592.2</v>
      </c>
      <c r="C1029" s="3">
        <f>IFERROR(__xludf.DUMMYFUNCTION("""COMPUTED_VALUE"""),1598.55)</f>
        <v>1598.55</v>
      </c>
      <c r="D1029" s="3">
        <f>IFERROR(__xludf.DUMMYFUNCTION("""COMPUTED_VALUE"""),1586.35)</f>
        <v>1586.35</v>
      </c>
      <c r="E1029" s="3">
        <f>IFERROR(__xludf.DUMMYFUNCTION("""COMPUTED_VALUE"""),1595.7)</f>
        <v>1595.7</v>
      </c>
      <c r="F1029" s="3">
        <f>IFERROR(__xludf.DUMMYFUNCTION("""COMPUTED_VALUE"""),0.0)</f>
        <v>0</v>
      </c>
    </row>
    <row r="1030">
      <c r="A1030" s="7">
        <f>IFERROR(__xludf.DUMMYFUNCTION("""COMPUTED_VALUE"""),38225.645833333336)</f>
        <v>38225.64583</v>
      </c>
      <c r="B1030" s="3">
        <f>IFERROR(__xludf.DUMMYFUNCTION("""COMPUTED_VALUE"""),1595.75)</f>
        <v>1595.75</v>
      </c>
      <c r="C1030" s="3">
        <f>IFERROR(__xludf.DUMMYFUNCTION("""COMPUTED_VALUE"""),1613.25)</f>
        <v>1613.25</v>
      </c>
      <c r="D1030" s="3">
        <f>IFERROR(__xludf.DUMMYFUNCTION("""COMPUTED_VALUE"""),1593.45)</f>
        <v>1593.45</v>
      </c>
      <c r="E1030" s="3">
        <f>IFERROR(__xludf.DUMMYFUNCTION("""COMPUTED_VALUE"""),1610.75)</f>
        <v>1610.75</v>
      </c>
      <c r="F1030" s="3">
        <f>IFERROR(__xludf.DUMMYFUNCTION("""COMPUTED_VALUE"""),0.0)</f>
        <v>0</v>
      </c>
    </row>
    <row r="1031">
      <c r="A1031" s="7">
        <f>IFERROR(__xludf.DUMMYFUNCTION("""COMPUTED_VALUE"""),38226.645833333336)</f>
        <v>38226.64583</v>
      </c>
      <c r="B1031" s="3">
        <f>IFERROR(__xludf.DUMMYFUNCTION("""COMPUTED_VALUE"""),1610.85)</f>
        <v>1610.85</v>
      </c>
      <c r="C1031" s="3">
        <f>IFERROR(__xludf.DUMMYFUNCTION("""COMPUTED_VALUE"""),1617.25)</f>
        <v>1617.25</v>
      </c>
      <c r="D1031" s="3">
        <f>IFERROR(__xludf.DUMMYFUNCTION("""COMPUTED_VALUE"""),1600.15)</f>
        <v>1600.15</v>
      </c>
      <c r="E1031" s="3">
        <f>IFERROR(__xludf.DUMMYFUNCTION("""COMPUTED_VALUE"""),1609.0)</f>
        <v>1609</v>
      </c>
      <c r="F1031" s="3">
        <f>IFERROR(__xludf.DUMMYFUNCTION("""COMPUTED_VALUE"""),0.0)</f>
        <v>0</v>
      </c>
    </row>
    <row r="1032">
      <c r="A1032" s="7">
        <f>IFERROR(__xludf.DUMMYFUNCTION("""COMPUTED_VALUE"""),38229.645833333336)</f>
        <v>38229.64583</v>
      </c>
      <c r="B1032" s="3">
        <f>IFERROR(__xludf.DUMMYFUNCTION("""COMPUTED_VALUE"""),1609.45)</f>
        <v>1609.45</v>
      </c>
      <c r="C1032" s="3">
        <f>IFERROR(__xludf.DUMMYFUNCTION("""COMPUTED_VALUE"""),1629.9)</f>
        <v>1629.9</v>
      </c>
      <c r="D1032" s="3">
        <f>IFERROR(__xludf.DUMMYFUNCTION("""COMPUTED_VALUE"""),1609.2)</f>
        <v>1609.2</v>
      </c>
      <c r="E1032" s="3">
        <f>IFERROR(__xludf.DUMMYFUNCTION("""COMPUTED_VALUE"""),1628.45)</f>
        <v>1628.45</v>
      </c>
      <c r="F1032" s="3">
        <f>IFERROR(__xludf.DUMMYFUNCTION("""COMPUTED_VALUE"""),0.0)</f>
        <v>0</v>
      </c>
    </row>
    <row r="1033">
      <c r="A1033" s="7">
        <f>IFERROR(__xludf.DUMMYFUNCTION("""COMPUTED_VALUE"""),38230.645833333336)</f>
        <v>38230.64583</v>
      </c>
      <c r="B1033" s="3">
        <f>IFERROR(__xludf.DUMMYFUNCTION("""COMPUTED_VALUE"""),1628.5)</f>
        <v>1628.5</v>
      </c>
      <c r="C1033" s="3">
        <f>IFERROR(__xludf.DUMMYFUNCTION("""COMPUTED_VALUE"""),1634.8)</f>
        <v>1634.8</v>
      </c>
      <c r="D1033" s="3">
        <f>IFERROR(__xludf.DUMMYFUNCTION("""COMPUTED_VALUE"""),1618.3)</f>
        <v>1618.3</v>
      </c>
      <c r="E1033" s="3">
        <f>IFERROR(__xludf.DUMMYFUNCTION("""COMPUTED_VALUE"""),1631.75)</f>
        <v>1631.75</v>
      </c>
      <c r="F1033" s="3">
        <f>IFERROR(__xludf.DUMMYFUNCTION("""COMPUTED_VALUE"""),0.0)</f>
        <v>0</v>
      </c>
    </row>
    <row r="1034">
      <c r="A1034" s="7">
        <f>IFERROR(__xludf.DUMMYFUNCTION("""COMPUTED_VALUE"""),38231.645833333336)</f>
        <v>38231.64583</v>
      </c>
      <c r="B1034" s="3">
        <f>IFERROR(__xludf.DUMMYFUNCTION("""COMPUTED_VALUE"""),1631.7)</f>
        <v>1631.7</v>
      </c>
      <c r="C1034" s="3">
        <f>IFERROR(__xludf.DUMMYFUNCTION("""COMPUTED_VALUE"""),1640.55)</f>
        <v>1640.55</v>
      </c>
      <c r="D1034" s="3">
        <f>IFERROR(__xludf.DUMMYFUNCTION("""COMPUTED_VALUE"""),1631.1)</f>
        <v>1631.1</v>
      </c>
      <c r="E1034" s="3">
        <f>IFERROR(__xludf.DUMMYFUNCTION("""COMPUTED_VALUE"""),1635.45)</f>
        <v>1635.45</v>
      </c>
      <c r="F1034" s="3">
        <f>IFERROR(__xludf.DUMMYFUNCTION("""COMPUTED_VALUE"""),0.0)</f>
        <v>0</v>
      </c>
    </row>
    <row r="1035">
      <c r="A1035" s="7">
        <f>IFERROR(__xludf.DUMMYFUNCTION("""COMPUTED_VALUE"""),38232.645833333336)</f>
        <v>38232.64583</v>
      </c>
      <c r="B1035" s="3">
        <f>IFERROR(__xludf.DUMMYFUNCTION("""COMPUTED_VALUE"""),1635.5)</f>
        <v>1635.5</v>
      </c>
      <c r="C1035" s="3">
        <f>IFERROR(__xludf.DUMMYFUNCTION("""COMPUTED_VALUE"""),1641.25)</f>
        <v>1641.25</v>
      </c>
      <c r="D1035" s="3">
        <f>IFERROR(__xludf.DUMMYFUNCTION("""COMPUTED_VALUE"""),1619.9)</f>
        <v>1619.9</v>
      </c>
      <c r="E1035" s="3">
        <f>IFERROR(__xludf.DUMMYFUNCTION("""COMPUTED_VALUE"""),1629.3)</f>
        <v>1629.3</v>
      </c>
      <c r="F1035" s="3">
        <f>IFERROR(__xludf.DUMMYFUNCTION("""COMPUTED_VALUE"""),0.0)</f>
        <v>0</v>
      </c>
    </row>
    <row r="1036">
      <c r="A1036" s="7">
        <f>IFERROR(__xludf.DUMMYFUNCTION("""COMPUTED_VALUE"""),38233.645833333336)</f>
        <v>38233.64583</v>
      </c>
      <c r="B1036" s="3">
        <f>IFERROR(__xludf.DUMMYFUNCTION("""COMPUTED_VALUE"""),1629.65)</f>
        <v>1629.65</v>
      </c>
      <c r="C1036" s="3">
        <f>IFERROR(__xludf.DUMMYFUNCTION("""COMPUTED_VALUE"""),1636.1)</f>
        <v>1636.1</v>
      </c>
      <c r="D1036" s="3">
        <f>IFERROR(__xludf.DUMMYFUNCTION("""COMPUTED_VALUE"""),1622.1)</f>
        <v>1622.1</v>
      </c>
      <c r="E1036" s="3">
        <f>IFERROR(__xludf.DUMMYFUNCTION("""COMPUTED_VALUE"""),1634.1)</f>
        <v>1634.1</v>
      </c>
      <c r="F1036" s="3">
        <f>IFERROR(__xludf.DUMMYFUNCTION("""COMPUTED_VALUE"""),0.0)</f>
        <v>0</v>
      </c>
    </row>
    <row r="1037">
      <c r="A1037" s="7">
        <f>IFERROR(__xludf.DUMMYFUNCTION("""COMPUTED_VALUE"""),38236.645833333336)</f>
        <v>38236.64583</v>
      </c>
      <c r="B1037" s="3">
        <f>IFERROR(__xludf.DUMMYFUNCTION("""COMPUTED_VALUE"""),1634.6)</f>
        <v>1634.6</v>
      </c>
      <c r="C1037" s="3">
        <f>IFERROR(__xludf.DUMMYFUNCTION("""COMPUTED_VALUE"""),1649.15)</f>
        <v>1649.15</v>
      </c>
      <c r="D1037" s="3">
        <f>IFERROR(__xludf.DUMMYFUNCTION("""COMPUTED_VALUE"""),1634.45)</f>
        <v>1634.45</v>
      </c>
      <c r="E1037" s="3">
        <f>IFERROR(__xludf.DUMMYFUNCTION("""COMPUTED_VALUE"""),1644.0)</f>
        <v>1644</v>
      </c>
      <c r="F1037" s="3">
        <f>IFERROR(__xludf.DUMMYFUNCTION("""COMPUTED_VALUE"""),0.0)</f>
        <v>0</v>
      </c>
    </row>
    <row r="1038">
      <c r="A1038" s="7">
        <f>IFERROR(__xludf.DUMMYFUNCTION("""COMPUTED_VALUE"""),38237.645833333336)</f>
        <v>38237.64583</v>
      </c>
      <c r="B1038" s="3">
        <f>IFERROR(__xludf.DUMMYFUNCTION("""COMPUTED_VALUE"""),1643.95)</f>
        <v>1643.95</v>
      </c>
      <c r="C1038" s="3">
        <f>IFERROR(__xludf.DUMMYFUNCTION("""COMPUTED_VALUE"""),1653.15)</f>
        <v>1653.15</v>
      </c>
      <c r="D1038" s="3">
        <f>IFERROR(__xludf.DUMMYFUNCTION("""COMPUTED_VALUE"""),1641.8)</f>
        <v>1641.8</v>
      </c>
      <c r="E1038" s="3">
        <f>IFERROR(__xludf.DUMMYFUNCTION("""COMPUTED_VALUE"""),1650.15)</f>
        <v>1650.15</v>
      </c>
      <c r="F1038" s="3">
        <f>IFERROR(__xludf.DUMMYFUNCTION("""COMPUTED_VALUE"""),0.0)</f>
        <v>0</v>
      </c>
    </row>
    <row r="1039">
      <c r="A1039" s="7">
        <f>IFERROR(__xludf.DUMMYFUNCTION("""COMPUTED_VALUE"""),38238.645833333336)</f>
        <v>38238.64583</v>
      </c>
      <c r="B1039" s="3">
        <f>IFERROR(__xludf.DUMMYFUNCTION("""COMPUTED_VALUE"""),1650.6)</f>
        <v>1650.6</v>
      </c>
      <c r="C1039" s="3">
        <f>IFERROR(__xludf.DUMMYFUNCTION("""COMPUTED_VALUE"""),1658.85)</f>
        <v>1658.85</v>
      </c>
      <c r="D1039" s="3">
        <f>IFERROR(__xludf.DUMMYFUNCTION("""COMPUTED_VALUE"""),1648.25)</f>
        <v>1648.25</v>
      </c>
      <c r="E1039" s="3">
        <f>IFERROR(__xludf.DUMMYFUNCTION("""COMPUTED_VALUE"""),1656.25)</f>
        <v>1656.25</v>
      </c>
      <c r="F1039" s="3">
        <f>IFERROR(__xludf.DUMMYFUNCTION("""COMPUTED_VALUE"""),0.0)</f>
        <v>0</v>
      </c>
    </row>
    <row r="1040">
      <c r="A1040" s="7">
        <f>IFERROR(__xludf.DUMMYFUNCTION("""COMPUTED_VALUE"""),38239.645833333336)</f>
        <v>38239.64583</v>
      </c>
      <c r="B1040" s="3">
        <f>IFERROR(__xludf.DUMMYFUNCTION("""COMPUTED_VALUE"""),1656.25)</f>
        <v>1656.25</v>
      </c>
      <c r="C1040" s="3">
        <f>IFERROR(__xludf.DUMMYFUNCTION("""COMPUTED_VALUE"""),1662.4)</f>
        <v>1662.4</v>
      </c>
      <c r="D1040" s="3">
        <f>IFERROR(__xludf.DUMMYFUNCTION("""COMPUTED_VALUE"""),1640.25)</f>
        <v>1640.25</v>
      </c>
      <c r="E1040" s="3">
        <f>IFERROR(__xludf.DUMMYFUNCTION("""COMPUTED_VALUE"""),1649.0)</f>
        <v>1649</v>
      </c>
      <c r="F1040" s="3">
        <f>IFERROR(__xludf.DUMMYFUNCTION("""COMPUTED_VALUE"""),0.0)</f>
        <v>0</v>
      </c>
    </row>
    <row r="1041">
      <c r="A1041" s="7">
        <f>IFERROR(__xludf.DUMMYFUNCTION("""COMPUTED_VALUE"""),38240.645833333336)</f>
        <v>38240.64583</v>
      </c>
      <c r="B1041" s="3">
        <f>IFERROR(__xludf.DUMMYFUNCTION("""COMPUTED_VALUE"""),1649.45)</f>
        <v>1649.45</v>
      </c>
      <c r="C1041" s="3">
        <f>IFERROR(__xludf.DUMMYFUNCTION("""COMPUTED_VALUE"""),1670.95)</f>
        <v>1670.95</v>
      </c>
      <c r="D1041" s="3">
        <f>IFERROR(__xludf.DUMMYFUNCTION("""COMPUTED_VALUE"""),1642.35)</f>
        <v>1642.35</v>
      </c>
      <c r="E1041" s="3">
        <f>IFERROR(__xludf.DUMMYFUNCTION("""COMPUTED_VALUE"""),1668.75)</f>
        <v>1668.75</v>
      </c>
      <c r="F1041" s="3">
        <f>IFERROR(__xludf.DUMMYFUNCTION("""COMPUTED_VALUE"""),0.0)</f>
        <v>0</v>
      </c>
    </row>
    <row r="1042">
      <c r="A1042" s="7">
        <f>IFERROR(__xludf.DUMMYFUNCTION("""COMPUTED_VALUE"""),38243.645833333336)</f>
        <v>38243.64583</v>
      </c>
      <c r="B1042" s="3">
        <f>IFERROR(__xludf.DUMMYFUNCTION("""COMPUTED_VALUE"""),1668.25)</f>
        <v>1668.25</v>
      </c>
      <c r="C1042" s="3">
        <f>IFERROR(__xludf.DUMMYFUNCTION("""COMPUTED_VALUE"""),1681.75)</f>
        <v>1681.75</v>
      </c>
      <c r="D1042" s="3">
        <f>IFERROR(__xludf.DUMMYFUNCTION("""COMPUTED_VALUE"""),1668.05)</f>
        <v>1668.05</v>
      </c>
      <c r="E1042" s="3">
        <f>IFERROR(__xludf.DUMMYFUNCTION("""COMPUTED_VALUE"""),1675.2)</f>
        <v>1675.2</v>
      </c>
      <c r="F1042" s="3">
        <f>IFERROR(__xludf.DUMMYFUNCTION("""COMPUTED_VALUE"""),0.0)</f>
        <v>0</v>
      </c>
    </row>
    <row r="1043">
      <c r="A1043" s="7">
        <f>IFERROR(__xludf.DUMMYFUNCTION("""COMPUTED_VALUE"""),38244.645833333336)</f>
        <v>38244.64583</v>
      </c>
      <c r="B1043" s="3">
        <f>IFERROR(__xludf.DUMMYFUNCTION("""COMPUTED_VALUE"""),1675.2)</f>
        <v>1675.2</v>
      </c>
      <c r="C1043" s="3">
        <f>IFERROR(__xludf.DUMMYFUNCTION("""COMPUTED_VALUE"""),1686.8)</f>
        <v>1686.8</v>
      </c>
      <c r="D1043" s="3">
        <f>IFERROR(__xludf.DUMMYFUNCTION("""COMPUTED_VALUE"""),1668.45)</f>
        <v>1668.45</v>
      </c>
      <c r="E1043" s="3">
        <f>IFERROR(__xludf.DUMMYFUNCTION("""COMPUTED_VALUE"""),1685.55)</f>
        <v>1685.55</v>
      </c>
      <c r="F1043" s="3">
        <f>IFERROR(__xludf.DUMMYFUNCTION("""COMPUTED_VALUE"""),0.0)</f>
        <v>0</v>
      </c>
    </row>
    <row r="1044">
      <c r="A1044" s="7">
        <f>IFERROR(__xludf.DUMMYFUNCTION("""COMPUTED_VALUE"""),38245.645833333336)</f>
        <v>38245.64583</v>
      </c>
      <c r="B1044" s="3">
        <f>IFERROR(__xludf.DUMMYFUNCTION("""COMPUTED_VALUE"""),1685.7)</f>
        <v>1685.7</v>
      </c>
      <c r="C1044" s="3">
        <f>IFERROR(__xludf.DUMMYFUNCTION("""COMPUTED_VALUE"""),1694.45)</f>
        <v>1694.45</v>
      </c>
      <c r="D1044" s="3">
        <f>IFERROR(__xludf.DUMMYFUNCTION("""COMPUTED_VALUE"""),1675.85)</f>
        <v>1675.85</v>
      </c>
      <c r="E1044" s="3">
        <f>IFERROR(__xludf.DUMMYFUNCTION("""COMPUTED_VALUE"""),1683.2)</f>
        <v>1683.2</v>
      </c>
      <c r="F1044" s="3">
        <f>IFERROR(__xludf.DUMMYFUNCTION("""COMPUTED_VALUE"""),0.0)</f>
        <v>0</v>
      </c>
    </row>
    <row r="1045">
      <c r="A1045" s="7">
        <f>IFERROR(__xludf.DUMMYFUNCTION("""COMPUTED_VALUE"""),38246.645833333336)</f>
        <v>38246.64583</v>
      </c>
      <c r="B1045" s="3">
        <f>IFERROR(__xludf.DUMMYFUNCTION("""COMPUTED_VALUE"""),1683.6)</f>
        <v>1683.6</v>
      </c>
      <c r="C1045" s="3">
        <f>IFERROR(__xludf.DUMMYFUNCTION("""COMPUTED_VALUE"""),1708.0)</f>
        <v>1708</v>
      </c>
      <c r="D1045" s="3">
        <f>IFERROR(__xludf.DUMMYFUNCTION("""COMPUTED_VALUE"""),1677.35)</f>
        <v>1677.35</v>
      </c>
      <c r="E1045" s="3">
        <f>IFERROR(__xludf.DUMMYFUNCTION("""COMPUTED_VALUE"""),1705.7)</f>
        <v>1705.7</v>
      </c>
      <c r="F1045" s="3">
        <f>IFERROR(__xludf.DUMMYFUNCTION("""COMPUTED_VALUE"""),0.0)</f>
        <v>0</v>
      </c>
    </row>
    <row r="1046">
      <c r="A1046" s="7">
        <f>IFERROR(__xludf.DUMMYFUNCTION("""COMPUTED_VALUE"""),38247.645833333336)</f>
        <v>38247.64583</v>
      </c>
      <c r="B1046" s="3">
        <f>IFERROR(__xludf.DUMMYFUNCTION("""COMPUTED_VALUE"""),1702.7)</f>
        <v>1702.7</v>
      </c>
      <c r="C1046" s="3">
        <f>IFERROR(__xludf.DUMMYFUNCTION("""COMPUTED_VALUE"""),1736.4)</f>
        <v>1736.4</v>
      </c>
      <c r="D1046" s="3">
        <f>IFERROR(__xludf.DUMMYFUNCTION("""COMPUTED_VALUE"""),1702.7)</f>
        <v>1702.7</v>
      </c>
      <c r="E1046" s="3">
        <f>IFERROR(__xludf.DUMMYFUNCTION("""COMPUTED_VALUE"""),1733.65)</f>
        <v>1733.65</v>
      </c>
      <c r="F1046" s="3">
        <f>IFERROR(__xludf.DUMMYFUNCTION("""COMPUTED_VALUE"""),0.0)</f>
        <v>0</v>
      </c>
    </row>
    <row r="1047">
      <c r="A1047" s="7">
        <f>IFERROR(__xludf.DUMMYFUNCTION("""COMPUTED_VALUE"""),38250.645833333336)</f>
        <v>38250.64583</v>
      </c>
      <c r="B1047" s="3">
        <f>IFERROR(__xludf.DUMMYFUNCTION("""COMPUTED_VALUE"""),1734.05)</f>
        <v>1734.05</v>
      </c>
      <c r="C1047" s="3">
        <f>IFERROR(__xludf.DUMMYFUNCTION("""COMPUTED_VALUE"""),1741.55)</f>
        <v>1741.55</v>
      </c>
      <c r="D1047" s="3">
        <f>IFERROR(__xludf.DUMMYFUNCTION("""COMPUTED_VALUE"""),1725.3)</f>
        <v>1725.3</v>
      </c>
      <c r="E1047" s="3">
        <f>IFERROR(__xludf.DUMMYFUNCTION("""COMPUTED_VALUE"""),1728.8)</f>
        <v>1728.8</v>
      </c>
      <c r="F1047" s="3">
        <f>IFERROR(__xludf.DUMMYFUNCTION("""COMPUTED_VALUE"""),0.0)</f>
        <v>0</v>
      </c>
    </row>
    <row r="1048">
      <c r="A1048" s="7">
        <f>IFERROR(__xludf.DUMMYFUNCTION("""COMPUTED_VALUE"""),38251.645833333336)</f>
        <v>38251.64583</v>
      </c>
      <c r="B1048" s="3">
        <f>IFERROR(__xludf.DUMMYFUNCTION("""COMPUTED_VALUE"""),1728.75)</f>
        <v>1728.75</v>
      </c>
      <c r="C1048" s="3">
        <f>IFERROR(__xludf.DUMMYFUNCTION("""COMPUTED_VALUE"""),1753.0)</f>
        <v>1753</v>
      </c>
      <c r="D1048" s="3">
        <f>IFERROR(__xludf.DUMMYFUNCTION("""COMPUTED_VALUE"""),1724.7)</f>
        <v>1724.7</v>
      </c>
      <c r="E1048" s="3">
        <f>IFERROR(__xludf.DUMMYFUNCTION("""COMPUTED_VALUE"""),1750.2)</f>
        <v>1750.2</v>
      </c>
      <c r="F1048" s="3">
        <f>IFERROR(__xludf.DUMMYFUNCTION("""COMPUTED_VALUE"""),0.0)</f>
        <v>0</v>
      </c>
    </row>
    <row r="1049">
      <c r="A1049" s="7">
        <f>IFERROR(__xludf.DUMMYFUNCTION("""COMPUTED_VALUE"""),38252.645833333336)</f>
        <v>38252.64583</v>
      </c>
      <c r="B1049" s="3">
        <f>IFERROR(__xludf.DUMMYFUNCTION("""COMPUTED_VALUE"""),1749.75)</f>
        <v>1749.75</v>
      </c>
      <c r="C1049" s="3">
        <f>IFERROR(__xludf.DUMMYFUNCTION("""COMPUTED_VALUE"""),1760.8)</f>
        <v>1760.8</v>
      </c>
      <c r="D1049" s="3">
        <f>IFERROR(__xludf.DUMMYFUNCTION("""COMPUTED_VALUE"""),1736.3)</f>
        <v>1736.3</v>
      </c>
      <c r="E1049" s="3">
        <f>IFERROR(__xludf.DUMMYFUNCTION("""COMPUTED_VALUE"""),1753.9)</f>
        <v>1753.9</v>
      </c>
      <c r="F1049" s="3">
        <f>IFERROR(__xludf.DUMMYFUNCTION("""COMPUTED_VALUE"""),0.0)</f>
        <v>0</v>
      </c>
    </row>
    <row r="1050">
      <c r="A1050" s="7">
        <f>IFERROR(__xludf.DUMMYFUNCTION("""COMPUTED_VALUE"""),38253.645833333336)</f>
        <v>38253.64583</v>
      </c>
      <c r="B1050" s="3">
        <f>IFERROR(__xludf.DUMMYFUNCTION("""COMPUTED_VALUE"""),1753.1)</f>
        <v>1753.1</v>
      </c>
      <c r="C1050" s="3">
        <f>IFERROR(__xludf.DUMMYFUNCTION("""COMPUTED_VALUE"""),1753.15)</f>
        <v>1753.15</v>
      </c>
      <c r="D1050" s="3">
        <f>IFERROR(__xludf.DUMMYFUNCTION("""COMPUTED_VALUE"""),1723.4)</f>
        <v>1723.4</v>
      </c>
      <c r="E1050" s="3">
        <f>IFERROR(__xludf.DUMMYFUNCTION("""COMPUTED_VALUE"""),1726.15)</f>
        <v>1726.15</v>
      </c>
      <c r="F1050" s="3">
        <f>IFERROR(__xludf.DUMMYFUNCTION("""COMPUTED_VALUE"""),0.0)</f>
        <v>0</v>
      </c>
    </row>
    <row r="1051">
      <c r="A1051" s="7">
        <f>IFERROR(__xludf.DUMMYFUNCTION("""COMPUTED_VALUE"""),38254.645833333336)</f>
        <v>38254.64583</v>
      </c>
      <c r="B1051" s="3">
        <f>IFERROR(__xludf.DUMMYFUNCTION("""COMPUTED_VALUE"""),1726.15)</f>
        <v>1726.15</v>
      </c>
      <c r="C1051" s="3">
        <f>IFERROR(__xludf.DUMMYFUNCTION("""COMPUTED_VALUE"""),1736.9)</f>
        <v>1736.9</v>
      </c>
      <c r="D1051" s="3">
        <f>IFERROR(__xludf.DUMMYFUNCTION("""COMPUTED_VALUE"""),1717.2)</f>
        <v>1717.2</v>
      </c>
      <c r="E1051" s="3">
        <f>IFERROR(__xludf.DUMMYFUNCTION("""COMPUTED_VALUE"""),1722.5)</f>
        <v>1722.5</v>
      </c>
      <c r="F1051" s="3">
        <f>IFERROR(__xludf.DUMMYFUNCTION("""COMPUTED_VALUE"""),0.0)</f>
        <v>0</v>
      </c>
    </row>
    <row r="1052">
      <c r="A1052" s="7">
        <f>IFERROR(__xludf.DUMMYFUNCTION("""COMPUTED_VALUE"""),38257.645833333336)</f>
        <v>38257.64583</v>
      </c>
      <c r="B1052" s="3">
        <f>IFERROR(__xludf.DUMMYFUNCTION("""COMPUTED_VALUE"""),1722.4)</f>
        <v>1722.4</v>
      </c>
      <c r="C1052" s="3">
        <f>IFERROR(__xludf.DUMMYFUNCTION("""COMPUTED_VALUE"""),1726.15)</f>
        <v>1726.15</v>
      </c>
      <c r="D1052" s="3">
        <f>IFERROR(__xludf.DUMMYFUNCTION("""COMPUTED_VALUE"""),1707.95)</f>
        <v>1707.95</v>
      </c>
      <c r="E1052" s="3">
        <f>IFERROR(__xludf.DUMMYFUNCTION("""COMPUTED_VALUE"""),1717.5)</f>
        <v>1717.5</v>
      </c>
      <c r="F1052" s="3">
        <f>IFERROR(__xludf.DUMMYFUNCTION("""COMPUTED_VALUE"""),0.0)</f>
        <v>0</v>
      </c>
    </row>
    <row r="1053">
      <c r="A1053" s="7">
        <f>IFERROR(__xludf.DUMMYFUNCTION("""COMPUTED_VALUE"""),38258.645833333336)</f>
        <v>38258.64583</v>
      </c>
      <c r="B1053" s="3">
        <f>IFERROR(__xludf.DUMMYFUNCTION("""COMPUTED_VALUE"""),1717.45)</f>
        <v>1717.45</v>
      </c>
      <c r="C1053" s="3">
        <f>IFERROR(__xludf.DUMMYFUNCTION("""COMPUTED_VALUE"""),1717.9)</f>
        <v>1717.9</v>
      </c>
      <c r="D1053" s="3">
        <f>IFERROR(__xludf.DUMMYFUNCTION("""COMPUTED_VALUE"""),1697.4)</f>
        <v>1697.4</v>
      </c>
      <c r="E1053" s="3">
        <f>IFERROR(__xludf.DUMMYFUNCTION("""COMPUTED_VALUE"""),1700.25)</f>
        <v>1700.25</v>
      </c>
      <c r="F1053" s="3">
        <f>IFERROR(__xludf.DUMMYFUNCTION("""COMPUTED_VALUE"""),0.0)</f>
        <v>0</v>
      </c>
    </row>
    <row r="1054">
      <c r="A1054" s="7">
        <f>IFERROR(__xludf.DUMMYFUNCTION("""COMPUTED_VALUE"""),38259.645833333336)</f>
        <v>38259.64583</v>
      </c>
      <c r="B1054" s="3">
        <f>IFERROR(__xludf.DUMMYFUNCTION("""COMPUTED_VALUE"""),1700.55)</f>
        <v>1700.55</v>
      </c>
      <c r="C1054" s="3">
        <f>IFERROR(__xludf.DUMMYFUNCTION("""COMPUTED_VALUE"""),1730.3)</f>
        <v>1730.3</v>
      </c>
      <c r="D1054" s="3">
        <f>IFERROR(__xludf.DUMMYFUNCTION("""COMPUTED_VALUE"""),1695.7)</f>
        <v>1695.7</v>
      </c>
      <c r="E1054" s="3">
        <f>IFERROR(__xludf.DUMMYFUNCTION("""COMPUTED_VALUE"""),1727.95)</f>
        <v>1727.95</v>
      </c>
      <c r="F1054" s="3">
        <f>IFERROR(__xludf.DUMMYFUNCTION("""COMPUTED_VALUE"""),0.0)</f>
        <v>0</v>
      </c>
    </row>
    <row r="1055">
      <c r="A1055" s="7">
        <f>IFERROR(__xludf.DUMMYFUNCTION("""COMPUTED_VALUE"""),38260.645833333336)</f>
        <v>38260.64583</v>
      </c>
      <c r="B1055" s="3">
        <f>IFERROR(__xludf.DUMMYFUNCTION("""COMPUTED_VALUE"""),1728.3)</f>
        <v>1728.3</v>
      </c>
      <c r="C1055" s="3">
        <f>IFERROR(__xludf.DUMMYFUNCTION("""COMPUTED_VALUE"""),1748.2)</f>
        <v>1748.2</v>
      </c>
      <c r="D1055" s="3">
        <f>IFERROR(__xludf.DUMMYFUNCTION("""COMPUTED_VALUE"""),1728.2)</f>
        <v>1728.2</v>
      </c>
      <c r="E1055" s="3">
        <f>IFERROR(__xludf.DUMMYFUNCTION("""COMPUTED_VALUE"""),1745.5)</f>
        <v>1745.5</v>
      </c>
      <c r="F1055" s="3">
        <f>IFERROR(__xludf.DUMMYFUNCTION("""COMPUTED_VALUE"""),0.0)</f>
        <v>0</v>
      </c>
    </row>
    <row r="1056">
      <c r="A1056" s="7">
        <f>IFERROR(__xludf.DUMMYFUNCTION("""COMPUTED_VALUE"""),38261.645833333336)</f>
        <v>38261.64583</v>
      </c>
      <c r="B1056" s="3">
        <f>IFERROR(__xludf.DUMMYFUNCTION("""COMPUTED_VALUE"""),1744.4)</f>
        <v>1744.4</v>
      </c>
      <c r="C1056" s="3">
        <f>IFERROR(__xludf.DUMMYFUNCTION("""COMPUTED_VALUE"""),1778.65)</f>
        <v>1778.65</v>
      </c>
      <c r="D1056" s="3">
        <f>IFERROR(__xludf.DUMMYFUNCTION("""COMPUTED_VALUE"""),1737.85)</f>
        <v>1737.85</v>
      </c>
      <c r="E1056" s="3">
        <f>IFERROR(__xludf.DUMMYFUNCTION("""COMPUTED_VALUE"""),1775.15)</f>
        <v>1775.15</v>
      </c>
      <c r="F1056" s="3">
        <f>IFERROR(__xludf.DUMMYFUNCTION("""COMPUTED_VALUE"""),0.0)</f>
        <v>0</v>
      </c>
    </row>
    <row r="1057">
      <c r="A1057" s="7">
        <f>IFERROR(__xludf.DUMMYFUNCTION("""COMPUTED_VALUE"""),38264.645833333336)</f>
        <v>38264.64583</v>
      </c>
      <c r="B1057" s="3">
        <f>IFERROR(__xludf.DUMMYFUNCTION("""COMPUTED_VALUE"""),1776.75)</f>
        <v>1776.75</v>
      </c>
      <c r="C1057" s="3">
        <f>IFERROR(__xludf.DUMMYFUNCTION("""COMPUTED_VALUE"""),1813.9)</f>
        <v>1813.9</v>
      </c>
      <c r="D1057" s="3">
        <f>IFERROR(__xludf.DUMMYFUNCTION("""COMPUTED_VALUE"""),1775.45)</f>
        <v>1775.45</v>
      </c>
      <c r="E1057" s="3">
        <f>IFERROR(__xludf.DUMMYFUNCTION("""COMPUTED_VALUE"""),1805.65)</f>
        <v>1805.65</v>
      </c>
      <c r="F1057" s="3">
        <f>IFERROR(__xludf.DUMMYFUNCTION("""COMPUTED_VALUE"""),0.0)</f>
        <v>0</v>
      </c>
    </row>
    <row r="1058">
      <c r="A1058" s="7">
        <f>IFERROR(__xludf.DUMMYFUNCTION("""COMPUTED_VALUE"""),38265.645833333336)</f>
        <v>38265.64583</v>
      </c>
      <c r="B1058" s="3">
        <f>IFERROR(__xludf.DUMMYFUNCTION("""COMPUTED_VALUE"""),1805.85)</f>
        <v>1805.85</v>
      </c>
      <c r="C1058" s="3">
        <f>IFERROR(__xludf.DUMMYFUNCTION("""COMPUTED_VALUE"""),1816.55)</f>
        <v>1816.55</v>
      </c>
      <c r="D1058" s="3">
        <f>IFERROR(__xludf.DUMMYFUNCTION("""COMPUTED_VALUE"""),1798.6)</f>
        <v>1798.6</v>
      </c>
      <c r="E1058" s="3">
        <f>IFERROR(__xludf.DUMMYFUNCTION("""COMPUTED_VALUE"""),1812.45)</f>
        <v>1812.45</v>
      </c>
      <c r="F1058" s="3">
        <f>IFERROR(__xludf.DUMMYFUNCTION("""COMPUTED_VALUE"""),0.0)</f>
        <v>0</v>
      </c>
    </row>
    <row r="1059">
      <c r="A1059" s="7">
        <f>IFERROR(__xludf.DUMMYFUNCTION("""COMPUTED_VALUE"""),38266.645833333336)</f>
        <v>38266.64583</v>
      </c>
      <c r="B1059" s="3">
        <f>IFERROR(__xludf.DUMMYFUNCTION("""COMPUTED_VALUE"""),1811.7)</f>
        <v>1811.7</v>
      </c>
      <c r="C1059" s="3">
        <f>IFERROR(__xludf.DUMMYFUNCTION("""COMPUTED_VALUE"""),1824.8)</f>
        <v>1824.8</v>
      </c>
      <c r="D1059" s="3">
        <f>IFERROR(__xludf.DUMMYFUNCTION("""COMPUTED_VALUE"""),1790.6)</f>
        <v>1790.6</v>
      </c>
      <c r="E1059" s="3">
        <f>IFERROR(__xludf.DUMMYFUNCTION("""COMPUTED_VALUE"""),1794.9)</f>
        <v>1794.9</v>
      </c>
      <c r="F1059" s="3">
        <f>IFERROR(__xludf.DUMMYFUNCTION("""COMPUTED_VALUE"""),0.0)</f>
        <v>0</v>
      </c>
    </row>
    <row r="1060">
      <c r="A1060" s="7">
        <f>IFERROR(__xludf.DUMMYFUNCTION("""COMPUTED_VALUE"""),38267.645833333336)</f>
        <v>38267.64583</v>
      </c>
      <c r="B1060" s="3">
        <f>IFERROR(__xludf.DUMMYFUNCTION("""COMPUTED_VALUE"""),1793.0)</f>
        <v>1793</v>
      </c>
      <c r="C1060" s="3">
        <f>IFERROR(__xludf.DUMMYFUNCTION("""COMPUTED_VALUE"""),1821.85)</f>
        <v>1821.85</v>
      </c>
      <c r="D1060" s="3">
        <f>IFERROR(__xludf.DUMMYFUNCTION("""COMPUTED_VALUE"""),1793.0)</f>
        <v>1793</v>
      </c>
      <c r="E1060" s="3">
        <f>IFERROR(__xludf.DUMMYFUNCTION("""COMPUTED_VALUE"""),1815.7)</f>
        <v>1815.7</v>
      </c>
      <c r="F1060" s="3">
        <f>IFERROR(__xludf.DUMMYFUNCTION("""COMPUTED_VALUE"""),0.0)</f>
        <v>0</v>
      </c>
    </row>
    <row r="1061">
      <c r="A1061" s="7">
        <f>IFERROR(__xludf.DUMMYFUNCTION("""COMPUTED_VALUE"""),38268.645833333336)</f>
        <v>38268.64583</v>
      </c>
      <c r="B1061" s="3">
        <f>IFERROR(__xludf.DUMMYFUNCTION("""COMPUTED_VALUE"""),1815.65)</f>
        <v>1815.65</v>
      </c>
      <c r="C1061" s="3">
        <f>IFERROR(__xludf.DUMMYFUNCTION("""COMPUTED_VALUE"""),1825.15)</f>
        <v>1825.15</v>
      </c>
      <c r="D1061" s="3">
        <f>IFERROR(__xludf.DUMMYFUNCTION("""COMPUTED_VALUE"""),1808.75)</f>
        <v>1808.75</v>
      </c>
      <c r="E1061" s="3">
        <f>IFERROR(__xludf.DUMMYFUNCTION("""COMPUTED_VALUE"""),1820.2)</f>
        <v>1820.2</v>
      </c>
      <c r="F1061" s="3">
        <f>IFERROR(__xludf.DUMMYFUNCTION("""COMPUTED_VALUE"""),0.0)</f>
        <v>0</v>
      </c>
    </row>
    <row r="1062">
      <c r="A1062" s="7">
        <f>IFERROR(__xludf.DUMMYFUNCTION("""COMPUTED_VALUE"""),38271.645833333336)</f>
        <v>38271.64583</v>
      </c>
      <c r="B1062" s="3">
        <f>IFERROR(__xludf.DUMMYFUNCTION("""COMPUTED_VALUE"""),1817.85)</f>
        <v>1817.85</v>
      </c>
      <c r="C1062" s="3">
        <f>IFERROR(__xludf.DUMMYFUNCTION("""COMPUTED_VALUE"""),1829.45)</f>
        <v>1829.45</v>
      </c>
      <c r="D1062" s="3">
        <f>IFERROR(__xludf.DUMMYFUNCTION("""COMPUTED_VALUE"""),1803.5)</f>
        <v>1803.5</v>
      </c>
      <c r="E1062" s="3">
        <f>IFERROR(__xludf.DUMMYFUNCTION("""COMPUTED_VALUE"""),1807.75)</f>
        <v>1807.75</v>
      </c>
      <c r="F1062" s="3">
        <f>IFERROR(__xludf.DUMMYFUNCTION("""COMPUTED_VALUE"""),0.0)</f>
        <v>0</v>
      </c>
    </row>
    <row r="1063">
      <c r="A1063" s="7">
        <f>IFERROR(__xludf.DUMMYFUNCTION("""COMPUTED_VALUE"""),38272.645833333336)</f>
        <v>38272.64583</v>
      </c>
      <c r="B1063" s="3">
        <f>IFERROR(__xludf.DUMMYFUNCTION("""COMPUTED_VALUE"""),1808.45)</f>
        <v>1808.45</v>
      </c>
      <c r="C1063" s="3">
        <f>IFERROR(__xludf.DUMMYFUNCTION("""COMPUTED_VALUE"""),1820.9)</f>
        <v>1820.9</v>
      </c>
      <c r="D1063" s="3">
        <f>IFERROR(__xludf.DUMMYFUNCTION("""COMPUTED_VALUE"""),1783.05)</f>
        <v>1783.05</v>
      </c>
      <c r="E1063" s="3">
        <f>IFERROR(__xludf.DUMMYFUNCTION("""COMPUTED_VALUE"""),1786.9)</f>
        <v>1786.9</v>
      </c>
      <c r="F1063" s="3">
        <f>IFERROR(__xludf.DUMMYFUNCTION("""COMPUTED_VALUE"""),0.0)</f>
        <v>0</v>
      </c>
    </row>
    <row r="1064">
      <c r="A1064" s="7">
        <f>IFERROR(__xludf.DUMMYFUNCTION("""COMPUTED_VALUE"""),38274.645833333336)</f>
        <v>38274.64583</v>
      </c>
      <c r="B1064" s="3">
        <f>IFERROR(__xludf.DUMMYFUNCTION("""COMPUTED_VALUE"""),1784.8)</f>
        <v>1784.8</v>
      </c>
      <c r="C1064" s="3">
        <f>IFERROR(__xludf.DUMMYFUNCTION("""COMPUTED_VALUE"""),1805.7)</f>
        <v>1805.7</v>
      </c>
      <c r="D1064" s="3">
        <f>IFERROR(__xludf.DUMMYFUNCTION("""COMPUTED_VALUE"""),1773.0)</f>
        <v>1773</v>
      </c>
      <c r="E1064" s="3">
        <f>IFERROR(__xludf.DUMMYFUNCTION("""COMPUTED_VALUE"""),1794.75)</f>
        <v>1794.75</v>
      </c>
      <c r="F1064" s="3">
        <f>IFERROR(__xludf.DUMMYFUNCTION("""COMPUTED_VALUE"""),0.0)</f>
        <v>0</v>
      </c>
    </row>
    <row r="1065">
      <c r="A1065" s="7">
        <f>IFERROR(__xludf.DUMMYFUNCTION("""COMPUTED_VALUE"""),38275.645833333336)</f>
        <v>38275.64583</v>
      </c>
      <c r="B1065" s="3">
        <f>IFERROR(__xludf.DUMMYFUNCTION("""COMPUTED_VALUE"""),1794.8)</f>
        <v>1794.8</v>
      </c>
      <c r="C1065" s="3">
        <f>IFERROR(__xludf.DUMMYFUNCTION("""COMPUTED_VALUE"""),1814.05)</f>
        <v>1814.05</v>
      </c>
      <c r="D1065" s="3">
        <f>IFERROR(__xludf.DUMMYFUNCTION("""COMPUTED_VALUE"""),1789.55)</f>
        <v>1789.55</v>
      </c>
      <c r="E1065" s="3">
        <f>IFERROR(__xludf.DUMMYFUNCTION("""COMPUTED_VALUE"""),1795.0)</f>
        <v>1795</v>
      </c>
      <c r="F1065" s="3">
        <f>IFERROR(__xludf.DUMMYFUNCTION("""COMPUTED_VALUE"""),0.0)</f>
        <v>0</v>
      </c>
    </row>
    <row r="1066">
      <c r="A1066" s="7">
        <f>IFERROR(__xludf.DUMMYFUNCTION("""COMPUTED_VALUE"""),38278.645833333336)</f>
        <v>38278.64583</v>
      </c>
      <c r="B1066" s="3">
        <f>IFERROR(__xludf.DUMMYFUNCTION("""COMPUTED_VALUE"""),1796.05)</f>
        <v>1796.05</v>
      </c>
      <c r="C1066" s="3">
        <f>IFERROR(__xludf.DUMMYFUNCTION("""COMPUTED_VALUE"""),1806.15)</f>
        <v>1806.15</v>
      </c>
      <c r="D1066" s="3">
        <f>IFERROR(__xludf.DUMMYFUNCTION("""COMPUTED_VALUE"""),1782.95)</f>
        <v>1782.95</v>
      </c>
      <c r="E1066" s="3">
        <f>IFERROR(__xludf.DUMMYFUNCTION("""COMPUTED_VALUE"""),1786.0)</f>
        <v>1786</v>
      </c>
      <c r="F1066" s="3">
        <f>IFERROR(__xludf.DUMMYFUNCTION("""COMPUTED_VALUE"""),0.0)</f>
        <v>0</v>
      </c>
    </row>
    <row r="1067">
      <c r="A1067" s="7">
        <f>IFERROR(__xludf.DUMMYFUNCTION("""COMPUTED_VALUE"""),38279.645833333336)</f>
        <v>38279.64583</v>
      </c>
      <c r="B1067" s="3">
        <f>IFERROR(__xludf.DUMMYFUNCTION("""COMPUTED_VALUE"""),1787.2)</f>
        <v>1787.2</v>
      </c>
      <c r="C1067" s="3">
        <f>IFERROR(__xludf.DUMMYFUNCTION("""COMPUTED_VALUE"""),1813.9)</f>
        <v>1813.9</v>
      </c>
      <c r="D1067" s="3">
        <f>IFERROR(__xludf.DUMMYFUNCTION("""COMPUTED_VALUE"""),1787.2)</f>
        <v>1787.2</v>
      </c>
      <c r="E1067" s="3">
        <f>IFERROR(__xludf.DUMMYFUNCTION("""COMPUTED_VALUE"""),1808.4)</f>
        <v>1808.4</v>
      </c>
      <c r="F1067" s="3">
        <f>IFERROR(__xludf.DUMMYFUNCTION("""COMPUTED_VALUE"""),0.0)</f>
        <v>0</v>
      </c>
    </row>
    <row r="1068">
      <c r="A1068" s="7">
        <f>IFERROR(__xludf.DUMMYFUNCTION("""COMPUTED_VALUE"""),38280.645833333336)</f>
        <v>38280.64583</v>
      </c>
      <c r="B1068" s="3">
        <f>IFERROR(__xludf.DUMMYFUNCTION("""COMPUTED_VALUE"""),1808.6)</f>
        <v>1808.6</v>
      </c>
      <c r="C1068" s="3">
        <f>IFERROR(__xludf.DUMMYFUNCTION("""COMPUTED_VALUE"""),1815.2)</f>
        <v>1815.2</v>
      </c>
      <c r="D1068" s="3">
        <f>IFERROR(__xludf.DUMMYFUNCTION("""COMPUTED_VALUE"""),1785.45)</f>
        <v>1785.45</v>
      </c>
      <c r="E1068" s="3">
        <f>IFERROR(__xludf.DUMMYFUNCTION("""COMPUTED_VALUE"""),1790.05)</f>
        <v>1790.05</v>
      </c>
      <c r="F1068" s="3">
        <f>IFERROR(__xludf.DUMMYFUNCTION("""COMPUTED_VALUE"""),0.0)</f>
        <v>0</v>
      </c>
    </row>
    <row r="1069">
      <c r="A1069" s="7">
        <f>IFERROR(__xludf.DUMMYFUNCTION("""COMPUTED_VALUE"""),38281.645833333336)</f>
        <v>38281.64583</v>
      </c>
      <c r="B1069" s="3">
        <f>IFERROR(__xludf.DUMMYFUNCTION("""COMPUTED_VALUE"""),1790.35)</f>
        <v>1790.35</v>
      </c>
      <c r="C1069" s="3">
        <f>IFERROR(__xludf.DUMMYFUNCTION("""COMPUTED_VALUE"""),1795.4)</f>
        <v>1795.4</v>
      </c>
      <c r="D1069" s="3">
        <f>IFERROR(__xludf.DUMMYFUNCTION("""COMPUTED_VALUE"""),1772.4)</f>
        <v>1772.4</v>
      </c>
      <c r="E1069" s="3">
        <f>IFERROR(__xludf.DUMMYFUNCTION("""COMPUTED_VALUE"""),1779.75)</f>
        <v>1779.75</v>
      </c>
      <c r="F1069" s="3">
        <f>IFERROR(__xludf.DUMMYFUNCTION("""COMPUTED_VALUE"""),0.0)</f>
        <v>0</v>
      </c>
    </row>
    <row r="1070">
      <c r="A1070" s="7">
        <f>IFERROR(__xludf.DUMMYFUNCTION("""COMPUTED_VALUE"""),38285.645833333336)</f>
        <v>38285.64583</v>
      </c>
      <c r="B1070" s="3">
        <f>IFERROR(__xludf.DUMMYFUNCTION("""COMPUTED_VALUE"""),1780.0)</f>
        <v>1780</v>
      </c>
      <c r="C1070" s="3">
        <f>IFERROR(__xludf.DUMMYFUNCTION("""COMPUTED_VALUE"""),1783.55)</f>
        <v>1783.55</v>
      </c>
      <c r="D1070" s="3">
        <f>IFERROR(__xludf.DUMMYFUNCTION("""COMPUTED_VALUE"""),1753.5)</f>
        <v>1753.5</v>
      </c>
      <c r="E1070" s="3">
        <f>IFERROR(__xludf.DUMMYFUNCTION("""COMPUTED_VALUE"""),1757.25)</f>
        <v>1757.25</v>
      </c>
      <c r="F1070" s="3">
        <f>IFERROR(__xludf.DUMMYFUNCTION("""COMPUTED_VALUE"""),0.0)</f>
        <v>0</v>
      </c>
    </row>
    <row r="1071">
      <c r="A1071" s="7">
        <f>IFERROR(__xludf.DUMMYFUNCTION("""COMPUTED_VALUE"""),38286.645833333336)</f>
        <v>38286.64583</v>
      </c>
      <c r="B1071" s="3">
        <f>IFERROR(__xludf.DUMMYFUNCTION("""COMPUTED_VALUE"""),1777.85)</f>
        <v>1777.85</v>
      </c>
      <c r="C1071" s="3">
        <f>IFERROR(__xludf.DUMMYFUNCTION("""COMPUTED_VALUE"""),1782.1)</f>
        <v>1782.1</v>
      </c>
      <c r="D1071" s="3">
        <f>IFERROR(__xludf.DUMMYFUNCTION("""COMPUTED_VALUE"""),1750.3)</f>
        <v>1750.3</v>
      </c>
      <c r="E1071" s="3">
        <f>IFERROR(__xludf.DUMMYFUNCTION("""COMPUTED_VALUE"""),1781.05)</f>
        <v>1781.05</v>
      </c>
      <c r="F1071" s="3">
        <f>IFERROR(__xludf.DUMMYFUNCTION("""COMPUTED_VALUE"""),0.0)</f>
        <v>0</v>
      </c>
    </row>
    <row r="1072">
      <c r="A1072" s="7">
        <f>IFERROR(__xludf.DUMMYFUNCTION("""COMPUTED_VALUE"""),38287.645833333336)</f>
        <v>38287.64583</v>
      </c>
      <c r="B1072" s="3">
        <f>IFERROR(__xludf.DUMMYFUNCTION("""COMPUTED_VALUE"""),1781.15)</f>
        <v>1781.15</v>
      </c>
      <c r="C1072" s="3">
        <f>IFERROR(__xludf.DUMMYFUNCTION("""COMPUTED_VALUE"""),1797.55)</f>
        <v>1797.55</v>
      </c>
      <c r="D1072" s="3">
        <f>IFERROR(__xludf.DUMMYFUNCTION("""COMPUTED_VALUE"""),1774.2)</f>
        <v>1774.2</v>
      </c>
      <c r="E1072" s="3">
        <f>IFERROR(__xludf.DUMMYFUNCTION("""COMPUTED_VALUE"""),1783.85)</f>
        <v>1783.85</v>
      </c>
      <c r="F1072" s="3">
        <f>IFERROR(__xludf.DUMMYFUNCTION("""COMPUTED_VALUE"""),0.0)</f>
        <v>0</v>
      </c>
    </row>
    <row r="1073">
      <c r="A1073" s="7">
        <f>IFERROR(__xludf.DUMMYFUNCTION("""COMPUTED_VALUE"""),38288.645833333336)</f>
        <v>38288.64583</v>
      </c>
      <c r="B1073" s="3">
        <f>IFERROR(__xludf.DUMMYFUNCTION("""COMPUTED_VALUE"""),1783.9)</f>
        <v>1783.9</v>
      </c>
      <c r="C1073" s="3">
        <f>IFERROR(__xludf.DUMMYFUNCTION("""COMPUTED_VALUE"""),1808.15)</f>
        <v>1808.15</v>
      </c>
      <c r="D1073" s="3">
        <f>IFERROR(__xludf.DUMMYFUNCTION("""COMPUTED_VALUE"""),1783.9)</f>
        <v>1783.9</v>
      </c>
      <c r="E1073" s="3">
        <f>IFERROR(__xludf.DUMMYFUNCTION("""COMPUTED_VALUE"""),1800.1)</f>
        <v>1800.1</v>
      </c>
      <c r="F1073" s="3">
        <f>IFERROR(__xludf.DUMMYFUNCTION("""COMPUTED_VALUE"""),0.0)</f>
        <v>0</v>
      </c>
    </row>
    <row r="1074">
      <c r="A1074" s="7">
        <f>IFERROR(__xludf.DUMMYFUNCTION("""COMPUTED_VALUE"""),38289.645833333336)</f>
        <v>38289.64583</v>
      </c>
      <c r="B1074" s="3">
        <f>IFERROR(__xludf.DUMMYFUNCTION("""COMPUTED_VALUE"""),1800.85)</f>
        <v>1800.85</v>
      </c>
      <c r="C1074" s="3">
        <f>IFERROR(__xludf.DUMMYFUNCTION("""COMPUTED_VALUE"""),1808.85)</f>
        <v>1808.85</v>
      </c>
      <c r="D1074" s="3">
        <f>IFERROR(__xludf.DUMMYFUNCTION("""COMPUTED_VALUE"""),1783.1)</f>
        <v>1783.1</v>
      </c>
      <c r="E1074" s="3">
        <f>IFERROR(__xludf.DUMMYFUNCTION("""COMPUTED_VALUE"""),1786.9)</f>
        <v>1786.9</v>
      </c>
      <c r="F1074" s="3">
        <f>IFERROR(__xludf.DUMMYFUNCTION("""COMPUTED_VALUE"""),0.0)</f>
        <v>0</v>
      </c>
    </row>
    <row r="1075">
      <c r="A1075" s="7">
        <f>IFERROR(__xludf.DUMMYFUNCTION("""COMPUTED_VALUE"""),38292.645833333336)</f>
        <v>38292.64583</v>
      </c>
      <c r="B1075" s="3">
        <f>IFERROR(__xludf.DUMMYFUNCTION("""COMPUTED_VALUE"""),1787.3)</f>
        <v>1787.3</v>
      </c>
      <c r="C1075" s="3">
        <f>IFERROR(__xludf.DUMMYFUNCTION("""COMPUTED_VALUE"""),1800.25)</f>
        <v>1800.25</v>
      </c>
      <c r="D1075" s="3">
        <f>IFERROR(__xludf.DUMMYFUNCTION("""COMPUTED_VALUE"""),1776.7)</f>
        <v>1776.7</v>
      </c>
      <c r="E1075" s="3">
        <f>IFERROR(__xludf.DUMMYFUNCTION("""COMPUTED_VALUE"""),1797.75)</f>
        <v>1797.75</v>
      </c>
      <c r="F1075" s="3">
        <f>IFERROR(__xludf.DUMMYFUNCTION("""COMPUTED_VALUE"""),0.0)</f>
        <v>0</v>
      </c>
    </row>
    <row r="1076">
      <c r="A1076" s="7">
        <f>IFERROR(__xludf.DUMMYFUNCTION("""COMPUTED_VALUE"""),38293.645833333336)</f>
        <v>38293.64583</v>
      </c>
      <c r="B1076" s="3">
        <f>IFERROR(__xludf.DUMMYFUNCTION("""COMPUTED_VALUE"""),1798.3)</f>
        <v>1798.3</v>
      </c>
      <c r="C1076" s="3">
        <f>IFERROR(__xludf.DUMMYFUNCTION("""COMPUTED_VALUE"""),1817.1)</f>
        <v>1817.1</v>
      </c>
      <c r="D1076" s="3">
        <f>IFERROR(__xludf.DUMMYFUNCTION("""COMPUTED_VALUE"""),1798.3)</f>
        <v>1798.3</v>
      </c>
      <c r="E1076" s="3">
        <f>IFERROR(__xludf.DUMMYFUNCTION("""COMPUTED_VALUE"""),1813.7)</f>
        <v>1813.7</v>
      </c>
      <c r="F1076" s="3">
        <f>IFERROR(__xludf.DUMMYFUNCTION("""COMPUTED_VALUE"""),0.0)</f>
        <v>0</v>
      </c>
    </row>
    <row r="1077">
      <c r="A1077" s="7">
        <f>IFERROR(__xludf.DUMMYFUNCTION("""COMPUTED_VALUE"""),38294.645833333336)</f>
        <v>38294.64583</v>
      </c>
      <c r="B1077" s="3">
        <f>IFERROR(__xludf.DUMMYFUNCTION("""COMPUTED_VALUE"""),1814.15)</f>
        <v>1814.15</v>
      </c>
      <c r="C1077" s="3">
        <f>IFERROR(__xludf.DUMMYFUNCTION("""COMPUTED_VALUE"""),1838.4)</f>
        <v>1838.4</v>
      </c>
      <c r="D1077" s="3">
        <f>IFERROR(__xludf.DUMMYFUNCTION("""COMPUTED_VALUE"""),1814.15)</f>
        <v>1814.15</v>
      </c>
      <c r="E1077" s="3">
        <f>IFERROR(__xludf.DUMMYFUNCTION("""COMPUTED_VALUE"""),1837.4)</f>
        <v>1837.4</v>
      </c>
      <c r="F1077" s="3">
        <f>IFERROR(__xludf.DUMMYFUNCTION("""COMPUTED_VALUE"""),0.0)</f>
        <v>0</v>
      </c>
    </row>
    <row r="1078">
      <c r="A1078" s="7">
        <f>IFERROR(__xludf.DUMMYFUNCTION("""COMPUTED_VALUE"""),38295.645833333336)</f>
        <v>38295.64583</v>
      </c>
      <c r="B1078" s="3">
        <f>IFERROR(__xludf.DUMMYFUNCTION("""COMPUTED_VALUE"""),1837.8)</f>
        <v>1837.8</v>
      </c>
      <c r="C1078" s="3">
        <f>IFERROR(__xludf.DUMMYFUNCTION("""COMPUTED_VALUE"""),1853.05)</f>
        <v>1853.05</v>
      </c>
      <c r="D1078" s="3">
        <f>IFERROR(__xludf.DUMMYFUNCTION("""COMPUTED_VALUE"""),1830.5)</f>
        <v>1830.5</v>
      </c>
      <c r="E1078" s="3">
        <f>IFERROR(__xludf.DUMMYFUNCTION("""COMPUTED_VALUE"""),1834.85)</f>
        <v>1834.85</v>
      </c>
      <c r="F1078" s="3">
        <f>IFERROR(__xludf.DUMMYFUNCTION("""COMPUTED_VALUE"""),0.0)</f>
        <v>0</v>
      </c>
    </row>
    <row r="1079">
      <c r="A1079" s="7">
        <f>IFERROR(__xludf.DUMMYFUNCTION("""COMPUTED_VALUE"""),38296.645833333336)</f>
        <v>38296.64583</v>
      </c>
      <c r="B1079" s="3">
        <f>IFERROR(__xludf.DUMMYFUNCTION("""COMPUTED_VALUE"""),1836.05)</f>
        <v>1836.05</v>
      </c>
      <c r="C1079" s="3">
        <f>IFERROR(__xludf.DUMMYFUNCTION("""COMPUTED_VALUE"""),1854.4)</f>
        <v>1854.4</v>
      </c>
      <c r="D1079" s="3">
        <f>IFERROR(__xludf.DUMMYFUNCTION("""COMPUTED_VALUE"""),1836.0)</f>
        <v>1836</v>
      </c>
      <c r="E1079" s="3">
        <f>IFERROR(__xludf.DUMMYFUNCTION("""COMPUTED_VALUE"""),1852.3)</f>
        <v>1852.3</v>
      </c>
      <c r="F1079" s="3">
        <f>IFERROR(__xludf.DUMMYFUNCTION("""COMPUTED_VALUE"""),0.0)</f>
        <v>0</v>
      </c>
    </row>
    <row r="1080">
      <c r="A1080" s="7">
        <f>IFERROR(__xludf.DUMMYFUNCTION("""COMPUTED_VALUE"""),38299.645833333336)</f>
        <v>38299.64583</v>
      </c>
      <c r="B1080" s="3">
        <f>IFERROR(__xludf.DUMMYFUNCTION("""COMPUTED_VALUE"""),1852.45)</f>
        <v>1852.45</v>
      </c>
      <c r="C1080" s="3">
        <f>IFERROR(__xludf.DUMMYFUNCTION("""COMPUTED_VALUE"""),1871.05)</f>
        <v>1871.05</v>
      </c>
      <c r="D1080" s="3">
        <f>IFERROR(__xludf.DUMMYFUNCTION("""COMPUTED_VALUE"""),1852.45)</f>
        <v>1852.45</v>
      </c>
      <c r="E1080" s="3">
        <f>IFERROR(__xludf.DUMMYFUNCTION("""COMPUTED_VALUE"""),1862.8)</f>
        <v>1862.8</v>
      </c>
      <c r="F1080" s="3">
        <f>IFERROR(__xludf.DUMMYFUNCTION("""COMPUTED_VALUE"""),0.0)</f>
        <v>0</v>
      </c>
    </row>
    <row r="1081">
      <c r="A1081" s="7">
        <f>IFERROR(__xludf.DUMMYFUNCTION("""COMPUTED_VALUE"""),38300.645833333336)</f>
        <v>38300.64583</v>
      </c>
      <c r="B1081" s="3">
        <f>IFERROR(__xludf.DUMMYFUNCTION("""COMPUTED_VALUE"""),1863.55)</f>
        <v>1863.55</v>
      </c>
      <c r="C1081" s="3">
        <f>IFERROR(__xludf.DUMMYFUNCTION("""COMPUTED_VALUE"""),1869.45)</f>
        <v>1869.45</v>
      </c>
      <c r="D1081" s="3">
        <f>IFERROR(__xludf.DUMMYFUNCTION("""COMPUTED_VALUE"""),1853.45)</f>
        <v>1853.45</v>
      </c>
      <c r="E1081" s="3">
        <f>IFERROR(__xludf.DUMMYFUNCTION("""COMPUTED_VALUE"""),1858.75)</f>
        <v>1858.75</v>
      </c>
      <c r="F1081" s="3">
        <f>IFERROR(__xludf.DUMMYFUNCTION("""COMPUTED_VALUE"""),0.0)</f>
        <v>0</v>
      </c>
    </row>
    <row r="1082">
      <c r="A1082" s="7">
        <f>IFERROR(__xludf.DUMMYFUNCTION("""COMPUTED_VALUE"""),38301.645833333336)</f>
        <v>38301.64583</v>
      </c>
      <c r="B1082" s="3">
        <f>IFERROR(__xludf.DUMMYFUNCTION("""COMPUTED_VALUE"""),1859.65)</f>
        <v>1859.65</v>
      </c>
      <c r="C1082" s="3">
        <f>IFERROR(__xludf.DUMMYFUNCTION("""COMPUTED_VALUE"""),1878.2)</f>
        <v>1878.2</v>
      </c>
      <c r="D1082" s="3">
        <f>IFERROR(__xludf.DUMMYFUNCTION("""COMPUTED_VALUE"""),1857.7)</f>
        <v>1857.7</v>
      </c>
      <c r="E1082" s="3">
        <f>IFERROR(__xludf.DUMMYFUNCTION("""COMPUTED_VALUE"""),1876.1)</f>
        <v>1876.1</v>
      </c>
      <c r="F1082" s="3">
        <f>IFERROR(__xludf.DUMMYFUNCTION("""COMPUTED_VALUE"""),0.0)</f>
        <v>0</v>
      </c>
    </row>
    <row r="1083">
      <c r="A1083" s="7">
        <f>IFERROR(__xludf.DUMMYFUNCTION("""COMPUTED_VALUE"""),38302.645833333336)</f>
        <v>38302.64583</v>
      </c>
      <c r="B1083" s="3">
        <f>IFERROR(__xludf.DUMMYFUNCTION("""COMPUTED_VALUE"""),1876.45)</f>
        <v>1876.45</v>
      </c>
      <c r="C1083" s="3">
        <f>IFERROR(__xludf.DUMMYFUNCTION("""COMPUTED_VALUE"""),1884.65)</f>
        <v>1884.65</v>
      </c>
      <c r="D1083" s="3">
        <f>IFERROR(__xludf.DUMMYFUNCTION("""COMPUTED_VALUE"""),1866.95)</f>
        <v>1866.95</v>
      </c>
      <c r="E1083" s="3">
        <f>IFERROR(__xludf.DUMMYFUNCTION("""COMPUTED_VALUE"""),1870.55)</f>
        <v>1870.55</v>
      </c>
      <c r="F1083" s="3">
        <f>IFERROR(__xludf.DUMMYFUNCTION("""COMPUTED_VALUE"""),0.0)</f>
        <v>0</v>
      </c>
    </row>
    <row r="1084">
      <c r="A1084" s="7">
        <f>IFERROR(__xludf.DUMMYFUNCTION("""COMPUTED_VALUE"""),38303.645833333336)</f>
        <v>38303.64583</v>
      </c>
      <c r="B1084" s="3">
        <f>IFERROR(__xludf.DUMMYFUNCTION("""COMPUTED_VALUE"""),1871.9)</f>
        <v>1871.9</v>
      </c>
      <c r="C1084" s="3">
        <f>IFERROR(__xludf.DUMMYFUNCTION("""COMPUTED_VALUE"""),1885.05)</f>
        <v>1885.05</v>
      </c>
      <c r="D1084" s="3">
        <f>IFERROR(__xludf.DUMMYFUNCTION("""COMPUTED_VALUE"""),1866.75)</f>
        <v>1866.75</v>
      </c>
      <c r="E1084" s="3">
        <f>IFERROR(__xludf.DUMMYFUNCTION("""COMPUTED_VALUE"""),1872.95)</f>
        <v>1872.95</v>
      </c>
      <c r="F1084" s="3">
        <f>IFERROR(__xludf.DUMMYFUNCTION("""COMPUTED_VALUE"""),0.0)</f>
        <v>0</v>
      </c>
    </row>
    <row r="1085">
      <c r="A1085" s="7">
        <f>IFERROR(__xludf.DUMMYFUNCTION("""COMPUTED_VALUE"""),38307.645833333336)</f>
        <v>38307.64583</v>
      </c>
      <c r="B1085" s="3">
        <f>IFERROR(__xludf.DUMMYFUNCTION("""COMPUTED_VALUE"""),1872.8)</f>
        <v>1872.8</v>
      </c>
      <c r="C1085" s="3">
        <f>IFERROR(__xludf.DUMMYFUNCTION("""COMPUTED_VALUE"""),1881.4)</f>
        <v>1881.4</v>
      </c>
      <c r="D1085" s="3">
        <f>IFERROR(__xludf.DUMMYFUNCTION("""COMPUTED_VALUE"""),1862.8)</f>
        <v>1862.8</v>
      </c>
      <c r="E1085" s="3">
        <f>IFERROR(__xludf.DUMMYFUNCTION("""COMPUTED_VALUE"""),1879.0)</f>
        <v>1879</v>
      </c>
      <c r="F1085" s="3">
        <f>IFERROR(__xludf.DUMMYFUNCTION("""COMPUTED_VALUE"""),0.0)</f>
        <v>0</v>
      </c>
    </row>
    <row r="1086">
      <c r="A1086" s="7">
        <f>IFERROR(__xludf.DUMMYFUNCTION("""COMPUTED_VALUE"""),38308.645833333336)</f>
        <v>38308.64583</v>
      </c>
      <c r="B1086" s="3">
        <f>IFERROR(__xludf.DUMMYFUNCTION("""COMPUTED_VALUE"""),1879.05)</f>
        <v>1879.05</v>
      </c>
      <c r="C1086" s="3">
        <f>IFERROR(__xludf.DUMMYFUNCTION("""COMPUTED_VALUE"""),1892.15)</f>
        <v>1892.15</v>
      </c>
      <c r="D1086" s="3">
        <f>IFERROR(__xludf.DUMMYFUNCTION("""COMPUTED_VALUE"""),1874.35)</f>
        <v>1874.35</v>
      </c>
      <c r="E1086" s="3">
        <f>IFERROR(__xludf.DUMMYFUNCTION("""COMPUTED_VALUE"""),1888.65)</f>
        <v>1888.65</v>
      </c>
      <c r="F1086" s="3">
        <f>IFERROR(__xludf.DUMMYFUNCTION("""COMPUTED_VALUE"""),0.0)</f>
        <v>0</v>
      </c>
    </row>
    <row r="1087">
      <c r="A1087" s="7">
        <f>IFERROR(__xludf.DUMMYFUNCTION("""COMPUTED_VALUE"""),38309.645833333336)</f>
        <v>38309.64583</v>
      </c>
      <c r="B1087" s="3">
        <f>IFERROR(__xludf.DUMMYFUNCTION("""COMPUTED_VALUE"""),1890.45)</f>
        <v>1890.45</v>
      </c>
      <c r="C1087" s="3">
        <f>IFERROR(__xludf.DUMMYFUNCTION("""COMPUTED_VALUE"""),1895.3)</f>
        <v>1895.3</v>
      </c>
      <c r="D1087" s="3">
        <f>IFERROR(__xludf.DUMMYFUNCTION("""COMPUTED_VALUE"""),1880.8)</f>
        <v>1880.8</v>
      </c>
      <c r="E1087" s="3">
        <f>IFERROR(__xludf.DUMMYFUNCTION("""COMPUTED_VALUE"""),1892.05)</f>
        <v>1892.05</v>
      </c>
      <c r="F1087" s="3">
        <f>IFERROR(__xludf.DUMMYFUNCTION("""COMPUTED_VALUE"""),0.0)</f>
        <v>0</v>
      </c>
    </row>
    <row r="1088">
      <c r="A1088" s="7">
        <f>IFERROR(__xludf.DUMMYFUNCTION("""COMPUTED_VALUE"""),38310.645833333336)</f>
        <v>38310.64583</v>
      </c>
      <c r="B1088" s="3">
        <f>IFERROR(__xludf.DUMMYFUNCTION("""COMPUTED_VALUE"""),1891.95)</f>
        <v>1891.95</v>
      </c>
      <c r="C1088" s="3">
        <f>IFERROR(__xludf.DUMMYFUNCTION("""COMPUTED_VALUE"""),1898.15)</f>
        <v>1898.15</v>
      </c>
      <c r="D1088" s="3">
        <f>IFERROR(__xludf.DUMMYFUNCTION("""COMPUTED_VALUE"""),1869.35)</f>
        <v>1869.35</v>
      </c>
      <c r="E1088" s="3">
        <f>IFERROR(__xludf.DUMMYFUNCTION("""COMPUTED_VALUE"""),1872.35)</f>
        <v>1872.35</v>
      </c>
      <c r="F1088" s="3">
        <f>IFERROR(__xludf.DUMMYFUNCTION("""COMPUTED_VALUE"""),0.0)</f>
        <v>0</v>
      </c>
    </row>
    <row r="1089">
      <c r="A1089" s="7">
        <f>IFERROR(__xludf.DUMMYFUNCTION("""COMPUTED_VALUE"""),38313.645833333336)</f>
        <v>38313.64583</v>
      </c>
      <c r="B1089" s="3">
        <f>IFERROR(__xludf.DUMMYFUNCTION("""COMPUTED_VALUE"""),1872.55)</f>
        <v>1872.55</v>
      </c>
      <c r="C1089" s="3">
        <f>IFERROR(__xludf.DUMMYFUNCTION("""COMPUTED_VALUE"""),1878.05)</f>
        <v>1878.05</v>
      </c>
      <c r="D1089" s="3">
        <f>IFERROR(__xludf.DUMMYFUNCTION("""COMPUTED_VALUE"""),1845.1)</f>
        <v>1845.1</v>
      </c>
      <c r="E1089" s="3">
        <f>IFERROR(__xludf.DUMMYFUNCTION("""COMPUTED_VALUE"""),1873.35)</f>
        <v>1873.35</v>
      </c>
      <c r="F1089" s="3">
        <f>IFERROR(__xludf.DUMMYFUNCTION("""COMPUTED_VALUE"""),0.0)</f>
        <v>0</v>
      </c>
    </row>
    <row r="1090">
      <c r="A1090" s="7">
        <f>IFERROR(__xludf.DUMMYFUNCTION("""COMPUTED_VALUE"""),38314.645833333336)</f>
        <v>38314.64583</v>
      </c>
      <c r="B1090" s="3">
        <f>IFERROR(__xludf.DUMMYFUNCTION("""COMPUTED_VALUE"""),1873.35)</f>
        <v>1873.35</v>
      </c>
      <c r="C1090" s="3">
        <f>IFERROR(__xludf.DUMMYFUNCTION("""COMPUTED_VALUE"""),1900.05)</f>
        <v>1900.05</v>
      </c>
      <c r="D1090" s="3">
        <f>IFERROR(__xludf.DUMMYFUNCTION("""COMPUTED_VALUE"""),1873.35)</f>
        <v>1873.35</v>
      </c>
      <c r="E1090" s="3">
        <f>IFERROR(__xludf.DUMMYFUNCTION("""COMPUTED_VALUE"""),1892.6)</f>
        <v>1892.6</v>
      </c>
      <c r="F1090" s="3">
        <f>IFERROR(__xludf.DUMMYFUNCTION("""COMPUTED_VALUE"""),0.0)</f>
        <v>0</v>
      </c>
    </row>
    <row r="1091">
      <c r="A1091" s="7">
        <f>IFERROR(__xludf.DUMMYFUNCTION("""COMPUTED_VALUE"""),38315.645833333336)</f>
        <v>38315.64583</v>
      </c>
      <c r="B1091" s="3">
        <f>IFERROR(__xludf.DUMMYFUNCTION("""COMPUTED_VALUE"""),1893.15)</f>
        <v>1893.15</v>
      </c>
      <c r="C1091" s="3">
        <f>IFERROR(__xludf.DUMMYFUNCTION("""COMPUTED_VALUE"""),1907.35)</f>
        <v>1907.35</v>
      </c>
      <c r="D1091" s="3">
        <f>IFERROR(__xludf.DUMMYFUNCTION("""COMPUTED_VALUE"""),1889.85)</f>
        <v>1889.85</v>
      </c>
      <c r="E1091" s="3">
        <f>IFERROR(__xludf.DUMMYFUNCTION("""COMPUTED_VALUE"""),1904.05)</f>
        <v>1904.05</v>
      </c>
      <c r="F1091" s="3">
        <f>IFERROR(__xludf.DUMMYFUNCTION("""COMPUTED_VALUE"""),0.0)</f>
        <v>0</v>
      </c>
    </row>
    <row r="1092">
      <c r="A1092" s="7">
        <f>IFERROR(__xludf.DUMMYFUNCTION("""COMPUTED_VALUE"""),38316.645833333336)</f>
        <v>38316.64583</v>
      </c>
      <c r="B1092" s="3">
        <f>IFERROR(__xludf.DUMMYFUNCTION("""COMPUTED_VALUE"""),1904.25)</f>
        <v>1904.25</v>
      </c>
      <c r="C1092" s="3">
        <f>IFERROR(__xludf.DUMMYFUNCTION("""COMPUTED_VALUE"""),1915.8)</f>
        <v>1915.8</v>
      </c>
      <c r="D1092" s="3">
        <f>IFERROR(__xludf.DUMMYFUNCTION("""COMPUTED_VALUE"""),1892.6)</f>
        <v>1892.6</v>
      </c>
      <c r="E1092" s="3">
        <f>IFERROR(__xludf.DUMMYFUNCTION("""COMPUTED_VALUE"""),1901.05)</f>
        <v>1901.05</v>
      </c>
      <c r="F1092" s="3">
        <f>IFERROR(__xludf.DUMMYFUNCTION("""COMPUTED_VALUE"""),0.0)</f>
        <v>0</v>
      </c>
    </row>
    <row r="1093">
      <c r="A1093" s="7">
        <f>IFERROR(__xludf.DUMMYFUNCTION("""COMPUTED_VALUE"""),38320.645833333336)</f>
        <v>38320.64583</v>
      </c>
      <c r="B1093" s="3">
        <f>IFERROR(__xludf.DUMMYFUNCTION("""COMPUTED_VALUE"""),1899.3)</f>
        <v>1899.3</v>
      </c>
      <c r="C1093" s="3">
        <f>IFERROR(__xludf.DUMMYFUNCTION("""COMPUTED_VALUE"""),1942.95)</f>
        <v>1942.95</v>
      </c>
      <c r="D1093" s="3">
        <f>IFERROR(__xludf.DUMMYFUNCTION("""COMPUTED_VALUE"""),1894.6)</f>
        <v>1894.6</v>
      </c>
      <c r="E1093" s="3">
        <f>IFERROR(__xludf.DUMMYFUNCTION("""COMPUTED_VALUE"""),1939.65)</f>
        <v>1939.65</v>
      </c>
      <c r="F1093" s="3">
        <f>IFERROR(__xludf.DUMMYFUNCTION("""COMPUTED_VALUE"""),0.0)</f>
        <v>0</v>
      </c>
    </row>
    <row r="1094">
      <c r="A1094" s="7">
        <f>IFERROR(__xludf.DUMMYFUNCTION("""COMPUTED_VALUE"""),38321.645833333336)</f>
        <v>38321.64583</v>
      </c>
      <c r="B1094" s="3">
        <f>IFERROR(__xludf.DUMMYFUNCTION("""COMPUTED_VALUE"""),1940.25)</f>
        <v>1940.25</v>
      </c>
      <c r="C1094" s="3">
        <f>IFERROR(__xludf.DUMMYFUNCTION("""COMPUTED_VALUE"""),1963.8)</f>
        <v>1963.8</v>
      </c>
      <c r="D1094" s="3">
        <f>IFERROR(__xludf.DUMMYFUNCTION("""COMPUTED_VALUE"""),1940.25)</f>
        <v>1940.25</v>
      </c>
      <c r="E1094" s="3">
        <f>IFERROR(__xludf.DUMMYFUNCTION("""COMPUTED_VALUE"""),1958.8)</f>
        <v>1958.8</v>
      </c>
      <c r="F1094" s="3">
        <f>IFERROR(__xludf.DUMMYFUNCTION("""COMPUTED_VALUE"""),0.0)</f>
        <v>0</v>
      </c>
    </row>
    <row r="1095">
      <c r="A1095" s="7">
        <f>IFERROR(__xludf.DUMMYFUNCTION("""COMPUTED_VALUE"""),38322.645833333336)</f>
        <v>38322.64583</v>
      </c>
      <c r="B1095" s="3">
        <f>IFERROR(__xludf.DUMMYFUNCTION("""COMPUTED_VALUE"""),1960.75)</f>
        <v>1960.75</v>
      </c>
      <c r="C1095" s="3">
        <f>IFERROR(__xludf.DUMMYFUNCTION("""COMPUTED_VALUE"""),1971.6)</f>
        <v>1971.6</v>
      </c>
      <c r="D1095" s="3">
        <f>IFERROR(__xludf.DUMMYFUNCTION("""COMPUTED_VALUE"""),1944.5)</f>
        <v>1944.5</v>
      </c>
      <c r="E1095" s="3">
        <f>IFERROR(__xludf.DUMMYFUNCTION("""COMPUTED_VALUE"""),1962.05)</f>
        <v>1962.05</v>
      </c>
      <c r="F1095" s="3">
        <f>IFERROR(__xludf.DUMMYFUNCTION("""COMPUTED_VALUE"""),0.0)</f>
        <v>0</v>
      </c>
    </row>
    <row r="1096">
      <c r="A1096" s="7">
        <f>IFERROR(__xludf.DUMMYFUNCTION("""COMPUTED_VALUE"""),38323.645833333336)</f>
        <v>38323.64583</v>
      </c>
      <c r="B1096" s="3">
        <f>IFERROR(__xludf.DUMMYFUNCTION("""COMPUTED_VALUE"""),1962.75)</f>
        <v>1962.75</v>
      </c>
      <c r="C1096" s="3">
        <f>IFERROR(__xludf.DUMMYFUNCTION("""COMPUTED_VALUE"""),2001.55)</f>
        <v>2001.55</v>
      </c>
      <c r="D1096" s="3">
        <f>IFERROR(__xludf.DUMMYFUNCTION("""COMPUTED_VALUE"""),1962.75)</f>
        <v>1962.75</v>
      </c>
      <c r="E1096" s="3">
        <f>IFERROR(__xludf.DUMMYFUNCTION("""COMPUTED_VALUE"""),1999.0)</f>
        <v>1999</v>
      </c>
      <c r="F1096" s="3">
        <f>IFERROR(__xludf.DUMMYFUNCTION("""COMPUTED_VALUE"""),0.0)</f>
        <v>0</v>
      </c>
    </row>
    <row r="1097">
      <c r="A1097" s="7">
        <f>IFERROR(__xludf.DUMMYFUNCTION("""COMPUTED_VALUE"""),38324.645833333336)</f>
        <v>38324.64583</v>
      </c>
      <c r="B1097" s="3">
        <f>IFERROR(__xludf.DUMMYFUNCTION("""COMPUTED_VALUE"""),1991.9)</f>
        <v>1991.9</v>
      </c>
      <c r="C1097" s="3">
        <f>IFERROR(__xludf.DUMMYFUNCTION("""COMPUTED_VALUE"""),2011.9)</f>
        <v>2011.9</v>
      </c>
      <c r="D1097" s="3">
        <f>IFERROR(__xludf.DUMMYFUNCTION("""COMPUTED_VALUE"""),1990.3)</f>
        <v>1990.3</v>
      </c>
      <c r="E1097" s="3">
        <f>IFERROR(__xludf.DUMMYFUNCTION("""COMPUTED_VALUE"""),1996.2)</f>
        <v>1996.2</v>
      </c>
      <c r="F1097" s="3">
        <f>IFERROR(__xludf.DUMMYFUNCTION("""COMPUTED_VALUE"""),0.0)</f>
        <v>0</v>
      </c>
    </row>
    <row r="1098">
      <c r="A1098" s="7">
        <f>IFERROR(__xludf.DUMMYFUNCTION("""COMPUTED_VALUE"""),38327.645833333336)</f>
        <v>38327.64583</v>
      </c>
      <c r="B1098" s="3">
        <f>IFERROR(__xludf.DUMMYFUNCTION("""COMPUTED_VALUE"""),1996.3)</f>
        <v>1996.3</v>
      </c>
      <c r="C1098" s="3">
        <f>IFERROR(__xludf.DUMMYFUNCTION("""COMPUTED_VALUE"""),2012.25)</f>
        <v>2012.25</v>
      </c>
      <c r="D1098" s="3">
        <f>IFERROR(__xludf.DUMMYFUNCTION("""COMPUTED_VALUE"""),1989.95)</f>
        <v>1989.95</v>
      </c>
      <c r="E1098" s="3">
        <f>IFERROR(__xludf.DUMMYFUNCTION("""COMPUTED_VALUE"""),1993.15)</f>
        <v>1993.15</v>
      </c>
      <c r="F1098" s="3">
        <f>IFERROR(__xludf.DUMMYFUNCTION("""COMPUTED_VALUE"""),0.0)</f>
        <v>0</v>
      </c>
    </row>
    <row r="1099">
      <c r="A1099" s="7">
        <f>IFERROR(__xludf.DUMMYFUNCTION("""COMPUTED_VALUE"""),38328.645833333336)</f>
        <v>38328.64583</v>
      </c>
      <c r="B1099" s="3">
        <f>IFERROR(__xludf.DUMMYFUNCTION("""COMPUTED_VALUE"""),1990.6)</f>
        <v>1990.6</v>
      </c>
      <c r="C1099" s="3">
        <f>IFERROR(__xludf.DUMMYFUNCTION("""COMPUTED_VALUE"""),2002.6)</f>
        <v>2002.6</v>
      </c>
      <c r="D1099" s="3">
        <f>IFERROR(__xludf.DUMMYFUNCTION("""COMPUTED_VALUE"""),1981.15)</f>
        <v>1981.15</v>
      </c>
      <c r="E1099" s="3">
        <f>IFERROR(__xludf.DUMMYFUNCTION("""COMPUTED_VALUE"""),1992.7)</f>
        <v>1992.7</v>
      </c>
      <c r="F1099" s="3">
        <f>IFERROR(__xludf.DUMMYFUNCTION("""COMPUTED_VALUE"""),0.0)</f>
        <v>0</v>
      </c>
    </row>
    <row r="1100">
      <c r="A1100" s="7">
        <f>IFERROR(__xludf.DUMMYFUNCTION("""COMPUTED_VALUE"""),38329.645833333336)</f>
        <v>38329.64583</v>
      </c>
      <c r="B1100" s="3">
        <f>IFERROR(__xludf.DUMMYFUNCTION("""COMPUTED_VALUE"""),1994.15)</f>
        <v>1994.15</v>
      </c>
      <c r="C1100" s="3">
        <f>IFERROR(__xludf.DUMMYFUNCTION("""COMPUTED_VALUE"""),2009.7)</f>
        <v>2009.7</v>
      </c>
      <c r="D1100" s="3">
        <f>IFERROR(__xludf.DUMMYFUNCTION("""COMPUTED_VALUE"""),1973.15)</f>
        <v>1973.15</v>
      </c>
      <c r="E1100" s="3">
        <f>IFERROR(__xludf.DUMMYFUNCTION("""COMPUTED_VALUE"""),1977.95)</f>
        <v>1977.95</v>
      </c>
      <c r="F1100" s="3">
        <f>IFERROR(__xludf.DUMMYFUNCTION("""COMPUTED_VALUE"""),0.0)</f>
        <v>0</v>
      </c>
    </row>
    <row r="1101">
      <c r="A1101" s="7">
        <f>IFERROR(__xludf.DUMMYFUNCTION("""COMPUTED_VALUE"""),38330.645833333336)</f>
        <v>38330.64583</v>
      </c>
      <c r="B1101" s="3">
        <f>IFERROR(__xludf.DUMMYFUNCTION("""COMPUTED_VALUE"""),1977.8)</f>
        <v>1977.8</v>
      </c>
      <c r="C1101" s="3">
        <f>IFERROR(__xludf.DUMMYFUNCTION("""COMPUTED_VALUE"""),1995.7)</f>
        <v>1995.7</v>
      </c>
      <c r="D1101" s="3">
        <f>IFERROR(__xludf.DUMMYFUNCTION("""COMPUTED_VALUE"""),1964.5)</f>
        <v>1964.5</v>
      </c>
      <c r="E1101" s="3">
        <f>IFERROR(__xludf.DUMMYFUNCTION("""COMPUTED_VALUE"""),1989.95)</f>
        <v>1989.95</v>
      </c>
      <c r="F1101" s="3">
        <f>IFERROR(__xludf.DUMMYFUNCTION("""COMPUTED_VALUE"""),0.0)</f>
        <v>0</v>
      </c>
    </row>
    <row r="1102">
      <c r="A1102" s="7">
        <f>IFERROR(__xludf.DUMMYFUNCTION("""COMPUTED_VALUE"""),38331.645833333336)</f>
        <v>38331.64583</v>
      </c>
      <c r="B1102" s="3">
        <f>IFERROR(__xludf.DUMMYFUNCTION("""COMPUTED_VALUE"""),1990.2)</f>
        <v>1990.2</v>
      </c>
      <c r="C1102" s="3">
        <f>IFERROR(__xludf.DUMMYFUNCTION("""COMPUTED_VALUE"""),1999.7)</f>
        <v>1999.7</v>
      </c>
      <c r="D1102" s="3">
        <f>IFERROR(__xludf.DUMMYFUNCTION("""COMPUTED_VALUE"""),1964.65)</f>
        <v>1964.65</v>
      </c>
      <c r="E1102" s="3">
        <f>IFERROR(__xludf.DUMMYFUNCTION("""COMPUTED_VALUE"""),1969.0)</f>
        <v>1969</v>
      </c>
      <c r="F1102" s="3">
        <f>IFERROR(__xludf.DUMMYFUNCTION("""COMPUTED_VALUE"""),0.0)</f>
        <v>0</v>
      </c>
    </row>
    <row r="1103">
      <c r="A1103" s="7">
        <f>IFERROR(__xludf.DUMMYFUNCTION("""COMPUTED_VALUE"""),38334.645833333336)</f>
        <v>38334.64583</v>
      </c>
      <c r="B1103" s="3">
        <f>IFERROR(__xludf.DUMMYFUNCTION("""COMPUTED_VALUE"""),1970.6)</f>
        <v>1970.6</v>
      </c>
      <c r="C1103" s="3">
        <f>IFERROR(__xludf.DUMMYFUNCTION("""COMPUTED_VALUE"""),1987.0)</f>
        <v>1987</v>
      </c>
      <c r="D1103" s="3">
        <f>IFERROR(__xludf.DUMMYFUNCTION("""COMPUTED_VALUE"""),1964.8)</f>
        <v>1964.8</v>
      </c>
      <c r="E1103" s="3">
        <f>IFERROR(__xludf.DUMMYFUNCTION("""COMPUTED_VALUE"""),1985.35)</f>
        <v>1985.35</v>
      </c>
      <c r="F1103" s="3">
        <f>IFERROR(__xludf.DUMMYFUNCTION("""COMPUTED_VALUE"""),0.0)</f>
        <v>0</v>
      </c>
    </row>
    <row r="1104">
      <c r="A1104" s="7">
        <f>IFERROR(__xludf.DUMMYFUNCTION("""COMPUTED_VALUE"""),38335.645833333336)</f>
        <v>38335.64583</v>
      </c>
      <c r="B1104" s="3">
        <f>IFERROR(__xludf.DUMMYFUNCTION("""COMPUTED_VALUE"""),1985.2)</f>
        <v>1985.2</v>
      </c>
      <c r="C1104" s="3">
        <f>IFERROR(__xludf.DUMMYFUNCTION("""COMPUTED_VALUE"""),2008.8)</f>
        <v>2008.8</v>
      </c>
      <c r="D1104" s="3">
        <f>IFERROR(__xludf.DUMMYFUNCTION("""COMPUTED_VALUE"""),1972.85)</f>
        <v>1972.85</v>
      </c>
      <c r="E1104" s="3">
        <f>IFERROR(__xludf.DUMMYFUNCTION("""COMPUTED_VALUE"""),2006.8)</f>
        <v>2006.8</v>
      </c>
      <c r="F1104" s="3">
        <f>IFERROR(__xludf.DUMMYFUNCTION("""COMPUTED_VALUE"""),0.0)</f>
        <v>0</v>
      </c>
    </row>
    <row r="1105">
      <c r="A1105" s="7">
        <f>IFERROR(__xludf.DUMMYFUNCTION("""COMPUTED_VALUE"""),38336.645833333336)</f>
        <v>38336.64583</v>
      </c>
      <c r="B1105" s="3">
        <f>IFERROR(__xludf.DUMMYFUNCTION("""COMPUTED_VALUE"""),2006.8)</f>
        <v>2006.8</v>
      </c>
      <c r="C1105" s="3">
        <f>IFERROR(__xludf.DUMMYFUNCTION("""COMPUTED_VALUE"""),2034.35)</f>
        <v>2034.35</v>
      </c>
      <c r="D1105" s="3">
        <f>IFERROR(__xludf.DUMMYFUNCTION("""COMPUTED_VALUE"""),2006.8)</f>
        <v>2006.8</v>
      </c>
      <c r="E1105" s="3">
        <f>IFERROR(__xludf.DUMMYFUNCTION("""COMPUTED_VALUE"""),2028.7)</f>
        <v>2028.7</v>
      </c>
      <c r="F1105" s="3">
        <f>IFERROR(__xludf.DUMMYFUNCTION("""COMPUTED_VALUE"""),0.0)</f>
        <v>0</v>
      </c>
    </row>
    <row r="1106">
      <c r="A1106" s="7">
        <f>IFERROR(__xludf.DUMMYFUNCTION("""COMPUTED_VALUE"""),38337.645833333336)</f>
        <v>38337.64583</v>
      </c>
      <c r="B1106" s="3">
        <f>IFERROR(__xludf.DUMMYFUNCTION("""COMPUTED_VALUE"""),2028.8)</f>
        <v>2028.8</v>
      </c>
      <c r="C1106" s="3">
        <f>IFERROR(__xludf.DUMMYFUNCTION("""COMPUTED_VALUE"""),2039.2)</f>
        <v>2039.2</v>
      </c>
      <c r="D1106" s="3">
        <f>IFERROR(__xludf.DUMMYFUNCTION("""COMPUTED_VALUE"""),2019.5)</f>
        <v>2019.5</v>
      </c>
      <c r="E1106" s="3">
        <f>IFERROR(__xludf.DUMMYFUNCTION("""COMPUTED_VALUE"""),2033.2)</f>
        <v>2033.2</v>
      </c>
      <c r="F1106" s="3">
        <f>IFERROR(__xludf.DUMMYFUNCTION("""COMPUTED_VALUE"""),0.0)</f>
        <v>0</v>
      </c>
    </row>
    <row r="1107">
      <c r="A1107" s="7">
        <f>IFERROR(__xludf.DUMMYFUNCTION("""COMPUTED_VALUE"""),38338.645833333336)</f>
        <v>38338.64583</v>
      </c>
      <c r="B1107" s="3">
        <f>IFERROR(__xludf.DUMMYFUNCTION("""COMPUTED_VALUE"""),2032.85)</f>
        <v>2032.85</v>
      </c>
      <c r="C1107" s="3">
        <f>IFERROR(__xludf.DUMMYFUNCTION("""COMPUTED_VALUE"""),2037.7)</f>
        <v>2037.7</v>
      </c>
      <c r="D1107" s="3">
        <f>IFERROR(__xludf.DUMMYFUNCTION("""COMPUTED_VALUE"""),2007.2)</f>
        <v>2007.2</v>
      </c>
      <c r="E1107" s="3">
        <f>IFERROR(__xludf.DUMMYFUNCTION("""COMPUTED_VALUE"""),2012.1)</f>
        <v>2012.1</v>
      </c>
      <c r="F1107" s="3">
        <f>IFERROR(__xludf.DUMMYFUNCTION("""COMPUTED_VALUE"""),0.0)</f>
        <v>0</v>
      </c>
    </row>
    <row r="1108">
      <c r="A1108" s="7">
        <f>IFERROR(__xludf.DUMMYFUNCTION("""COMPUTED_VALUE"""),38341.645833333336)</f>
        <v>38341.64583</v>
      </c>
      <c r="B1108" s="3">
        <f>IFERROR(__xludf.DUMMYFUNCTION("""COMPUTED_VALUE"""),2012.5)</f>
        <v>2012.5</v>
      </c>
      <c r="C1108" s="3">
        <f>IFERROR(__xludf.DUMMYFUNCTION("""COMPUTED_VALUE"""),2029.5)</f>
        <v>2029.5</v>
      </c>
      <c r="D1108" s="3">
        <f>IFERROR(__xludf.DUMMYFUNCTION("""COMPUTED_VALUE"""),2007.15)</f>
        <v>2007.15</v>
      </c>
      <c r="E1108" s="3">
        <f>IFERROR(__xludf.DUMMYFUNCTION("""COMPUTED_VALUE"""),2026.85)</f>
        <v>2026.85</v>
      </c>
      <c r="F1108" s="3">
        <f>IFERROR(__xludf.DUMMYFUNCTION("""COMPUTED_VALUE"""),0.0)</f>
        <v>0</v>
      </c>
    </row>
    <row r="1109">
      <c r="A1109" s="7">
        <f>IFERROR(__xludf.DUMMYFUNCTION("""COMPUTED_VALUE"""),38342.645833333336)</f>
        <v>38342.64583</v>
      </c>
      <c r="B1109" s="3">
        <f>IFERROR(__xludf.DUMMYFUNCTION("""COMPUTED_VALUE"""),2027.8)</f>
        <v>2027.8</v>
      </c>
      <c r="C1109" s="3">
        <f>IFERROR(__xludf.DUMMYFUNCTION("""COMPUTED_VALUE"""),2047.5)</f>
        <v>2047.5</v>
      </c>
      <c r="D1109" s="3">
        <f>IFERROR(__xludf.DUMMYFUNCTION("""COMPUTED_VALUE"""),2025.25)</f>
        <v>2025.25</v>
      </c>
      <c r="E1109" s="3">
        <f>IFERROR(__xludf.DUMMYFUNCTION("""COMPUTED_VALUE"""),2044.65)</f>
        <v>2044.65</v>
      </c>
      <c r="F1109" s="3">
        <f>IFERROR(__xludf.DUMMYFUNCTION("""COMPUTED_VALUE"""),0.0)</f>
        <v>0</v>
      </c>
    </row>
    <row r="1110">
      <c r="A1110" s="7">
        <f>IFERROR(__xludf.DUMMYFUNCTION("""COMPUTED_VALUE"""),38343.645833333336)</f>
        <v>38343.64583</v>
      </c>
      <c r="B1110" s="3">
        <f>IFERROR(__xludf.DUMMYFUNCTION("""COMPUTED_VALUE"""),2040.6)</f>
        <v>2040.6</v>
      </c>
      <c r="C1110" s="3">
        <f>IFERROR(__xludf.DUMMYFUNCTION("""COMPUTED_VALUE"""),2053.9)</f>
        <v>2053.9</v>
      </c>
      <c r="D1110" s="3">
        <f>IFERROR(__xludf.DUMMYFUNCTION("""COMPUTED_VALUE"""),2029.85)</f>
        <v>2029.85</v>
      </c>
      <c r="E1110" s="3">
        <f>IFERROR(__xludf.DUMMYFUNCTION("""COMPUTED_VALUE"""),2035.35)</f>
        <v>2035.35</v>
      </c>
      <c r="F1110" s="3">
        <f>IFERROR(__xludf.DUMMYFUNCTION("""COMPUTED_VALUE"""),0.0)</f>
        <v>0</v>
      </c>
    </row>
    <row r="1111">
      <c r="A1111" s="7">
        <f>IFERROR(__xludf.DUMMYFUNCTION("""COMPUTED_VALUE"""),38344.645833333336)</f>
        <v>38344.64583</v>
      </c>
      <c r="B1111" s="3">
        <f>IFERROR(__xludf.DUMMYFUNCTION("""COMPUTED_VALUE"""),2035.6)</f>
        <v>2035.6</v>
      </c>
      <c r="C1111" s="3">
        <f>IFERROR(__xludf.DUMMYFUNCTION("""COMPUTED_VALUE"""),2049.3)</f>
        <v>2049.3</v>
      </c>
      <c r="D1111" s="3">
        <f>IFERROR(__xludf.DUMMYFUNCTION("""COMPUTED_VALUE"""),2031.9)</f>
        <v>2031.9</v>
      </c>
      <c r="E1111" s="3">
        <f>IFERROR(__xludf.DUMMYFUNCTION("""COMPUTED_VALUE"""),2045.15)</f>
        <v>2045.15</v>
      </c>
      <c r="F1111" s="3">
        <f>IFERROR(__xludf.DUMMYFUNCTION("""COMPUTED_VALUE"""),0.0)</f>
        <v>0</v>
      </c>
    </row>
    <row r="1112">
      <c r="A1112" s="7">
        <f>IFERROR(__xludf.DUMMYFUNCTION("""COMPUTED_VALUE"""),38345.645833333336)</f>
        <v>38345.64583</v>
      </c>
      <c r="B1112" s="3">
        <f>IFERROR(__xludf.DUMMYFUNCTION("""COMPUTED_VALUE"""),2045.35)</f>
        <v>2045.35</v>
      </c>
      <c r="C1112" s="3">
        <f>IFERROR(__xludf.DUMMYFUNCTION("""COMPUTED_VALUE"""),2065.6)</f>
        <v>2065.6</v>
      </c>
      <c r="D1112" s="3">
        <f>IFERROR(__xludf.DUMMYFUNCTION("""COMPUTED_VALUE"""),2045.3)</f>
        <v>2045.3</v>
      </c>
      <c r="E1112" s="3">
        <f>IFERROR(__xludf.DUMMYFUNCTION("""COMPUTED_VALUE"""),2062.7)</f>
        <v>2062.7</v>
      </c>
      <c r="F1112" s="3">
        <f>IFERROR(__xludf.DUMMYFUNCTION("""COMPUTED_VALUE"""),0.0)</f>
        <v>0</v>
      </c>
    </row>
    <row r="1113">
      <c r="A1113" s="7">
        <f>IFERROR(__xludf.DUMMYFUNCTION("""COMPUTED_VALUE"""),38348.645833333336)</f>
        <v>38348.64583</v>
      </c>
      <c r="B1113" s="3">
        <f>IFERROR(__xludf.DUMMYFUNCTION("""COMPUTED_VALUE"""),2061.6)</f>
        <v>2061.6</v>
      </c>
      <c r="C1113" s="3">
        <f>IFERROR(__xludf.DUMMYFUNCTION("""COMPUTED_VALUE"""),2079.05)</f>
        <v>2079.05</v>
      </c>
      <c r="D1113" s="3">
        <f>IFERROR(__xludf.DUMMYFUNCTION("""COMPUTED_VALUE"""),2046.25)</f>
        <v>2046.25</v>
      </c>
      <c r="E1113" s="3">
        <f>IFERROR(__xludf.DUMMYFUNCTION("""COMPUTED_VALUE"""),2062.6)</f>
        <v>2062.6</v>
      </c>
      <c r="F1113" s="3">
        <f>IFERROR(__xludf.DUMMYFUNCTION("""COMPUTED_VALUE"""),0.0)</f>
        <v>0</v>
      </c>
    </row>
    <row r="1114">
      <c r="A1114" s="7">
        <f>IFERROR(__xludf.DUMMYFUNCTION("""COMPUTED_VALUE"""),38349.645833333336)</f>
        <v>38349.64583</v>
      </c>
      <c r="B1114" s="3">
        <f>IFERROR(__xludf.DUMMYFUNCTION("""COMPUTED_VALUE"""),2063.6)</f>
        <v>2063.6</v>
      </c>
      <c r="C1114" s="3">
        <f>IFERROR(__xludf.DUMMYFUNCTION("""COMPUTED_VALUE"""),2074.6)</f>
        <v>2074.6</v>
      </c>
      <c r="D1114" s="3">
        <f>IFERROR(__xludf.DUMMYFUNCTION("""COMPUTED_VALUE"""),2060.05)</f>
        <v>2060.05</v>
      </c>
      <c r="E1114" s="3">
        <f>IFERROR(__xludf.DUMMYFUNCTION("""COMPUTED_VALUE"""),2071.35)</f>
        <v>2071.35</v>
      </c>
      <c r="F1114" s="3">
        <f>IFERROR(__xludf.DUMMYFUNCTION("""COMPUTED_VALUE"""),0.0)</f>
        <v>0</v>
      </c>
    </row>
    <row r="1115">
      <c r="A1115" s="7">
        <f>IFERROR(__xludf.DUMMYFUNCTION("""COMPUTED_VALUE"""),38350.645833333336)</f>
        <v>38350.64583</v>
      </c>
      <c r="B1115" s="3">
        <f>IFERROR(__xludf.DUMMYFUNCTION("""COMPUTED_VALUE"""),2071.55)</f>
        <v>2071.55</v>
      </c>
      <c r="C1115" s="3">
        <f>IFERROR(__xludf.DUMMYFUNCTION("""COMPUTED_VALUE"""),2086.15)</f>
        <v>2086.15</v>
      </c>
      <c r="D1115" s="3">
        <f>IFERROR(__xludf.DUMMYFUNCTION("""COMPUTED_VALUE"""),2062.35)</f>
        <v>2062.35</v>
      </c>
      <c r="E1115" s="3">
        <f>IFERROR(__xludf.DUMMYFUNCTION("""COMPUTED_VALUE"""),2069.6)</f>
        <v>2069.6</v>
      </c>
      <c r="F1115" s="3">
        <f>IFERROR(__xludf.DUMMYFUNCTION("""COMPUTED_VALUE"""),0.0)</f>
        <v>0</v>
      </c>
    </row>
    <row r="1116">
      <c r="A1116" s="7">
        <f>IFERROR(__xludf.DUMMYFUNCTION("""COMPUTED_VALUE"""),38351.645833333336)</f>
        <v>38351.64583</v>
      </c>
      <c r="B1116" s="3">
        <f>IFERROR(__xludf.DUMMYFUNCTION("""COMPUTED_VALUE"""),2070.55)</f>
        <v>2070.55</v>
      </c>
      <c r="C1116" s="3">
        <f>IFERROR(__xludf.DUMMYFUNCTION("""COMPUTED_VALUE"""),2088.45)</f>
        <v>2088.45</v>
      </c>
      <c r="D1116" s="3">
        <f>IFERROR(__xludf.DUMMYFUNCTION("""COMPUTED_VALUE"""),2052.25)</f>
        <v>2052.25</v>
      </c>
      <c r="E1116" s="3">
        <f>IFERROR(__xludf.DUMMYFUNCTION("""COMPUTED_VALUE"""),2059.8)</f>
        <v>2059.8</v>
      </c>
      <c r="F1116" s="3">
        <f>IFERROR(__xludf.DUMMYFUNCTION("""COMPUTED_VALUE"""),0.0)</f>
        <v>0</v>
      </c>
    </row>
    <row r="1117">
      <c r="A1117" s="7">
        <f>IFERROR(__xludf.DUMMYFUNCTION("""COMPUTED_VALUE"""),38352.645833333336)</f>
        <v>38352.64583</v>
      </c>
      <c r="B1117" s="3">
        <f>IFERROR(__xludf.DUMMYFUNCTION("""COMPUTED_VALUE"""),2059.85)</f>
        <v>2059.85</v>
      </c>
      <c r="C1117" s="3">
        <f>IFERROR(__xludf.DUMMYFUNCTION("""COMPUTED_VALUE"""),2083.0)</f>
        <v>2083</v>
      </c>
      <c r="D1117" s="3">
        <f>IFERROR(__xludf.DUMMYFUNCTION("""COMPUTED_VALUE"""),2059.85)</f>
        <v>2059.85</v>
      </c>
      <c r="E1117" s="3">
        <f>IFERROR(__xludf.DUMMYFUNCTION("""COMPUTED_VALUE"""),2080.5)</f>
        <v>2080.5</v>
      </c>
      <c r="F1117" s="3">
        <f>IFERROR(__xludf.DUMMYFUNCTION("""COMPUTED_VALUE"""),0.0)</f>
        <v>0</v>
      </c>
    </row>
    <row r="1118">
      <c r="A1118" s="7">
        <f>IFERROR(__xludf.DUMMYFUNCTION("""COMPUTED_VALUE"""),38355.645833333336)</f>
        <v>38355.64583</v>
      </c>
      <c r="B1118" s="3">
        <f>IFERROR(__xludf.DUMMYFUNCTION("""COMPUTED_VALUE"""),2080.0)</f>
        <v>2080</v>
      </c>
      <c r="C1118" s="3">
        <f>IFERROR(__xludf.DUMMYFUNCTION("""COMPUTED_VALUE"""),2118.6)</f>
        <v>2118.6</v>
      </c>
      <c r="D1118" s="3">
        <f>IFERROR(__xludf.DUMMYFUNCTION("""COMPUTED_VALUE"""),2080.0)</f>
        <v>2080</v>
      </c>
      <c r="E1118" s="3">
        <f>IFERROR(__xludf.DUMMYFUNCTION("""COMPUTED_VALUE"""),2115.0)</f>
        <v>2115</v>
      </c>
      <c r="F1118" s="3">
        <f>IFERROR(__xludf.DUMMYFUNCTION("""COMPUTED_VALUE"""),0.0)</f>
        <v>0</v>
      </c>
    </row>
    <row r="1119">
      <c r="A1119" s="7">
        <f>IFERROR(__xludf.DUMMYFUNCTION("""COMPUTED_VALUE"""),38356.645833333336)</f>
        <v>38356.64583</v>
      </c>
      <c r="B1119" s="3">
        <f>IFERROR(__xludf.DUMMYFUNCTION("""COMPUTED_VALUE"""),2116.95)</f>
        <v>2116.95</v>
      </c>
      <c r="C1119" s="3">
        <f>IFERROR(__xludf.DUMMYFUNCTION("""COMPUTED_VALUE"""),2120.15)</f>
        <v>2120.15</v>
      </c>
      <c r="D1119" s="3">
        <f>IFERROR(__xludf.DUMMYFUNCTION("""COMPUTED_VALUE"""),2100.55)</f>
        <v>2100.55</v>
      </c>
      <c r="E1119" s="3">
        <f>IFERROR(__xludf.DUMMYFUNCTION("""COMPUTED_VALUE"""),2103.75)</f>
        <v>2103.75</v>
      </c>
      <c r="F1119" s="3">
        <f>IFERROR(__xludf.DUMMYFUNCTION("""COMPUTED_VALUE"""),0.0)</f>
        <v>0</v>
      </c>
    </row>
    <row r="1120">
      <c r="A1120" s="7">
        <f>IFERROR(__xludf.DUMMYFUNCTION("""COMPUTED_VALUE"""),38357.645833333336)</f>
        <v>38357.64583</v>
      </c>
      <c r="B1120" s="3">
        <f>IFERROR(__xludf.DUMMYFUNCTION("""COMPUTED_VALUE"""),2103.75)</f>
        <v>2103.75</v>
      </c>
      <c r="C1120" s="3">
        <f>IFERROR(__xludf.DUMMYFUNCTION("""COMPUTED_VALUE"""),2105.1)</f>
        <v>2105.1</v>
      </c>
      <c r="D1120" s="3">
        <f>IFERROR(__xludf.DUMMYFUNCTION("""COMPUTED_VALUE"""),1990.15)</f>
        <v>1990.15</v>
      </c>
      <c r="E1120" s="3">
        <f>IFERROR(__xludf.DUMMYFUNCTION("""COMPUTED_VALUE"""),2032.2)</f>
        <v>2032.2</v>
      </c>
      <c r="F1120" s="3">
        <f>IFERROR(__xludf.DUMMYFUNCTION("""COMPUTED_VALUE"""),0.0)</f>
        <v>0</v>
      </c>
    </row>
    <row r="1121">
      <c r="A1121" s="7">
        <f>IFERROR(__xludf.DUMMYFUNCTION("""COMPUTED_VALUE"""),38358.645833333336)</f>
        <v>38358.64583</v>
      </c>
      <c r="B1121" s="3">
        <f>IFERROR(__xludf.DUMMYFUNCTION("""COMPUTED_VALUE"""),2031.55)</f>
        <v>2031.55</v>
      </c>
      <c r="C1121" s="3">
        <f>IFERROR(__xludf.DUMMYFUNCTION("""COMPUTED_VALUE"""),2035.65)</f>
        <v>2035.65</v>
      </c>
      <c r="D1121" s="3">
        <f>IFERROR(__xludf.DUMMYFUNCTION("""COMPUTED_VALUE"""),1984.25)</f>
        <v>1984.25</v>
      </c>
      <c r="E1121" s="3">
        <f>IFERROR(__xludf.DUMMYFUNCTION("""COMPUTED_VALUE"""),1998.35)</f>
        <v>1998.35</v>
      </c>
      <c r="F1121" s="3">
        <f>IFERROR(__xludf.DUMMYFUNCTION("""COMPUTED_VALUE"""),0.0)</f>
        <v>0</v>
      </c>
    </row>
    <row r="1122">
      <c r="A1122" s="7">
        <f>IFERROR(__xludf.DUMMYFUNCTION("""COMPUTED_VALUE"""),38359.645833333336)</f>
        <v>38359.64583</v>
      </c>
      <c r="B1122" s="3">
        <f>IFERROR(__xludf.DUMMYFUNCTION("""COMPUTED_VALUE"""),1998.25)</f>
        <v>1998.25</v>
      </c>
      <c r="C1122" s="3">
        <f>IFERROR(__xludf.DUMMYFUNCTION("""COMPUTED_VALUE"""),2021.45)</f>
        <v>2021.45</v>
      </c>
      <c r="D1122" s="3">
        <f>IFERROR(__xludf.DUMMYFUNCTION("""COMPUTED_VALUE"""),1992.55)</f>
        <v>1992.55</v>
      </c>
      <c r="E1122" s="3">
        <f>IFERROR(__xludf.DUMMYFUNCTION("""COMPUTED_VALUE"""),2015.5)</f>
        <v>2015.5</v>
      </c>
      <c r="F1122" s="3">
        <f>IFERROR(__xludf.DUMMYFUNCTION("""COMPUTED_VALUE"""),0.0)</f>
        <v>0</v>
      </c>
    </row>
    <row r="1123">
      <c r="A1123" s="7">
        <f>IFERROR(__xludf.DUMMYFUNCTION("""COMPUTED_VALUE"""),38362.645833333336)</f>
        <v>38362.64583</v>
      </c>
      <c r="B1123" s="3">
        <f>IFERROR(__xludf.DUMMYFUNCTION("""COMPUTED_VALUE"""),2016.75)</f>
        <v>2016.75</v>
      </c>
      <c r="C1123" s="3">
        <f>IFERROR(__xludf.DUMMYFUNCTION("""COMPUTED_VALUE"""),2025.9)</f>
        <v>2025.9</v>
      </c>
      <c r="D1123" s="3">
        <f>IFERROR(__xludf.DUMMYFUNCTION("""COMPUTED_VALUE"""),1974.8)</f>
        <v>1974.8</v>
      </c>
      <c r="E1123" s="3">
        <f>IFERROR(__xludf.DUMMYFUNCTION("""COMPUTED_VALUE"""),1982.0)</f>
        <v>1982</v>
      </c>
      <c r="F1123" s="3">
        <f>IFERROR(__xludf.DUMMYFUNCTION("""COMPUTED_VALUE"""),0.0)</f>
        <v>0</v>
      </c>
    </row>
    <row r="1124">
      <c r="A1124" s="7">
        <f>IFERROR(__xludf.DUMMYFUNCTION("""COMPUTED_VALUE"""),38363.645833333336)</f>
        <v>38363.64583</v>
      </c>
      <c r="B1124" s="3">
        <f>IFERROR(__xludf.DUMMYFUNCTION("""COMPUTED_VALUE"""),1982.7)</f>
        <v>1982.7</v>
      </c>
      <c r="C1124" s="3">
        <f>IFERROR(__xludf.DUMMYFUNCTION("""COMPUTED_VALUE"""),1988.9)</f>
        <v>1988.9</v>
      </c>
      <c r="D1124" s="3">
        <f>IFERROR(__xludf.DUMMYFUNCTION("""COMPUTED_VALUE"""),1947.35)</f>
        <v>1947.35</v>
      </c>
      <c r="E1124" s="3">
        <f>IFERROR(__xludf.DUMMYFUNCTION("""COMPUTED_VALUE"""),1952.05)</f>
        <v>1952.05</v>
      </c>
      <c r="F1124" s="3">
        <f>IFERROR(__xludf.DUMMYFUNCTION("""COMPUTED_VALUE"""),0.0)</f>
        <v>0</v>
      </c>
    </row>
    <row r="1125">
      <c r="A1125" s="7">
        <f>IFERROR(__xludf.DUMMYFUNCTION("""COMPUTED_VALUE"""),38364.645833333336)</f>
        <v>38364.64583</v>
      </c>
      <c r="B1125" s="3">
        <f>IFERROR(__xludf.DUMMYFUNCTION("""COMPUTED_VALUE"""),1953.6)</f>
        <v>1953.6</v>
      </c>
      <c r="C1125" s="3">
        <f>IFERROR(__xludf.DUMMYFUNCTION("""COMPUTED_VALUE"""),1966.65)</f>
        <v>1966.65</v>
      </c>
      <c r="D1125" s="3">
        <f>IFERROR(__xludf.DUMMYFUNCTION("""COMPUTED_VALUE"""),1900.85)</f>
        <v>1900.85</v>
      </c>
      <c r="E1125" s="3">
        <f>IFERROR(__xludf.DUMMYFUNCTION("""COMPUTED_VALUE"""),1913.6)</f>
        <v>1913.6</v>
      </c>
      <c r="F1125" s="3">
        <f>IFERROR(__xludf.DUMMYFUNCTION("""COMPUTED_VALUE"""),0.0)</f>
        <v>0</v>
      </c>
    </row>
    <row r="1126">
      <c r="A1126" s="7">
        <f>IFERROR(__xludf.DUMMYFUNCTION("""COMPUTED_VALUE"""),38365.645833333336)</f>
        <v>38365.64583</v>
      </c>
      <c r="B1126" s="3">
        <f>IFERROR(__xludf.DUMMYFUNCTION("""COMPUTED_VALUE"""),1922.5)</f>
        <v>1922.5</v>
      </c>
      <c r="C1126" s="3">
        <f>IFERROR(__xludf.DUMMYFUNCTION("""COMPUTED_VALUE"""),1963.4)</f>
        <v>1963.4</v>
      </c>
      <c r="D1126" s="3">
        <f>IFERROR(__xludf.DUMMYFUNCTION("""COMPUTED_VALUE"""),1916.95)</f>
        <v>1916.95</v>
      </c>
      <c r="E1126" s="3">
        <f>IFERROR(__xludf.DUMMYFUNCTION("""COMPUTED_VALUE"""),1954.55)</f>
        <v>1954.55</v>
      </c>
      <c r="F1126" s="3">
        <f>IFERROR(__xludf.DUMMYFUNCTION("""COMPUTED_VALUE"""),0.0)</f>
        <v>0</v>
      </c>
    </row>
    <row r="1127">
      <c r="A1127" s="7">
        <f>IFERROR(__xludf.DUMMYFUNCTION("""COMPUTED_VALUE"""),38366.645833333336)</f>
        <v>38366.64583</v>
      </c>
      <c r="B1127" s="3">
        <f>IFERROR(__xludf.DUMMYFUNCTION("""COMPUTED_VALUE"""),1954.9)</f>
        <v>1954.9</v>
      </c>
      <c r="C1127" s="3">
        <f>IFERROR(__xludf.DUMMYFUNCTION("""COMPUTED_VALUE"""),1961.4)</f>
        <v>1961.4</v>
      </c>
      <c r="D1127" s="3">
        <f>IFERROR(__xludf.DUMMYFUNCTION("""COMPUTED_VALUE"""),1922.85)</f>
        <v>1922.85</v>
      </c>
      <c r="E1127" s="3">
        <f>IFERROR(__xludf.DUMMYFUNCTION("""COMPUTED_VALUE"""),1931.1)</f>
        <v>1931.1</v>
      </c>
      <c r="F1127" s="3">
        <f>IFERROR(__xludf.DUMMYFUNCTION("""COMPUTED_VALUE"""),0.0)</f>
        <v>0</v>
      </c>
    </row>
    <row r="1128">
      <c r="A1128" s="7">
        <f>IFERROR(__xludf.DUMMYFUNCTION("""COMPUTED_VALUE"""),38369.645833333336)</f>
        <v>38369.64583</v>
      </c>
      <c r="B1128" s="3">
        <f>IFERROR(__xludf.DUMMYFUNCTION("""COMPUTED_VALUE"""),1931.75)</f>
        <v>1931.75</v>
      </c>
      <c r="C1128" s="3">
        <f>IFERROR(__xludf.DUMMYFUNCTION("""COMPUTED_VALUE"""),1944.55)</f>
        <v>1944.55</v>
      </c>
      <c r="D1128" s="3">
        <f>IFERROR(__xludf.DUMMYFUNCTION("""COMPUTED_VALUE"""),1902.45)</f>
        <v>1902.45</v>
      </c>
      <c r="E1128" s="3">
        <f>IFERROR(__xludf.DUMMYFUNCTION("""COMPUTED_VALUE"""),1932.9)</f>
        <v>1932.9</v>
      </c>
      <c r="F1128" s="3">
        <f>IFERROR(__xludf.DUMMYFUNCTION("""COMPUTED_VALUE"""),0.0)</f>
        <v>0</v>
      </c>
    </row>
    <row r="1129">
      <c r="A1129" s="7">
        <f>IFERROR(__xludf.DUMMYFUNCTION("""COMPUTED_VALUE"""),38370.645833333336)</f>
        <v>38370.64583</v>
      </c>
      <c r="B1129" s="3">
        <f>IFERROR(__xludf.DUMMYFUNCTION("""COMPUTED_VALUE"""),1933.05)</f>
        <v>1933.05</v>
      </c>
      <c r="C1129" s="3">
        <f>IFERROR(__xludf.DUMMYFUNCTION("""COMPUTED_VALUE"""),1956.95)</f>
        <v>1956.95</v>
      </c>
      <c r="D1129" s="3">
        <f>IFERROR(__xludf.DUMMYFUNCTION("""COMPUTED_VALUE"""),1925.35)</f>
        <v>1925.35</v>
      </c>
      <c r="E1129" s="3">
        <f>IFERROR(__xludf.DUMMYFUNCTION("""COMPUTED_VALUE"""),1934.05)</f>
        <v>1934.05</v>
      </c>
      <c r="F1129" s="3">
        <f>IFERROR(__xludf.DUMMYFUNCTION("""COMPUTED_VALUE"""),0.0)</f>
        <v>0</v>
      </c>
    </row>
    <row r="1130">
      <c r="A1130" s="7">
        <f>IFERROR(__xludf.DUMMYFUNCTION("""COMPUTED_VALUE"""),38371.645833333336)</f>
        <v>38371.64583</v>
      </c>
      <c r="B1130" s="3">
        <f>IFERROR(__xludf.DUMMYFUNCTION("""COMPUTED_VALUE"""),1934.1)</f>
        <v>1934.1</v>
      </c>
      <c r="C1130" s="3">
        <f>IFERROR(__xludf.DUMMYFUNCTION("""COMPUTED_VALUE"""),1945.65)</f>
        <v>1945.65</v>
      </c>
      <c r="D1130" s="3">
        <f>IFERROR(__xludf.DUMMYFUNCTION("""COMPUTED_VALUE"""),1922.35)</f>
        <v>1922.35</v>
      </c>
      <c r="E1130" s="3">
        <f>IFERROR(__xludf.DUMMYFUNCTION("""COMPUTED_VALUE"""),1926.65)</f>
        <v>1926.65</v>
      </c>
      <c r="F1130" s="3">
        <f>IFERROR(__xludf.DUMMYFUNCTION("""COMPUTED_VALUE"""),0.0)</f>
        <v>0</v>
      </c>
    </row>
    <row r="1131">
      <c r="A1131" s="7">
        <f>IFERROR(__xludf.DUMMYFUNCTION("""COMPUTED_VALUE"""),38372.645833333336)</f>
        <v>38372.64583</v>
      </c>
      <c r="B1131" s="3">
        <f>IFERROR(__xludf.DUMMYFUNCTION("""COMPUTED_VALUE"""),1928.1)</f>
        <v>1928.1</v>
      </c>
      <c r="C1131" s="3">
        <f>IFERROR(__xludf.DUMMYFUNCTION("""COMPUTED_VALUE"""),1940.95)</f>
        <v>1940.95</v>
      </c>
      <c r="D1131" s="3">
        <f>IFERROR(__xludf.DUMMYFUNCTION("""COMPUTED_VALUE"""),1900.05)</f>
        <v>1900.05</v>
      </c>
      <c r="E1131" s="3">
        <f>IFERROR(__xludf.DUMMYFUNCTION("""COMPUTED_VALUE"""),1925.3)</f>
        <v>1925.3</v>
      </c>
      <c r="F1131" s="3">
        <f>IFERROR(__xludf.DUMMYFUNCTION("""COMPUTED_VALUE"""),0.0)</f>
        <v>0</v>
      </c>
    </row>
    <row r="1132">
      <c r="A1132" s="7">
        <f>IFERROR(__xludf.DUMMYFUNCTION("""COMPUTED_VALUE"""),38376.645833333336)</f>
        <v>38376.64583</v>
      </c>
      <c r="B1132" s="3">
        <f>IFERROR(__xludf.DUMMYFUNCTION("""COMPUTED_VALUE"""),1925.3)</f>
        <v>1925.3</v>
      </c>
      <c r="C1132" s="3">
        <f>IFERROR(__xludf.DUMMYFUNCTION("""COMPUTED_VALUE"""),1932.75)</f>
        <v>1932.75</v>
      </c>
      <c r="D1132" s="3">
        <f>IFERROR(__xludf.DUMMYFUNCTION("""COMPUTED_VALUE"""),1902.9)</f>
        <v>1902.9</v>
      </c>
      <c r="E1132" s="3">
        <f>IFERROR(__xludf.DUMMYFUNCTION("""COMPUTED_VALUE"""),1909.0)</f>
        <v>1909</v>
      </c>
      <c r="F1132" s="3">
        <f>IFERROR(__xludf.DUMMYFUNCTION("""COMPUTED_VALUE"""),0.0)</f>
        <v>0</v>
      </c>
    </row>
    <row r="1133">
      <c r="A1133" s="7">
        <f>IFERROR(__xludf.DUMMYFUNCTION("""COMPUTED_VALUE"""),38377.645833333336)</f>
        <v>38377.64583</v>
      </c>
      <c r="B1133" s="3">
        <f>IFERROR(__xludf.DUMMYFUNCTION("""COMPUTED_VALUE"""),1908.85)</f>
        <v>1908.85</v>
      </c>
      <c r="C1133" s="3">
        <f>IFERROR(__xludf.DUMMYFUNCTION("""COMPUTED_VALUE"""),1934.25)</f>
        <v>1934.25</v>
      </c>
      <c r="D1133" s="3">
        <f>IFERROR(__xludf.DUMMYFUNCTION("""COMPUTED_VALUE"""),1894.4)</f>
        <v>1894.4</v>
      </c>
      <c r="E1133" s="3">
        <f>IFERROR(__xludf.DUMMYFUNCTION("""COMPUTED_VALUE"""),1931.85)</f>
        <v>1931.85</v>
      </c>
      <c r="F1133" s="3">
        <f>IFERROR(__xludf.DUMMYFUNCTION("""COMPUTED_VALUE"""),0.0)</f>
        <v>0</v>
      </c>
    </row>
    <row r="1134">
      <c r="A1134" s="7">
        <f>IFERROR(__xludf.DUMMYFUNCTION("""COMPUTED_VALUE"""),38379.645833333336)</f>
        <v>38379.64583</v>
      </c>
      <c r="B1134" s="3">
        <f>IFERROR(__xludf.DUMMYFUNCTION("""COMPUTED_VALUE"""),1931.9)</f>
        <v>1931.9</v>
      </c>
      <c r="C1134" s="3">
        <f>IFERROR(__xludf.DUMMYFUNCTION("""COMPUTED_VALUE"""),1961.75)</f>
        <v>1961.75</v>
      </c>
      <c r="D1134" s="3">
        <f>IFERROR(__xludf.DUMMYFUNCTION("""COMPUTED_VALUE"""),1929.0)</f>
        <v>1929</v>
      </c>
      <c r="E1134" s="3">
        <f>IFERROR(__xludf.DUMMYFUNCTION("""COMPUTED_VALUE"""),1955.0)</f>
        <v>1955</v>
      </c>
      <c r="F1134" s="3">
        <f>IFERROR(__xludf.DUMMYFUNCTION("""COMPUTED_VALUE"""),0.0)</f>
        <v>0</v>
      </c>
    </row>
    <row r="1135">
      <c r="A1135" s="7">
        <f>IFERROR(__xludf.DUMMYFUNCTION("""COMPUTED_VALUE"""),38380.645833333336)</f>
        <v>38380.64583</v>
      </c>
      <c r="B1135" s="3">
        <f>IFERROR(__xludf.DUMMYFUNCTION("""COMPUTED_VALUE"""),1955.25)</f>
        <v>1955.25</v>
      </c>
      <c r="C1135" s="3">
        <f>IFERROR(__xludf.DUMMYFUNCTION("""COMPUTED_VALUE"""),2014.25)</f>
        <v>2014.25</v>
      </c>
      <c r="D1135" s="3">
        <f>IFERROR(__xludf.DUMMYFUNCTION("""COMPUTED_VALUE"""),1950.85)</f>
        <v>1950.85</v>
      </c>
      <c r="E1135" s="3">
        <f>IFERROR(__xludf.DUMMYFUNCTION("""COMPUTED_VALUE"""),2008.3)</f>
        <v>2008.3</v>
      </c>
      <c r="F1135" s="3">
        <f>IFERROR(__xludf.DUMMYFUNCTION("""COMPUTED_VALUE"""),0.0)</f>
        <v>0</v>
      </c>
    </row>
    <row r="1136">
      <c r="A1136" s="7">
        <f>IFERROR(__xludf.DUMMYFUNCTION("""COMPUTED_VALUE"""),38383.645833333336)</f>
        <v>38383.64583</v>
      </c>
      <c r="B1136" s="3">
        <f>IFERROR(__xludf.DUMMYFUNCTION("""COMPUTED_VALUE"""),2008.45)</f>
        <v>2008.45</v>
      </c>
      <c r="C1136" s="3">
        <f>IFERROR(__xludf.DUMMYFUNCTION("""COMPUTED_VALUE"""),2060.4)</f>
        <v>2060.4</v>
      </c>
      <c r="D1136" s="3">
        <f>IFERROR(__xludf.DUMMYFUNCTION("""COMPUTED_VALUE"""),2006.35)</f>
        <v>2006.35</v>
      </c>
      <c r="E1136" s="3">
        <f>IFERROR(__xludf.DUMMYFUNCTION("""COMPUTED_VALUE"""),2057.6)</f>
        <v>2057.6</v>
      </c>
      <c r="F1136" s="3">
        <f>IFERROR(__xludf.DUMMYFUNCTION("""COMPUTED_VALUE"""),0.0)</f>
        <v>0</v>
      </c>
    </row>
    <row r="1137">
      <c r="A1137" s="7">
        <f>IFERROR(__xludf.DUMMYFUNCTION("""COMPUTED_VALUE"""),38384.645833333336)</f>
        <v>38384.64583</v>
      </c>
      <c r="B1137" s="3">
        <f>IFERROR(__xludf.DUMMYFUNCTION("""COMPUTED_VALUE"""),2057.75)</f>
        <v>2057.75</v>
      </c>
      <c r="C1137" s="3">
        <f>IFERROR(__xludf.DUMMYFUNCTION("""COMPUTED_VALUE"""),2072.5)</f>
        <v>2072.5</v>
      </c>
      <c r="D1137" s="3">
        <f>IFERROR(__xludf.DUMMYFUNCTION("""COMPUTED_VALUE"""),2045.25)</f>
        <v>2045.25</v>
      </c>
      <c r="E1137" s="3">
        <f>IFERROR(__xludf.DUMMYFUNCTION("""COMPUTED_VALUE"""),2059.85)</f>
        <v>2059.85</v>
      </c>
      <c r="F1137" s="3">
        <f>IFERROR(__xludf.DUMMYFUNCTION("""COMPUTED_VALUE"""),0.0)</f>
        <v>0</v>
      </c>
    </row>
    <row r="1138">
      <c r="A1138" s="7">
        <f>IFERROR(__xludf.DUMMYFUNCTION("""COMPUTED_VALUE"""),38385.645833333336)</f>
        <v>38385.64583</v>
      </c>
      <c r="B1138" s="3">
        <f>IFERROR(__xludf.DUMMYFUNCTION("""COMPUTED_VALUE"""),2062.15)</f>
        <v>2062.15</v>
      </c>
      <c r="C1138" s="3">
        <f>IFERROR(__xludf.DUMMYFUNCTION("""COMPUTED_VALUE"""),2074.5)</f>
        <v>2074.5</v>
      </c>
      <c r="D1138" s="3">
        <f>IFERROR(__xludf.DUMMYFUNCTION("""COMPUTED_VALUE"""),2045.5)</f>
        <v>2045.5</v>
      </c>
      <c r="E1138" s="3">
        <f>IFERROR(__xludf.DUMMYFUNCTION("""COMPUTED_VALUE"""),2052.25)</f>
        <v>2052.25</v>
      </c>
      <c r="F1138" s="3">
        <f>IFERROR(__xludf.DUMMYFUNCTION("""COMPUTED_VALUE"""),0.0)</f>
        <v>0</v>
      </c>
    </row>
    <row r="1139">
      <c r="A1139" s="7">
        <f>IFERROR(__xludf.DUMMYFUNCTION("""COMPUTED_VALUE"""),38386.645833333336)</f>
        <v>38386.64583</v>
      </c>
      <c r="B1139" s="3">
        <f>IFERROR(__xludf.DUMMYFUNCTION("""COMPUTED_VALUE"""),2052.35)</f>
        <v>2052.35</v>
      </c>
      <c r="C1139" s="3">
        <f>IFERROR(__xludf.DUMMYFUNCTION("""COMPUTED_VALUE"""),2083.75)</f>
        <v>2083.75</v>
      </c>
      <c r="D1139" s="3">
        <f>IFERROR(__xludf.DUMMYFUNCTION("""COMPUTED_VALUE"""),2052.35)</f>
        <v>2052.35</v>
      </c>
      <c r="E1139" s="3">
        <f>IFERROR(__xludf.DUMMYFUNCTION("""COMPUTED_VALUE"""),2079.45)</f>
        <v>2079.45</v>
      </c>
      <c r="F1139" s="3">
        <f>IFERROR(__xludf.DUMMYFUNCTION("""COMPUTED_VALUE"""),0.0)</f>
        <v>0</v>
      </c>
    </row>
    <row r="1140">
      <c r="A1140" s="7">
        <f>IFERROR(__xludf.DUMMYFUNCTION("""COMPUTED_VALUE"""),38387.645833333336)</f>
        <v>38387.64583</v>
      </c>
      <c r="B1140" s="3">
        <f>IFERROR(__xludf.DUMMYFUNCTION("""COMPUTED_VALUE"""),2079.4)</f>
        <v>2079.4</v>
      </c>
      <c r="C1140" s="3">
        <f>IFERROR(__xludf.DUMMYFUNCTION("""COMPUTED_VALUE"""),2099.2)</f>
        <v>2099.2</v>
      </c>
      <c r="D1140" s="3">
        <f>IFERROR(__xludf.DUMMYFUNCTION("""COMPUTED_VALUE"""),2060.8)</f>
        <v>2060.8</v>
      </c>
      <c r="E1140" s="3">
        <f>IFERROR(__xludf.DUMMYFUNCTION("""COMPUTED_VALUE"""),2077.95)</f>
        <v>2077.95</v>
      </c>
      <c r="F1140" s="3">
        <f>IFERROR(__xludf.DUMMYFUNCTION("""COMPUTED_VALUE"""),0.0)</f>
        <v>0</v>
      </c>
    </row>
    <row r="1141">
      <c r="A1141" s="7">
        <f>IFERROR(__xludf.DUMMYFUNCTION("""COMPUTED_VALUE"""),38390.645833333336)</f>
        <v>38390.64583</v>
      </c>
      <c r="B1141" s="3">
        <f>IFERROR(__xludf.DUMMYFUNCTION("""COMPUTED_VALUE"""),2097.45)</f>
        <v>2097.45</v>
      </c>
      <c r="C1141" s="3">
        <f>IFERROR(__xludf.DUMMYFUNCTION("""COMPUTED_VALUE"""),2098.0)</f>
        <v>2098</v>
      </c>
      <c r="D1141" s="3">
        <f>IFERROR(__xludf.DUMMYFUNCTION("""COMPUTED_VALUE"""),2049.85)</f>
        <v>2049.85</v>
      </c>
      <c r="E1141" s="3">
        <f>IFERROR(__xludf.DUMMYFUNCTION("""COMPUTED_VALUE"""),2055.1)</f>
        <v>2055.1</v>
      </c>
      <c r="F1141" s="3">
        <f>IFERROR(__xludf.DUMMYFUNCTION("""COMPUTED_VALUE"""),0.0)</f>
        <v>0</v>
      </c>
    </row>
    <row r="1142">
      <c r="A1142" s="7">
        <f>IFERROR(__xludf.DUMMYFUNCTION("""COMPUTED_VALUE"""),38391.645833333336)</f>
        <v>38391.64583</v>
      </c>
      <c r="B1142" s="3">
        <f>IFERROR(__xludf.DUMMYFUNCTION("""COMPUTED_VALUE"""),2055.0)</f>
        <v>2055</v>
      </c>
      <c r="C1142" s="3">
        <f>IFERROR(__xludf.DUMMYFUNCTION("""COMPUTED_VALUE"""),2065.0)</f>
        <v>2065</v>
      </c>
      <c r="D1142" s="3">
        <f>IFERROR(__xludf.DUMMYFUNCTION("""COMPUTED_VALUE"""),2043.6)</f>
        <v>2043.6</v>
      </c>
      <c r="E1142" s="3">
        <f>IFERROR(__xludf.DUMMYFUNCTION("""COMPUTED_VALUE"""),2055.15)</f>
        <v>2055.15</v>
      </c>
      <c r="F1142" s="3">
        <f>IFERROR(__xludf.DUMMYFUNCTION("""COMPUTED_VALUE"""),0.0)</f>
        <v>0</v>
      </c>
    </row>
    <row r="1143">
      <c r="A1143" s="7">
        <f>IFERROR(__xludf.DUMMYFUNCTION("""COMPUTED_VALUE"""),38392.645833333336)</f>
        <v>38392.64583</v>
      </c>
      <c r="B1143" s="3">
        <f>IFERROR(__xludf.DUMMYFUNCTION("""COMPUTED_VALUE"""),2055.2)</f>
        <v>2055.2</v>
      </c>
      <c r="C1143" s="3">
        <f>IFERROR(__xludf.DUMMYFUNCTION("""COMPUTED_VALUE"""),2077.7)</f>
        <v>2077.7</v>
      </c>
      <c r="D1143" s="3">
        <f>IFERROR(__xludf.DUMMYFUNCTION("""COMPUTED_VALUE"""),2055.2)</f>
        <v>2055.2</v>
      </c>
      <c r="E1143" s="3">
        <f>IFERROR(__xludf.DUMMYFUNCTION("""COMPUTED_VALUE"""),2070.0)</f>
        <v>2070</v>
      </c>
      <c r="F1143" s="3">
        <f>IFERROR(__xludf.DUMMYFUNCTION("""COMPUTED_VALUE"""),0.0)</f>
        <v>0</v>
      </c>
    </row>
    <row r="1144">
      <c r="A1144" s="7">
        <f>IFERROR(__xludf.DUMMYFUNCTION("""COMPUTED_VALUE"""),38393.645833333336)</f>
        <v>38393.64583</v>
      </c>
      <c r="B1144" s="3">
        <f>IFERROR(__xludf.DUMMYFUNCTION("""COMPUTED_VALUE"""),2070.1)</f>
        <v>2070.1</v>
      </c>
      <c r="C1144" s="3">
        <f>IFERROR(__xludf.DUMMYFUNCTION("""COMPUTED_VALUE"""),2075.1)</f>
        <v>2075.1</v>
      </c>
      <c r="D1144" s="3">
        <f>IFERROR(__xludf.DUMMYFUNCTION("""COMPUTED_VALUE"""),2049.85)</f>
        <v>2049.85</v>
      </c>
      <c r="E1144" s="3">
        <f>IFERROR(__xludf.DUMMYFUNCTION("""COMPUTED_VALUE"""),2063.35)</f>
        <v>2063.35</v>
      </c>
      <c r="F1144" s="3">
        <f>IFERROR(__xludf.DUMMYFUNCTION("""COMPUTED_VALUE"""),0.0)</f>
        <v>0</v>
      </c>
    </row>
    <row r="1145">
      <c r="A1145" s="7">
        <f>IFERROR(__xludf.DUMMYFUNCTION("""COMPUTED_VALUE"""),38394.645833333336)</f>
        <v>38394.64583</v>
      </c>
      <c r="B1145" s="3">
        <f>IFERROR(__xludf.DUMMYFUNCTION("""COMPUTED_VALUE"""),2063.35)</f>
        <v>2063.35</v>
      </c>
      <c r="C1145" s="3">
        <f>IFERROR(__xludf.DUMMYFUNCTION("""COMPUTED_VALUE"""),2084.5)</f>
        <v>2084.5</v>
      </c>
      <c r="D1145" s="3">
        <f>IFERROR(__xludf.DUMMYFUNCTION("""COMPUTED_VALUE"""),2063.35)</f>
        <v>2063.35</v>
      </c>
      <c r="E1145" s="3">
        <f>IFERROR(__xludf.DUMMYFUNCTION("""COMPUTED_VALUE"""),2082.05)</f>
        <v>2082.05</v>
      </c>
      <c r="F1145" s="3">
        <f>IFERROR(__xludf.DUMMYFUNCTION("""COMPUTED_VALUE"""),0.0)</f>
        <v>0</v>
      </c>
    </row>
    <row r="1146">
      <c r="A1146" s="7">
        <f>IFERROR(__xludf.DUMMYFUNCTION("""COMPUTED_VALUE"""),38397.645833333336)</f>
        <v>38397.64583</v>
      </c>
      <c r="B1146" s="3">
        <f>IFERROR(__xludf.DUMMYFUNCTION("""COMPUTED_VALUE"""),2083.05)</f>
        <v>2083.05</v>
      </c>
      <c r="C1146" s="3">
        <f>IFERROR(__xludf.DUMMYFUNCTION("""COMPUTED_VALUE"""),2110.15)</f>
        <v>2110.15</v>
      </c>
      <c r="D1146" s="3">
        <f>IFERROR(__xludf.DUMMYFUNCTION("""COMPUTED_VALUE"""),2083.05)</f>
        <v>2083.05</v>
      </c>
      <c r="E1146" s="3">
        <f>IFERROR(__xludf.DUMMYFUNCTION("""COMPUTED_VALUE"""),2098.25)</f>
        <v>2098.25</v>
      </c>
      <c r="F1146" s="3">
        <f>IFERROR(__xludf.DUMMYFUNCTION("""COMPUTED_VALUE"""),0.0)</f>
        <v>0</v>
      </c>
    </row>
    <row r="1147">
      <c r="A1147" s="7">
        <f>IFERROR(__xludf.DUMMYFUNCTION("""COMPUTED_VALUE"""),38398.645833333336)</f>
        <v>38398.64583</v>
      </c>
      <c r="B1147" s="3">
        <f>IFERROR(__xludf.DUMMYFUNCTION("""COMPUTED_VALUE"""),2098.25)</f>
        <v>2098.25</v>
      </c>
      <c r="C1147" s="3">
        <f>IFERROR(__xludf.DUMMYFUNCTION("""COMPUTED_VALUE"""),2101.6)</f>
        <v>2101.6</v>
      </c>
      <c r="D1147" s="3">
        <f>IFERROR(__xludf.DUMMYFUNCTION("""COMPUTED_VALUE"""),2081.2)</f>
        <v>2081.2</v>
      </c>
      <c r="E1147" s="3">
        <f>IFERROR(__xludf.DUMMYFUNCTION("""COMPUTED_VALUE"""),2089.95)</f>
        <v>2089.95</v>
      </c>
      <c r="F1147" s="3">
        <f>IFERROR(__xludf.DUMMYFUNCTION("""COMPUTED_VALUE"""),0.0)</f>
        <v>0</v>
      </c>
    </row>
    <row r="1148">
      <c r="A1148" s="7">
        <f>IFERROR(__xludf.DUMMYFUNCTION("""COMPUTED_VALUE"""),38399.645833333336)</f>
        <v>38399.64583</v>
      </c>
      <c r="B1148" s="3">
        <f>IFERROR(__xludf.DUMMYFUNCTION("""COMPUTED_VALUE"""),2090.0)</f>
        <v>2090</v>
      </c>
      <c r="C1148" s="3">
        <f>IFERROR(__xludf.DUMMYFUNCTION("""COMPUTED_VALUE"""),2103.4)</f>
        <v>2103.4</v>
      </c>
      <c r="D1148" s="3">
        <f>IFERROR(__xludf.DUMMYFUNCTION("""COMPUTED_VALUE"""),2059.45)</f>
        <v>2059.45</v>
      </c>
      <c r="E1148" s="3">
        <f>IFERROR(__xludf.DUMMYFUNCTION("""COMPUTED_VALUE"""),2068.8)</f>
        <v>2068.8</v>
      </c>
      <c r="F1148" s="3">
        <f>IFERROR(__xludf.DUMMYFUNCTION("""COMPUTED_VALUE"""),0.0)</f>
        <v>0</v>
      </c>
    </row>
    <row r="1149">
      <c r="A1149" s="7">
        <f>IFERROR(__xludf.DUMMYFUNCTION("""COMPUTED_VALUE"""),38400.645833333336)</f>
        <v>38400.64583</v>
      </c>
      <c r="B1149" s="3">
        <f>IFERROR(__xludf.DUMMYFUNCTION("""COMPUTED_VALUE"""),2069.1)</f>
        <v>2069.1</v>
      </c>
      <c r="C1149" s="3">
        <f>IFERROR(__xludf.DUMMYFUNCTION("""COMPUTED_VALUE"""),2069.15)</f>
        <v>2069.15</v>
      </c>
      <c r="D1149" s="3">
        <f>IFERROR(__xludf.DUMMYFUNCTION("""COMPUTED_VALUE"""),2045.85)</f>
        <v>2045.85</v>
      </c>
      <c r="E1149" s="3">
        <f>IFERROR(__xludf.DUMMYFUNCTION("""COMPUTED_VALUE"""),2061.9)</f>
        <v>2061.9</v>
      </c>
      <c r="F1149" s="3">
        <f>IFERROR(__xludf.DUMMYFUNCTION("""COMPUTED_VALUE"""),0.0)</f>
        <v>0</v>
      </c>
    </row>
    <row r="1150">
      <c r="A1150" s="7">
        <f>IFERROR(__xludf.DUMMYFUNCTION("""COMPUTED_VALUE"""),38401.645833333336)</f>
        <v>38401.64583</v>
      </c>
      <c r="B1150" s="3">
        <f>IFERROR(__xludf.DUMMYFUNCTION("""COMPUTED_VALUE"""),2062.45)</f>
        <v>2062.45</v>
      </c>
      <c r="C1150" s="3">
        <f>IFERROR(__xludf.DUMMYFUNCTION("""COMPUTED_VALUE"""),2076.7)</f>
        <v>2076.7</v>
      </c>
      <c r="D1150" s="3">
        <f>IFERROR(__xludf.DUMMYFUNCTION("""COMPUTED_VALUE"""),2048.85)</f>
        <v>2048.85</v>
      </c>
      <c r="E1150" s="3">
        <f>IFERROR(__xludf.DUMMYFUNCTION("""COMPUTED_VALUE"""),2055.55)</f>
        <v>2055.55</v>
      </c>
      <c r="F1150" s="3">
        <f>IFERROR(__xludf.DUMMYFUNCTION("""COMPUTED_VALUE"""),0.0)</f>
        <v>0</v>
      </c>
    </row>
    <row r="1151">
      <c r="A1151" s="7">
        <f>IFERROR(__xludf.DUMMYFUNCTION("""COMPUTED_VALUE"""),38404.645833333336)</f>
        <v>38404.64583</v>
      </c>
      <c r="B1151" s="3">
        <f>IFERROR(__xludf.DUMMYFUNCTION("""COMPUTED_VALUE"""),2055.15)</f>
        <v>2055.15</v>
      </c>
      <c r="C1151" s="3">
        <f>IFERROR(__xludf.DUMMYFUNCTION("""COMPUTED_VALUE"""),2065.75)</f>
        <v>2065.75</v>
      </c>
      <c r="D1151" s="3">
        <f>IFERROR(__xludf.DUMMYFUNCTION("""COMPUTED_VALUE"""),2039.9)</f>
        <v>2039.9</v>
      </c>
      <c r="E1151" s="3">
        <f>IFERROR(__xludf.DUMMYFUNCTION("""COMPUTED_VALUE"""),2043.2)</f>
        <v>2043.2</v>
      </c>
      <c r="F1151" s="3">
        <f>IFERROR(__xludf.DUMMYFUNCTION("""COMPUTED_VALUE"""),0.0)</f>
        <v>0</v>
      </c>
    </row>
    <row r="1152">
      <c r="A1152" s="7">
        <f>IFERROR(__xludf.DUMMYFUNCTION("""COMPUTED_VALUE"""),38405.645833333336)</f>
        <v>38405.64583</v>
      </c>
      <c r="B1152" s="3">
        <f>IFERROR(__xludf.DUMMYFUNCTION("""COMPUTED_VALUE"""),2043.4)</f>
        <v>2043.4</v>
      </c>
      <c r="C1152" s="3">
        <f>IFERROR(__xludf.DUMMYFUNCTION("""COMPUTED_VALUE"""),2061.65)</f>
        <v>2061.65</v>
      </c>
      <c r="D1152" s="3">
        <f>IFERROR(__xludf.DUMMYFUNCTION("""COMPUTED_VALUE"""),2036.6)</f>
        <v>2036.6</v>
      </c>
      <c r="E1152" s="3">
        <f>IFERROR(__xludf.DUMMYFUNCTION("""COMPUTED_VALUE"""),2058.4)</f>
        <v>2058.4</v>
      </c>
      <c r="F1152" s="3">
        <f>IFERROR(__xludf.DUMMYFUNCTION("""COMPUTED_VALUE"""),0.0)</f>
        <v>0</v>
      </c>
    </row>
    <row r="1153">
      <c r="A1153" s="7">
        <f>IFERROR(__xludf.DUMMYFUNCTION("""COMPUTED_VALUE"""),38406.645833333336)</f>
        <v>38406.64583</v>
      </c>
      <c r="B1153" s="3">
        <f>IFERROR(__xludf.DUMMYFUNCTION("""COMPUTED_VALUE"""),2058.7)</f>
        <v>2058.7</v>
      </c>
      <c r="C1153" s="3">
        <f>IFERROR(__xludf.DUMMYFUNCTION("""COMPUTED_VALUE"""),2065.15)</f>
        <v>2065.15</v>
      </c>
      <c r="D1153" s="3">
        <f>IFERROR(__xludf.DUMMYFUNCTION("""COMPUTED_VALUE"""),2051.35)</f>
        <v>2051.35</v>
      </c>
      <c r="E1153" s="3">
        <f>IFERROR(__xludf.DUMMYFUNCTION("""COMPUTED_VALUE"""),2057.1)</f>
        <v>2057.1</v>
      </c>
      <c r="F1153" s="3">
        <f>IFERROR(__xludf.DUMMYFUNCTION("""COMPUTED_VALUE"""),0.0)</f>
        <v>0</v>
      </c>
    </row>
    <row r="1154">
      <c r="A1154" s="7">
        <f>IFERROR(__xludf.DUMMYFUNCTION("""COMPUTED_VALUE"""),38407.645833333336)</f>
        <v>38407.64583</v>
      </c>
      <c r="B1154" s="3">
        <f>IFERROR(__xludf.DUMMYFUNCTION("""COMPUTED_VALUE"""),2057.75)</f>
        <v>2057.75</v>
      </c>
      <c r="C1154" s="3">
        <f>IFERROR(__xludf.DUMMYFUNCTION("""COMPUTED_VALUE"""),2070.5)</f>
        <v>2070.5</v>
      </c>
      <c r="D1154" s="3">
        <f>IFERROR(__xludf.DUMMYFUNCTION("""COMPUTED_VALUE"""),2052.4)</f>
        <v>2052.4</v>
      </c>
      <c r="E1154" s="3">
        <f>IFERROR(__xludf.DUMMYFUNCTION("""COMPUTED_VALUE"""),2055.3)</f>
        <v>2055.3</v>
      </c>
      <c r="F1154" s="3">
        <f>IFERROR(__xludf.DUMMYFUNCTION("""COMPUTED_VALUE"""),0.0)</f>
        <v>0</v>
      </c>
    </row>
    <row r="1155">
      <c r="A1155" s="7">
        <f>IFERROR(__xludf.DUMMYFUNCTION("""COMPUTED_VALUE"""),38408.645833333336)</f>
        <v>38408.64583</v>
      </c>
      <c r="B1155" s="3">
        <f>IFERROR(__xludf.DUMMYFUNCTION("""COMPUTED_VALUE"""),2057.3)</f>
        <v>2057.3</v>
      </c>
      <c r="C1155" s="3">
        <f>IFERROR(__xludf.DUMMYFUNCTION("""COMPUTED_VALUE"""),2081.85)</f>
        <v>2081.85</v>
      </c>
      <c r="D1155" s="3">
        <f>IFERROR(__xludf.DUMMYFUNCTION("""COMPUTED_VALUE"""),2051.2)</f>
        <v>2051.2</v>
      </c>
      <c r="E1155" s="3">
        <f>IFERROR(__xludf.DUMMYFUNCTION("""COMPUTED_VALUE"""),2060.9)</f>
        <v>2060.9</v>
      </c>
      <c r="F1155" s="3">
        <f>IFERROR(__xludf.DUMMYFUNCTION("""COMPUTED_VALUE"""),0.0)</f>
        <v>0</v>
      </c>
    </row>
    <row r="1156">
      <c r="A1156" s="7">
        <f>IFERROR(__xludf.DUMMYFUNCTION("""COMPUTED_VALUE"""),38411.645833333336)</f>
        <v>38411.64583</v>
      </c>
      <c r="B1156" s="3">
        <f>IFERROR(__xludf.DUMMYFUNCTION("""COMPUTED_VALUE"""),2061.2)</f>
        <v>2061.2</v>
      </c>
      <c r="C1156" s="3">
        <f>IFERROR(__xludf.DUMMYFUNCTION("""COMPUTED_VALUE"""),2106.2)</f>
        <v>2106.2</v>
      </c>
      <c r="D1156" s="3">
        <f>IFERROR(__xludf.DUMMYFUNCTION("""COMPUTED_VALUE"""),2047.7)</f>
        <v>2047.7</v>
      </c>
      <c r="E1156" s="3">
        <f>IFERROR(__xludf.DUMMYFUNCTION("""COMPUTED_VALUE"""),2103.25)</f>
        <v>2103.25</v>
      </c>
      <c r="F1156" s="3">
        <f>IFERROR(__xludf.DUMMYFUNCTION("""COMPUTED_VALUE"""),0.0)</f>
        <v>0</v>
      </c>
    </row>
    <row r="1157">
      <c r="A1157" s="7">
        <f>IFERROR(__xludf.DUMMYFUNCTION("""COMPUTED_VALUE"""),38412.645833333336)</f>
        <v>38412.64583</v>
      </c>
      <c r="B1157" s="3">
        <f>IFERROR(__xludf.DUMMYFUNCTION("""COMPUTED_VALUE"""),2103.1)</f>
        <v>2103.1</v>
      </c>
      <c r="C1157" s="3">
        <f>IFERROR(__xludf.DUMMYFUNCTION("""COMPUTED_VALUE"""),2115.1)</f>
        <v>2115.1</v>
      </c>
      <c r="D1157" s="3">
        <f>IFERROR(__xludf.DUMMYFUNCTION("""COMPUTED_VALUE"""),2073.8)</f>
        <v>2073.8</v>
      </c>
      <c r="E1157" s="3">
        <f>IFERROR(__xludf.DUMMYFUNCTION("""COMPUTED_VALUE"""),2084.4)</f>
        <v>2084.4</v>
      </c>
      <c r="F1157" s="3">
        <f>IFERROR(__xludf.DUMMYFUNCTION("""COMPUTED_VALUE"""),0.0)</f>
        <v>0</v>
      </c>
    </row>
    <row r="1158">
      <c r="A1158" s="7">
        <f>IFERROR(__xludf.DUMMYFUNCTION("""COMPUTED_VALUE"""),38413.645833333336)</f>
        <v>38413.64583</v>
      </c>
      <c r="B1158" s="3">
        <f>IFERROR(__xludf.DUMMYFUNCTION("""COMPUTED_VALUE"""),2084.6)</f>
        <v>2084.6</v>
      </c>
      <c r="C1158" s="3">
        <f>IFERROR(__xludf.DUMMYFUNCTION("""COMPUTED_VALUE"""),2096.35)</f>
        <v>2096.35</v>
      </c>
      <c r="D1158" s="3">
        <f>IFERROR(__xludf.DUMMYFUNCTION("""COMPUTED_VALUE"""),2080.55)</f>
        <v>2080.55</v>
      </c>
      <c r="E1158" s="3">
        <f>IFERROR(__xludf.DUMMYFUNCTION("""COMPUTED_VALUE"""),2093.25)</f>
        <v>2093.25</v>
      </c>
      <c r="F1158" s="3">
        <f>IFERROR(__xludf.DUMMYFUNCTION("""COMPUTED_VALUE"""),0.0)</f>
        <v>0</v>
      </c>
    </row>
    <row r="1159">
      <c r="A1159" s="7">
        <f>IFERROR(__xludf.DUMMYFUNCTION("""COMPUTED_VALUE"""),38414.645833333336)</f>
        <v>38414.64583</v>
      </c>
      <c r="B1159" s="3">
        <f>IFERROR(__xludf.DUMMYFUNCTION("""COMPUTED_VALUE"""),2093.4)</f>
        <v>2093.4</v>
      </c>
      <c r="C1159" s="3">
        <f>IFERROR(__xludf.DUMMYFUNCTION("""COMPUTED_VALUE"""),2132.75)</f>
        <v>2132.75</v>
      </c>
      <c r="D1159" s="3">
        <f>IFERROR(__xludf.DUMMYFUNCTION("""COMPUTED_VALUE"""),2093.35)</f>
        <v>2093.35</v>
      </c>
      <c r="E1159" s="3">
        <f>IFERROR(__xludf.DUMMYFUNCTION("""COMPUTED_VALUE"""),2128.85)</f>
        <v>2128.85</v>
      </c>
      <c r="F1159" s="3">
        <f>IFERROR(__xludf.DUMMYFUNCTION("""COMPUTED_VALUE"""),0.0)</f>
        <v>0</v>
      </c>
    </row>
    <row r="1160">
      <c r="A1160" s="7">
        <f>IFERROR(__xludf.DUMMYFUNCTION("""COMPUTED_VALUE"""),38415.645833333336)</f>
        <v>38415.64583</v>
      </c>
      <c r="B1160" s="3">
        <f>IFERROR(__xludf.DUMMYFUNCTION("""COMPUTED_VALUE"""),2129.1)</f>
        <v>2129.1</v>
      </c>
      <c r="C1160" s="3">
        <f>IFERROR(__xludf.DUMMYFUNCTION("""COMPUTED_VALUE"""),2152.75)</f>
        <v>2152.75</v>
      </c>
      <c r="D1160" s="3">
        <f>IFERROR(__xludf.DUMMYFUNCTION("""COMPUTED_VALUE"""),2129.1)</f>
        <v>2129.1</v>
      </c>
      <c r="E1160" s="3">
        <f>IFERROR(__xludf.DUMMYFUNCTION("""COMPUTED_VALUE"""),2148.15)</f>
        <v>2148.15</v>
      </c>
      <c r="F1160" s="3">
        <f>IFERROR(__xludf.DUMMYFUNCTION("""COMPUTED_VALUE"""),0.0)</f>
        <v>0</v>
      </c>
    </row>
    <row r="1161">
      <c r="A1161" s="7">
        <f>IFERROR(__xludf.DUMMYFUNCTION("""COMPUTED_VALUE"""),38418.645833333336)</f>
        <v>38418.64583</v>
      </c>
      <c r="B1161" s="3">
        <f>IFERROR(__xludf.DUMMYFUNCTION("""COMPUTED_VALUE"""),2148.25)</f>
        <v>2148.25</v>
      </c>
      <c r="C1161" s="3">
        <f>IFERROR(__xludf.DUMMYFUNCTION("""COMPUTED_VALUE"""),2166.85)</f>
        <v>2166.85</v>
      </c>
      <c r="D1161" s="3">
        <f>IFERROR(__xludf.DUMMYFUNCTION("""COMPUTED_VALUE"""),2143.05)</f>
        <v>2143.05</v>
      </c>
      <c r="E1161" s="3">
        <f>IFERROR(__xludf.DUMMYFUNCTION("""COMPUTED_VALUE"""),2160.1)</f>
        <v>2160.1</v>
      </c>
      <c r="F1161" s="3">
        <f>IFERROR(__xludf.DUMMYFUNCTION("""COMPUTED_VALUE"""),0.0)</f>
        <v>0</v>
      </c>
    </row>
    <row r="1162">
      <c r="A1162" s="7">
        <f>IFERROR(__xludf.DUMMYFUNCTION("""COMPUTED_VALUE"""),38419.645833333336)</f>
        <v>38419.64583</v>
      </c>
      <c r="B1162" s="3">
        <f>IFERROR(__xludf.DUMMYFUNCTION("""COMPUTED_VALUE"""),2160.65)</f>
        <v>2160.65</v>
      </c>
      <c r="C1162" s="3">
        <f>IFERROR(__xludf.DUMMYFUNCTION("""COMPUTED_VALUE"""),2173.85)</f>
        <v>2173.85</v>
      </c>
      <c r="D1162" s="3">
        <f>IFERROR(__xludf.DUMMYFUNCTION("""COMPUTED_VALUE"""),2154.0)</f>
        <v>2154</v>
      </c>
      <c r="E1162" s="3">
        <f>IFERROR(__xludf.DUMMYFUNCTION("""COMPUTED_VALUE"""),2168.95)</f>
        <v>2168.95</v>
      </c>
      <c r="F1162" s="3">
        <f>IFERROR(__xludf.DUMMYFUNCTION("""COMPUTED_VALUE"""),0.0)</f>
        <v>0</v>
      </c>
    </row>
    <row r="1163">
      <c r="A1163" s="7">
        <f>IFERROR(__xludf.DUMMYFUNCTION("""COMPUTED_VALUE"""),38420.645833333336)</f>
        <v>38420.64583</v>
      </c>
      <c r="B1163" s="3">
        <f>IFERROR(__xludf.DUMMYFUNCTION("""COMPUTED_VALUE"""),2169.1)</f>
        <v>2169.1</v>
      </c>
      <c r="C1163" s="3">
        <f>IFERROR(__xludf.DUMMYFUNCTION("""COMPUTED_VALUE"""),2183.45)</f>
        <v>2183.45</v>
      </c>
      <c r="D1163" s="3">
        <f>IFERROR(__xludf.DUMMYFUNCTION("""COMPUTED_VALUE"""),2141.35)</f>
        <v>2141.35</v>
      </c>
      <c r="E1163" s="3">
        <f>IFERROR(__xludf.DUMMYFUNCTION("""COMPUTED_VALUE"""),2160.8)</f>
        <v>2160.8</v>
      </c>
      <c r="F1163" s="3">
        <f>IFERROR(__xludf.DUMMYFUNCTION("""COMPUTED_VALUE"""),0.0)</f>
        <v>0</v>
      </c>
    </row>
    <row r="1164">
      <c r="A1164" s="7">
        <f>IFERROR(__xludf.DUMMYFUNCTION("""COMPUTED_VALUE"""),38421.645833333336)</f>
        <v>38421.64583</v>
      </c>
      <c r="B1164" s="3">
        <f>IFERROR(__xludf.DUMMYFUNCTION("""COMPUTED_VALUE"""),2160.85)</f>
        <v>2160.85</v>
      </c>
      <c r="C1164" s="3">
        <f>IFERROR(__xludf.DUMMYFUNCTION("""COMPUTED_VALUE"""),2170.2)</f>
        <v>2170.2</v>
      </c>
      <c r="D1164" s="3">
        <f>IFERROR(__xludf.DUMMYFUNCTION("""COMPUTED_VALUE"""),2145.75)</f>
        <v>2145.75</v>
      </c>
      <c r="E1164" s="3">
        <f>IFERROR(__xludf.DUMMYFUNCTION("""COMPUTED_VALUE"""),2167.4)</f>
        <v>2167.4</v>
      </c>
      <c r="F1164" s="3">
        <f>IFERROR(__xludf.DUMMYFUNCTION("""COMPUTED_VALUE"""),0.0)</f>
        <v>0</v>
      </c>
    </row>
    <row r="1165">
      <c r="A1165" s="7">
        <f>IFERROR(__xludf.DUMMYFUNCTION("""COMPUTED_VALUE"""),38422.645833333336)</f>
        <v>38422.64583</v>
      </c>
      <c r="B1165" s="3">
        <f>IFERROR(__xludf.DUMMYFUNCTION("""COMPUTED_VALUE"""),2167.7)</f>
        <v>2167.7</v>
      </c>
      <c r="C1165" s="3">
        <f>IFERROR(__xludf.DUMMYFUNCTION("""COMPUTED_VALUE"""),2182.1)</f>
        <v>2182.1</v>
      </c>
      <c r="D1165" s="3">
        <f>IFERROR(__xludf.DUMMYFUNCTION("""COMPUTED_VALUE"""),2148.7)</f>
        <v>2148.7</v>
      </c>
      <c r="E1165" s="3">
        <f>IFERROR(__xludf.DUMMYFUNCTION("""COMPUTED_VALUE"""),2154.0)</f>
        <v>2154</v>
      </c>
      <c r="F1165" s="3">
        <f>IFERROR(__xludf.DUMMYFUNCTION("""COMPUTED_VALUE"""),0.0)</f>
        <v>0</v>
      </c>
    </row>
    <row r="1166">
      <c r="A1166" s="7">
        <f>IFERROR(__xludf.DUMMYFUNCTION("""COMPUTED_VALUE"""),38425.645833333336)</f>
        <v>38425.64583</v>
      </c>
      <c r="B1166" s="3">
        <f>IFERROR(__xludf.DUMMYFUNCTION("""COMPUTED_VALUE"""),2153.8)</f>
        <v>2153.8</v>
      </c>
      <c r="C1166" s="3">
        <f>IFERROR(__xludf.DUMMYFUNCTION("""COMPUTED_VALUE"""),2164.15)</f>
        <v>2164.15</v>
      </c>
      <c r="D1166" s="3">
        <f>IFERROR(__xludf.DUMMYFUNCTION("""COMPUTED_VALUE"""),2140.9)</f>
        <v>2140.9</v>
      </c>
      <c r="E1166" s="3">
        <f>IFERROR(__xludf.DUMMYFUNCTION("""COMPUTED_VALUE"""),2146.35)</f>
        <v>2146.35</v>
      </c>
      <c r="F1166" s="3">
        <f>IFERROR(__xludf.DUMMYFUNCTION("""COMPUTED_VALUE"""),0.0)</f>
        <v>0</v>
      </c>
    </row>
    <row r="1167">
      <c r="A1167" s="7">
        <f>IFERROR(__xludf.DUMMYFUNCTION("""COMPUTED_VALUE"""),38426.645833333336)</f>
        <v>38426.64583</v>
      </c>
      <c r="B1167" s="3">
        <f>IFERROR(__xludf.DUMMYFUNCTION("""COMPUTED_VALUE"""),2146.55)</f>
        <v>2146.55</v>
      </c>
      <c r="C1167" s="3">
        <f>IFERROR(__xludf.DUMMYFUNCTION("""COMPUTED_VALUE"""),2151.35)</f>
        <v>2151.35</v>
      </c>
      <c r="D1167" s="3">
        <f>IFERROR(__xludf.DUMMYFUNCTION("""COMPUTED_VALUE"""),2122.0)</f>
        <v>2122</v>
      </c>
      <c r="E1167" s="3">
        <f>IFERROR(__xludf.DUMMYFUNCTION("""COMPUTED_VALUE"""),2128.95)</f>
        <v>2128.95</v>
      </c>
      <c r="F1167" s="3">
        <f>IFERROR(__xludf.DUMMYFUNCTION("""COMPUTED_VALUE"""),0.0)</f>
        <v>0</v>
      </c>
    </row>
    <row r="1168">
      <c r="A1168" s="7">
        <f>IFERROR(__xludf.DUMMYFUNCTION("""COMPUTED_VALUE"""),38427.645833333336)</f>
        <v>38427.64583</v>
      </c>
      <c r="B1168" s="3">
        <f>IFERROR(__xludf.DUMMYFUNCTION("""COMPUTED_VALUE"""),2129.35)</f>
        <v>2129.35</v>
      </c>
      <c r="C1168" s="3">
        <f>IFERROR(__xludf.DUMMYFUNCTION("""COMPUTED_VALUE"""),2158.9)</f>
        <v>2158.9</v>
      </c>
      <c r="D1168" s="3">
        <f>IFERROR(__xludf.DUMMYFUNCTION("""COMPUTED_VALUE"""),2121.1)</f>
        <v>2121.1</v>
      </c>
      <c r="E1168" s="3">
        <f>IFERROR(__xludf.DUMMYFUNCTION("""COMPUTED_VALUE"""),2125.55)</f>
        <v>2125.55</v>
      </c>
      <c r="F1168" s="3">
        <f>IFERROR(__xludf.DUMMYFUNCTION("""COMPUTED_VALUE"""),0.0)</f>
        <v>0</v>
      </c>
    </row>
    <row r="1169">
      <c r="A1169" s="7">
        <f>IFERROR(__xludf.DUMMYFUNCTION("""COMPUTED_VALUE"""),38428.645833333336)</f>
        <v>38428.64583</v>
      </c>
      <c r="B1169" s="3">
        <f>IFERROR(__xludf.DUMMYFUNCTION("""COMPUTED_VALUE"""),2123.95)</f>
        <v>2123.95</v>
      </c>
      <c r="C1169" s="3">
        <f>IFERROR(__xludf.DUMMYFUNCTION("""COMPUTED_VALUE"""),2126.55)</f>
        <v>2126.55</v>
      </c>
      <c r="D1169" s="3">
        <f>IFERROR(__xludf.DUMMYFUNCTION("""COMPUTED_VALUE"""),2090.45)</f>
        <v>2090.45</v>
      </c>
      <c r="E1169" s="3">
        <f>IFERROR(__xludf.DUMMYFUNCTION("""COMPUTED_VALUE"""),2098.5)</f>
        <v>2098.5</v>
      </c>
      <c r="F1169" s="3">
        <f>IFERROR(__xludf.DUMMYFUNCTION("""COMPUTED_VALUE"""),0.0)</f>
        <v>0</v>
      </c>
    </row>
    <row r="1170">
      <c r="A1170" s="7">
        <f>IFERROR(__xludf.DUMMYFUNCTION("""COMPUTED_VALUE"""),38429.645833333336)</f>
        <v>38429.64583</v>
      </c>
      <c r="B1170" s="3">
        <f>IFERROR(__xludf.DUMMYFUNCTION("""COMPUTED_VALUE"""),2097.75)</f>
        <v>2097.75</v>
      </c>
      <c r="C1170" s="3">
        <f>IFERROR(__xludf.DUMMYFUNCTION("""COMPUTED_VALUE"""),2112.25)</f>
        <v>2112.25</v>
      </c>
      <c r="D1170" s="3">
        <f>IFERROR(__xludf.DUMMYFUNCTION("""COMPUTED_VALUE"""),2077.2)</f>
        <v>2077.2</v>
      </c>
      <c r="E1170" s="3">
        <f>IFERROR(__xludf.DUMMYFUNCTION("""COMPUTED_VALUE"""),2109.15)</f>
        <v>2109.15</v>
      </c>
      <c r="F1170" s="3">
        <f>IFERROR(__xludf.DUMMYFUNCTION("""COMPUTED_VALUE"""),0.0)</f>
        <v>0</v>
      </c>
    </row>
    <row r="1171">
      <c r="A1171" s="7">
        <f>IFERROR(__xludf.DUMMYFUNCTION("""COMPUTED_VALUE"""),38432.645833333336)</f>
        <v>38432.64583</v>
      </c>
      <c r="B1171" s="3">
        <f>IFERROR(__xludf.DUMMYFUNCTION("""COMPUTED_VALUE"""),2117.95)</f>
        <v>2117.95</v>
      </c>
      <c r="C1171" s="3">
        <f>IFERROR(__xludf.DUMMYFUNCTION("""COMPUTED_VALUE"""),2124.8)</f>
        <v>2124.8</v>
      </c>
      <c r="D1171" s="3">
        <f>IFERROR(__xludf.DUMMYFUNCTION("""COMPUTED_VALUE"""),2089.35)</f>
        <v>2089.35</v>
      </c>
      <c r="E1171" s="3">
        <f>IFERROR(__xludf.DUMMYFUNCTION("""COMPUTED_VALUE"""),2096.6)</f>
        <v>2096.6</v>
      </c>
      <c r="F1171" s="3">
        <f>IFERROR(__xludf.DUMMYFUNCTION("""COMPUTED_VALUE"""),0.0)</f>
        <v>0</v>
      </c>
    </row>
    <row r="1172">
      <c r="A1172" s="7">
        <f>IFERROR(__xludf.DUMMYFUNCTION("""COMPUTED_VALUE"""),38433.645833333336)</f>
        <v>38433.64583</v>
      </c>
      <c r="B1172" s="3">
        <f>IFERROR(__xludf.DUMMYFUNCTION("""COMPUTED_VALUE"""),2096.75)</f>
        <v>2096.75</v>
      </c>
      <c r="C1172" s="3">
        <f>IFERROR(__xludf.DUMMYFUNCTION("""COMPUTED_VALUE"""),2099.0)</f>
        <v>2099</v>
      </c>
      <c r="D1172" s="3">
        <f>IFERROR(__xludf.DUMMYFUNCTION("""COMPUTED_VALUE"""),2056.5)</f>
        <v>2056.5</v>
      </c>
      <c r="E1172" s="3">
        <f>IFERROR(__xludf.DUMMYFUNCTION("""COMPUTED_VALUE"""),2061.6)</f>
        <v>2061.6</v>
      </c>
      <c r="F1172" s="3">
        <f>IFERROR(__xludf.DUMMYFUNCTION("""COMPUTED_VALUE"""),0.0)</f>
        <v>0</v>
      </c>
    </row>
    <row r="1173">
      <c r="A1173" s="7">
        <f>IFERROR(__xludf.DUMMYFUNCTION("""COMPUTED_VALUE"""),38434.645833333336)</f>
        <v>38434.64583</v>
      </c>
      <c r="B1173" s="3">
        <f>IFERROR(__xludf.DUMMYFUNCTION("""COMPUTED_VALUE"""),2061.2)</f>
        <v>2061.2</v>
      </c>
      <c r="C1173" s="3">
        <f>IFERROR(__xludf.DUMMYFUNCTION("""COMPUTED_VALUE"""),2067.45)</f>
        <v>2067.45</v>
      </c>
      <c r="D1173" s="3">
        <f>IFERROR(__xludf.DUMMYFUNCTION("""COMPUTED_VALUE"""),2019.85)</f>
        <v>2019.85</v>
      </c>
      <c r="E1173" s="3">
        <f>IFERROR(__xludf.DUMMYFUNCTION("""COMPUTED_VALUE"""),2026.4)</f>
        <v>2026.4</v>
      </c>
      <c r="F1173" s="3">
        <f>IFERROR(__xludf.DUMMYFUNCTION("""COMPUTED_VALUE"""),0.0)</f>
        <v>0</v>
      </c>
    </row>
    <row r="1174">
      <c r="A1174" s="7">
        <f>IFERROR(__xludf.DUMMYFUNCTION("""COMPUTED_VALUE"""),38435.645833333336)</f>
        <v>38435.64583</v>
      </c>
      <c r="B1174" s="3">
        <f>IFERROR(__xludf.DUMMYFUNCTION("""COMPUTED_VALUE"""),2026.6)</f>
        <v>2026.6</v>
      </c>
      <c r="C1174" s="3">
        <f>IFERROR(__xludf.DUMMYFUNCTION("""COMPUTED_VALUE"""),2042.45)</f>
        <v>2042.45</v>
      </c>
      <c r="D1174" s="3">
        <f>IFERROR(__xludf.DUMMYFUNCTION("""COMPUTED_VALUE"""),2007.35)</f>
        <v>2007.35</v>
      </c>
      <c r="E1174" s="3">
        <f>IFERROR(__xludf.DUMMYFUNCTION("""COMPUTED_VALUE"""),2015.4)</f>
        <v>2015.4</v>
      </c>
      <c r="F1174" s="3">
        <f>IFERROR(__xludf.DUMMYFUNCTION("""COMPUTED_VALUE"""),0.0)</f>
        <v>0</v>
      </c>
    </row>
    <row r="1175">
      <c r="A1175" s="7">
        <f>IFERROR(__xludf.DUMMYFUNCTION("""COMPUTED_VALUE"""),38439.645833333336)</f>
        <v>38439.64583</v>
      </c>
      <c r="B1175" s="3">
        <f>IFERROR(__xludf.DUMMYFUNCTION("""COMPUTED_VALUE"""),2015.75)</f>
        <v>2015.75</v>
      </c>
      <c r="C1175" s="3">
        <f>IFERROR(__xludf.DUMMYFUNCTION("""COMPUTED_VALUE"""),2046.85)</f>
        <v>2046.85</v>
      </c>
      <c r="D1175" s="3">
        <f>IFERROR(__xludf.DUMMYFUNCTION("""COMPUTED_VALUE"""),2015.25)</f>
        <v>2015.25</v>
      </c>
      <c r="E1175" s="3">
        <f>IFERROR(__xludf.DUMMYFUNCTION("""COMPUTED_VALUE"""),2029.45)</f>
        <v>2029.45</v>
      </c>
      <c r="F1175" s="3">
        <f>IFERROR(__xludf.DUMMYFUNCTION("""COMPUTED_VALUE"""),0.0)</f>
        <v>0</v>
      </c>
    </row>
    <row r="1176">
      <c r="A1176" s="7">
        <f>IFERROR(__xludf.DUMMYFUNCTION("""COMPUTED_VALUE"""),38440.645833333336)</f>
        <v>38440.64583</v>
      </c>
      <c r="B1176" s="3">
        <f>IFERROR(__xludf.DUMMYFUNCTION("""COMPUTED_VALUE"""),2029.4)</f>
        <v>2029.4</v>
      </c>
      <c r="C1176" s="3">
        <f>IFERROR(__xludf.DUMMYFUNCTION("""COMPUTED_VALUE"""),2032.65)</f>
        <v>2032.65</v>
      </c>
      <c r="D1176" s="3">
        <f>IFERROR(__xludf.DUMMYFUNCTION("""COMPUTED_VALUE"""),1971.55)</f>
        <v>1971.55</v>
      </c>
      <c r="E1176" s="3">
        <f>IFERROR(__xludf.DUMMYFUNCTION("""COMPUTED_VALUE"""),1983.85)</f>
        <v>1983.85</v>
      </c>
      <c r="F1176" s="3">
        <f>IFERROR(__xludf.DUMMYFUNCTION("""COMPUTED_VALUE"""),0.0)</f>
        <v>0</v>
      </c>
    </row>
    <row r="1177">
      <c r="A1177" s="7">
        <f>IFERROR(__xludf.DUMMYFUNCTION("""COMPUTED_VALUE"""),38441.645833333336)</f>
        <v>38441.64583</v>
      </c>
      <c r="B1177" s="3">
        <f>IFERROR(__xludf.DUMMYFUNCTION("""COMPUTED_VALUE"""),1983.65)</f>
        <v>1983.65</v>
      </c>
      <c r="C1177" s="3">
        <f>IFERROR(__xludf.DUMMYFUNCTION("""COMPUTED_VALUE"""),2000.45)</f>
        <v>2000.45</v>
      </c>
      <c r="D1177" s="3">
        <f>IFERROR(__xludf.DUMMYFUNCTION("""COMPUTED_VALUE"""),1971.15)</f>
        <v>1971.15</v>
      </c>
      <c r="E1177" s="3">
        <f>IFERROR(__xludf.DUMMYFUNCTION("""COMPUTED_VALUE"""),1993.7)</f>
        <v>1993.7</v>
      </c>
      <c r="F1177" s="3">
        <f>IFERROR(__xludf.DUMMYFUNCTION("""COMPUTED_VALUE"""),0.0)</f>
        <v>0</v>
      </c>
    </row>
    <row r="1178">
      <c r="A1178" s="7">
        <f>IFERROR(__xludf.DUMMYFUNCTION("""COMPUTED_VALUE"""),38442.645833333336)</f>
        <v>38442.64583</v>
      </c>
      <c r="B1178" s="3">
        <f>IFERROR(__xludf.DUMMYFUNCTION("""COMPUTED_VALUE"""),1994.5)</f>
        <v>1994.5</v>
      </c>
      <c r="C1178" s="3">
        <f>IFERROR(__xludf.DUMMYFUNCTION("""COMPUTED_VALUE"""),2043.6)</f>
        <v>2043.6</v>
      </c>
      <c r="D1178" s="3">
        <f>IFERROR(__xludf.DUMMYFUNCTION("""COMPUTED_VALUE"""),1994.5)</f>
        <v>1994.5</v>
      </c>
      <c r="E1178" s="3">
        <f>IFERROR(__xludf.DUMMYFUNCTION("""COMPUTED_VALUE"""),2035.65)</f>
        <v>2035.65</v>
      </c>
      <c r="F1178" s="3">
        <f>IFERROR(__xludf.DUMMYFUNCTION("""COMPUTED_VALUE"""),0.0)</f>
        <v>0</v>
      </c>
    </row>
    <row r="1179">
      <c r="A1179" s="7">
        <f>IFERROR(__xludf.DUMMYFUNCTION("""COMPUTED_VALUE"""),38443.645833333336)</f>
        <v>38443.64583</v>
      </c>
      <c r="B1179" s="3">
        <f>IFERROR(__xludf.DUMMYFUNCTION("""COMPUTED_VALUE"""),2035.9)</f>
        <v>2035.9</v>
      </c>
      <c r="C1179" s="3">
        <f>IFERROR(__xludf.DUMMYFUNCTION("""COMPUTED_VALUE"""),2071.2)</f>
        <v>2071.2</v>
      </c>
      <c r="D1179" s="3">
        <f>IFERROR(__xludf.DUMMYFUNCTION("""COMPUTED_VALUE"""),2024.25)</f>
        <v>2024.25</v>
      </c>
      <c r="E1179" s="3">
        <f>IFERROR(__xludf.DUMMYFUNCTION("""COMPUTED_VALUE"""),2067.65)</f>
        <v>2067.65</v>
      </c>
      <c r="F1179" s="3">
        <f>IFERROR(__xludf.DUMMYFUNCTION("""COMPUTED_VALUE"""),0.0)</f>
        <v>0</v>
      </c>
    </row>
    <row r="1180">
      <c r="A1180" s="7">
        <f>IFERROR(__xludf.DUMMYFUNCTION("""COMPUTED_VALUE"""),38446.645833333336)</f>
        <v>38446.64583</v>
      </c>
      <c r="B1180" s="3">
        <f>IFERROR(__xludf.DUMMYFUNCTION("""COMPUTED_VALUE"""),2067.65)</f>
        <v>2067.65</v>
      </c>
      <c r="C1180" s="3">
        <f>IFERROR(__xludf.DUMMYFUNCTION("""COMPUTED_VALUE"""),2076.6)</f>
        <v>2076.6</v>
      </c>
      <c r="D1180" s="3">
        <f>IFERROR(__xludf.DUMMYFUNCTION("""COMPUTED_VALUE"""),2054.9)</f>
        <v>2054.9</v>
      </c>
      <c r="E1180" s="3">
        <f>IFERROR(__xludf.DUMMYFUNCTION("""COMPUTED_VALUE"""),2063.4)</f>
        <v>2063.4</v>
      </c>
      <c r="F1180" s="3">
        <f>IFERROR(__xludf.DUMMYFUNCTION("""COMPUTED_VALUE"""),0.0)</f>
        <v>0</v>
      </c>
    </row>
    <row r="1181">
      <c r="A1181" s="7">
        <f>IFERROR(__xludf.DUMMYFUNCTION("""COMPUTED_VALUE"""),38447.645833333336)</f>
        <v>38447.64583</v>
      </c>
      <c r="B1181" s="3">
        <f>IFERROR(__xludf.DUMMYFUNCTION("""COMPUTED_VALUE"""),2063.2)</f>
        <v>2063.2</v>
      </c>
      <c r="C1181" s="3">
        <f>IFERROR(__xludf.DUMMYFUNCTION("""COMPUTED_VALUE"""),2077.95)</f>
        <v>2077.95</v>
      </c>
      <c r="D1181" s="3">
        <f>IFERROR(__xludf.DUMMYFUNCTION("""COMPUTED_VALUE"""),2043.7)</f>
        <v>2043.7</v>
      </c>
      <c r="E1181" s="3">
        <f>IFERROR(__xludf.DUMMYFUNCTION("""COMPUTED_VALUE"""),2052.55)</f>
        <v>2052.55</v>
      </c>
      <c r="F1181" s="3">
        <f>IFERROR(__xludf.DUMMYFUNCTION("""COMPUTED_VALUE"""),0.0)</f>
        <v>0</v>
      </c>
    </row>
    <row r="1182">
      <c r="A1182" s="7">
        <f>IFERROR(__xludf.DUMMYFUNCTION("""COMPUTED_VALUE"""),38448.645833333336)</f>
        <v>38448.64583</v>
      </c>
      <c r="B1182" s="3">
        <f>IFERROR(__xludf.DUMMYFUNCTION("""COMPUTED_VALUE"""),2054.0)</f>
        <v>2054</v>
      </c>
      <c r="C1182" s="3">
        <f>IFERROR(__xludf.DUMMYFUNCTION("""COMPUTED_VALUE"""),2073.1)</f>
        <v>2073.1</v>
      </c>
      <c r="D1182" s="3">
        <f>IFERROR(__xludf.DUMMYFUNCTION("""COMPUTED_VALUE"""),2051.3)</f>
        <v>2051.3</v>
      </c>
      <c r="E1182" s="3">
        <f>IFERROR(__xludf.DUMMYFUNCTION("""COMPUTED_VALUE"""),2069.3)</f>
        <v>2069.3</v>
      </c>
      <c r="F1182" s="3">
        <f>IFERROR(__xludf.DUMMYFUNCTION("""COMPUTED_VALUE"""),0.0)</f>
        <v>0</v>
      </c>
    </row>
    <row r="1183">
      <c r="A1183" s="7">
        <f>IFERROR(__xludf.DUMMYFUNCTION("""COMPUTED_VALUE"""),38449.645833333336)</f>
        <v>38449.64583</v>
      </c>
      <c r="B1183" s="3">
        <f>IFERROR(__xludf.DUMMYFUNCTION("""COMPUTED_VALUE"""),2069.15)</f>
        <v>2069.15</v>
      </c>
      <c r="C1183" s="3">
        <f>IFERROR(__xludf.DUMMYFUNCTION("""COMPUTED_VALUE"""),2084.9)</f>
        <v>2084.9</v>
      </c>
      <c r="D1183" s="3">
        <f>IFERROR(__xludf.DUMMYFUNCTION("""COMPUTED_VALUE"""),2048.05)</f>
        <v>2048.05</v>
      </c>
      <c r="E1183" s="3">
        <f>IFERROR(__xludf.DUMMYFUNCTION("""COMPUTED_VALUE"""),2052.85)</f>
        <v>2052.85</v>
      </c>
      <c r="F1183" s="3">
        <f>IFERROR(__xludf.DUMMYFUNCTION("""COMPUTED_VALUE"""),0.0)</f>
        <v>0</v>
      </c>
    </row>
    <row r="1184">
      <c r="A1184" s="7">
        <f>IFERROR(__xludf.DUMMYFUNCTION("""COMPUTED_VALUE"""),38450.645833333336)</f>
        <v>38450.64583</v>
      </c>
      <c r="B1184" s="3">
        <f>IFERROR(__xludf.DUMMYFUNCTION("""COMPUTED_VALUE"""),2053.05)</f>
        <v>2053.05</v>
      </c>
      <c r="C1184" s="3">
        <f>IFERROR(__xludf.DUMMYFUNCTION("""COMPUTED_VALUE"""),2057.5)</f>
        <v>2057.5</v>
      </c>
      <c r="D1184" s="3">
        <f>IFERROR(__xludf.DUMMYFUNCTION("""COMPUTED_VALUE"""),2024.8)</f>
        <v>2024.8</v>
      </c>
      <c r="E1184" s="3">
        <f>IFERROR(__xludf.DUMMYFUNCTION("""COMPUTED_VALUE"""),2031.2)</f>
        <v>2031.2</v>
      </c>
      <c r="F1184" s="3">
        <f>IFERROR(__xludf.DUMMYFUNCTION("""COMPUTED_VALUE"""),0.0)</f>
        <v>0</v>
      </c>
    </row>
    <row r="1185">
      <c r="A1185" s="7">
        <f>IFERROR(__xludf.DUMMYFUNCTION("""COMPUTED_VALUE"""),38453.645833333336)</f>
        <v>38453.64583</v>
      </c>
      <c r="B1185" s="3">
        <f>IFERROR(__xludf.DUMMYFUNCTION("""COMPUTED_VALUE"""),2032.75)</f>
        <v>2032.75</v>
      </c>
      <c r="C1185" s="3">
        <f>IFERROR(__xludf.DUMMYFUNCTION("""COMPUTED_VALUE"""),2033.0)</f>
        <v>2033</v>
      </c>
      <c r="D1185" s="3">
        <f>IFERROR(__xludf.DUMMYFUNCTION("""COMPUTED_VALUE"""),2001.85)</f>
        <v>2001.85</v>
      </c>
      <c r="E1185" s="3">
        <f>IFERROR(__xludf.DUMMYFUNCTION("""COMPUTED_VALUE"""),2008.2)</f>
        <v>2008.2</v>
      </c>
      <c r="F1185" s="3">
        <f>IFERROR(__xludf.DUMMYFUNCTION("""COMPUTED_VALUE"""),0.0)</f>
        <v>0</v>
      </c>
    </row>
    <row r="1186">
      <c r="A1186" s="7">
        <f>IFERROR(__xludf.DUMMYFUNCTION("""COMPUTED_VALUE"""),38454.645833333336)</f>
        <v>38454.64583</v>
      </c>
      <c r="B1186" s="3">
        <f>IFERROR(__xludf.DUMMYFUNCTION("""COMPUTED_VALUE"""),2002.75)</f>
        <v>2002.75</v>
      </c>
      <c r="C1186" s="3">
        <f>IFERROR(__xludf.DUMMYFUNCTION("""COMPUTED_VALUE"""),2027.8)</f>
        <v>2027.8</v>
      </c>
      <c r="D1186" s="3">
        <f>IFERROR(__xludf.DUMMYFUNCTION("""COMPUTED_VALUE"""),2002.75)</f>
        <v>2002.75</v>
      </c>
      <c r="E1186" s="3">
        <f>IFERROR(__xludf.DUMMYFUNCTION("""COMPUTED_VALUE"""),2024.95)</f>
        <v>2024.95</v>
      </c>
      <c r="F1186" s="3">
        <f>IFERROR(__xludf.DUMMYFUNCTION("""COMPUTED_VALUE"""),0.0)</f>
        <v>0</v>
      </c>
    </row>
    <row r="1187">
      <c r="A1187" s="7">
        <f>IFERROR(__xludf.DUMMYFUNCTION("""COMPUTED_VALUE"""),38455.645833333336)</f>
        <v>38455.64583</v>
      </c>
      <c r="B1187" s="3">
        <f>IFERROR(__xludf.DUMMYFUNCTION("""COMPUTED_VALUE"""),2024.9)</f>
        <v>2024.9</v>
      </c>
      <c r="C1187" s="3">
        <f>IFERROR(__xludf.DUMMYFUNCTION("""COMPUTED_VALUE"""),2038.85)</f>
        <v>2038.85</v>
      </c>
      <c r="D1187" s="3">
        <f>IFERROR(__xludf.DUMMYFUNCTION("""COMPUTED_VALUE"""),2018.1)</f>
        <v>2018.1</v>
      </c>
      <c r="E1187" s="3">
        <f>IFERROR(__xludf.DUMMYFUNCTION("""COMPUTED_VALUE"""),2025.45)</f>
        <v>2025.45</v>
      </c>
      <c r="F1187" s="3">
        <f>IFERROR(__xludf.DUMMYFUNCTION("""COMPUTED_VALUE"""),0.0)</f>
        <v>0</v>
      </c>
    </row>
    <row r="1188">
      <c r="A1188" s="7">
        <f>IFERROR(__xludf.DUMMYFUNCTION("""COMPUTED_VALUE"""),38457.645833333336)</f>
        <v>38457.64583</v>
      </c>
      <c r="B1188" s="3">
        <f>IFERROR(__xludf.DUMMYFUNCTION("""COMPUTED_VALUE"""),2022.5)</f>
        <v>2022.5</v>
      </c>
      <c r="C1188" s="3">
        <f>IFERROR(__xludf.DUMMYFUNCTION("""COMPUTED_VALUE"""),2022.5)</f>
        <v>2022.5</v>
      </c>
      <c r="D1188" s="3">
        <f>IFERROR(__xludf.DUMMYFUNCTION("""COMPUTED_VALUE"""),1952.75)</f>
        <v>1952.75</v>
      </c>
      <c r="E1188" s="3">
        <f>IFERROR(__xludf.DUMMYFUNCTION("""COMPUTED_VALUE"""),1956.3)</f>
        <v>1956.3</v>
      </c>
      <c r="F1188" s="3">
        <f>IFERROR(__xludf.DUMMYFUNCTION("""COMPUTED_VALUE"""),0.0)</f>
        <v>0</v>
      </c>
    </row>
    <row r="1189">
      <c r="A1189" s="7">
        <f>IFERROR(__xludf.DUMMYFUNCTION("""COMPUTED_VALUE"""),38460.645833333336)</f>
        <v>38460.64583</v>
      </c>
      <c r="B1189" s="3">
        <f>IFERROR(__xludf.DUMMYFUNCTION("""COMPUTED_VALUE"""),1955.5)</f>
        <v>1955.5</v>
      </c>
      <c r="C1189" s="3">
        <f>IFERROR(__xludf.DUMMYFUNCTION("""COMPUTED_VALUE"""),1959.25)</f>
        <v>1959.25</v>
      </c>
      <c r="D1189" s="3">
        <f>IFERROR(__xludf.DUMMYFUNCTION("""COMPUTED_VALUE"""),1914.85)</f>
        <v>1914.85</v>
      </c>
      <c r="E1189" s="3">
        <f>IFERROR(__xludf.DUMMYFUNCTION("""COMPUTED_VALUE"""),1927.8)</f>
        <v>1927.8</v>
      </c>
      <c r="F1189" s="3">
        <f>IFERROR(__xludf.DUMMYFUNCTION("""COMPUTED_VALUE"""),0.0)</f>
        <v>0</v>
      </c>
    </row>
    <row r="1190">
      <c r="A1190" s="7">
        <f>IFERROR(__xludf.DUMMYFUNCTION("""COMPUTED_VALUE"""),38461.645833333336)</f>
        <v>38461.64583</v>
      </c>
      <c r="B1190" s="3">
        <f>IFERROR(__xludf.DUMMYFUNCTION("""COMPUTED_VALUE"""),1927.9)</f>
        <v>1927.9</v>
      </c>
      <c r="C1190" s="3">
        <f>IFERROR(__xludf.DUMMYFUNCTION("""COMPUTED_VALUE"""),1961.15)</f>
        <v>1961.15</v>
      </c>
      <c r="D1190" s="3">
        <f>IFERROR(__xludf.DUMMYFUNCTION("""COMPUTED_VALUE"""),1902.8)</f>
        <v>1902.8</v>
      </c>
      <c r="E1190" s="3">
        <f>IFERROR(__xludf.DUMMYFUNCTION("""COMPUTED_VALUE"""),1909.4)</f>
        <v>1909.4</v>
      </c>
      <c r="F1190" s="3">
        <f>IFERROR(__xludf.DUMMYFUNCTION("""COMPUTED_VALUE"""),0.0)</f>
        <v>0</v>
      </c>
    </row>
    <row r="1191">
      <c r="A1191" s="7">
        <f>IFERROR(__xludf.DUMMYFUNCTION("""COMPUTED_VALUE"""),38462.645833333336)</f>
        <v>38462.64583</v>
      </c>
      <c r="B1191" s="3">
        <f>IFERROR(__xludf.DUMMYFUNCTION("""COMPUTED_VALUE"""),1908.5)</f>
        <v>1908.5</v>
      </c>
      <c r="C1191" s="3">
        <f>IFERROR(__xludf.DUMMYFUNCTION("""COMPUTED_VALUE"""),1941.85)</f>
        <v>1941.85</v>
      </c>
      <c r="D1191" s="3">
        <f>IFERROR(__xludf.DUMMYFUNCTION("""COMPUTED_VALUE"""),1902.9)</f>
        <v>1902.9</v>
      </c>
      <c r="E1191" s="3">
        <f>IFERROR(__xludf.DUMMYFUNCTION("""COMPUTED_VALUE"""),1929.7)</f>
        <v>1929.7</v>
      </c>
      <c r="F1191" s="3">
        <f>IFERROR(__xludf.DUMMYFUNCTION("""COMPUTED_VALUE"""),0.0)</f>
        <v>0</v>
      </c>
    </row>
    <row r="1192">
      <c r="A1192" s="7">
        <f>IFERROR(__xludf.DUMMYFUNCTION("""COMPUTED_VALUE"""),38463.645833333336)</f>
        <v>38463.64583</v>
      </c>
      <c r="B1192" s="3">
        <f>IFERROR(__xludf.DUMMYFUNCTION("""COMPUTED_VALUE"""),1930.5)</f>
        <v>1930.5</v>
      </c>
      <c r="C1192" s="3">
        <f>IFERROR(__xludf.DUMMYFUNCTION("""COMPUTED_VALUE"""),1950.0)</f>
        <v>1950</v>
      </c>
      <c r="D1192" s="3">
        <f>IFERROR(__xludf.DUMMYFUNCTION("""COMPUTED_VALUE"""),1911.4)</f>
        <v>1911.4</v>
      </c>
      <c r="E1192" s="3">
        <f>IFERROR(__xludf.DUMMYFUNCTION("""COMPUTED_VALUE"""),1948.55)</f>
        <v>1948.55</v>
      </c>
      <c r="F1192" s="3">
        <f>IFERROR(__xludf.DUMMYFUNCTION("""COMPUTED_VALUE"""),0.0)</f>
        <v>0</v>
      </c>
    </row>
    <row r="1193">
      <c r="A1193" s="7">
        <f>IFERROR(__xludf.DUMMYFUNCTION("""COMPUTED_VALUE"""),38464.645833333336)</f>
        <v>38464.64583</v>
      </c>
      <c r="B1193" s="3">
        <f>IFERROR(__xludf.DUMMYFUNCTION("""COMPUTED_VALUE"""),1950.6)</f>
        <v>1950.6</v>
      </c>
      <c r="C1193" s="3">
        <f>IFERROR(__xludf.DUMMYFUNCTION("""COMPUTED_VALUE"""),1972.95)</f>
        <v>1972.95</v>
      </c>
      <c r="D1193" s="3">
        <f>IFERROR(__xludf.DUMMYFUNCTION("""COMPUTED_VALUE"""),1950.0)</f>
        <v>1950</v>
      </c>
      <c r="E1193" s="3">
        <f>IFERROR(__xludf.DUMMYFUNCTION("""COMPUTED_VALUE"""),1967.35)</f>
        <v>1967.35</v>
      </c>
      <c r="F1193" s="3">
        <f>IFERROR(__xludf.DUMMYFUNCTION("""COMPUTED_VALUE"""),0.0)</f>
        <v>0</v>
      </c>
    </row>
    <row r="1194">
      <c r="A1194" s="7">
        <f>IFERROR(__xludf.DUMMYFUNCTION("""COMPUTED_VALUE"""),38467.645833333336)</f>
        <v>38467.64583</v>
      </c>
      <c r="B1194" s="3">
        <f>IFERROR(__xludf.DUMMYFUNCTION("""COMPUTED_VALUE"""),1968.45)</f>
        <v>1968.45</v>
      </c>
      <c r="C1194" s="3">
        <f>IFERROR(__xludf.DUMMYFUNCTION("""COMPUTED_VALUE"""),1974.2)</f>
        <v>1974.2</v>
      </c>
      <c r="D1194" s="3">
        <f>IFERROR(__xludf.DUMMYFUNCTION("""COMPUTED_VALUE"""),1952.4)</f>
        <v>1952.4</v>
      </c>
      <c r="E1194" s="3">
        <f>IFERROR(__xludf.DUMMYFUNCTION("""COMPUTED_VALUE"""),1970.95)</f>
        <v>1970.95</v>
      </c>
      <c r="F1194" s="3">
        <f>IFERROR(__xludf.DUMMYFUNCTION("""COMPUTED_VALUE"""),0.0)</f>
        <v>0</v>
      </c>
    </row>
    <row r="1195">
      <c r="A1195" s="7">
        <f>IFERROR(__xludf.DUMMYFUNCTION("""COMPUTED_VALUE"""),38468.645833333336)</f>
        <v>38468.64583</v>
      </c>
      <c r="B1195" s="3">
        <f>IFERROR(__xludf.DUMMYFUNCTION("""COMPUTED_VALUE"""),1971.05)</f>
        <v>1971.05</v>
      </c>
      <c r="C1195" s="3">
        <f>IFERROR(__xludf.DUMMYFUNCTION("""COMPUTED_VALUE"""),1972.85)</f>
        <v>1972.85</v>
      </c>
      <c r="D1195" s="3">
        <f>IFERROR(__xludf.DUMMYFUNCTION("""COMPUTED_VALUE"""),1951.8)</f>
        <v>1951.8</v>
      </c>
      <c r="E1195" s="3">
        <f>IFERROR(__xludf.DUMMYFUNCTION("""COMPUTED_VALUE"""),1957.1)</f>
        <v>1957.1</v>
      </c>
      <c r="F1195" s="3">
        <f>IFERROR(__xludf.DUMMYFUNCTION("""COMPUTED_VALUE"""),0.0)</f>
        <v>0</v>
      </c>
    </row>
    <row r="1196">
      <c r="A1196" s="7">
        <f>IFERROR(__xludf.DUMMYFUNCTION("""COMPUTED_VALUE"""),38469.645833333336)</f>
        <v>38469.64583</v>
      </c>
      <c r="B1196" s="3">
        <f>IFERROR(__xludf.DUMMYFUNCTION("""COMPUTED_VALUE"""),1959.45)</f>
        <v>1959.45</v>
      </c>
      <c r="C1196" s="3">
        <f>IFERROR(__xludf.DUMMYFUNCTION("""COMPUTED_VALUE"""),1962.2)</f>
        <v>1962.2</v>
      </c>
      <c r="D1196" s="3">
        <f>IFERROR(__xludf.DUMMYFUNCTION("""COMPUTED_VALUE"""),1930.35)</f>
        <v>1930.35</v>
      </c>
      <c r="E1196" s="3">
        <f>IFERROR(__xludf.DUMMYFUNCTION("""COMPUTED_VALUE"""),1935.4)</f>
        <v>1935.4</v>
      </c>
      <c r="F1196" s="3">
        <f>IFERROR(__xludf.DUMMYFUNCTION("""COMPUTED_VALUE"""),0.0)</f>
        <v>0</v>
      </c>
    </row>
    <row r="1197">
      <c r="A1197" s="7">
        <f>IFERROR(__xludf.DUMMYFUNCTION("""COMPUTED_VALUE"""),38470.645833333336)</f>
        <v>38470.64583</v>
      </c>
      <c r="B1197" s="3">
        <f>IFERROR(__xludf.DUMMYFUNCTION("""COMPUTED_VALUE"""),1935.65)</f>
        <v>1935.65</v>
      </c>
      <c r="C1197" s="3">
        <f>IFERROR(__xludf.DUMMYFUNCTION("""COMPUTED_VALUE"""),1950.25)</f>
        <v>1950.25</v>
      </c>
      <c r="D1197" s="3">
        <f>IFERROR(__xludf.DUMMYFUNCTION("""COMPUTED_VALUE"""),1921.05)</f>
        <v>1921.05</v>
      </c>
      <c r="E1197" s="3">
        <f>IFERROR(__xludf.DUMMYFUNCTION("""COMPUTED_VALUE"""),1941.3)</f>
        <v>1941.3</v>
      </c>
      <c r="F1197" s="3">
        <f>IFERROR(__xludf.DUMMYFUNCTION("""COMPUTED_VALUE"""),0.0)</f>
        <v>0</v>
      </c>
    </row>
    <row r="1198">
      <c r="A1198" s="7">
        <f>IFERROR(__xludf.DUMMYFUNCTION("""COMPUTED_VALUE"""),38471.645833333336)</f>
        <v>38471.64583</v>
      </c>
      <c r="B1198" s="3">
        <f>IFERROR(__xludf.DUMMYFUNCTION("""COMPUTED_VALUE"""),1943.2)</f>
        <v>1943.2</v>
      </c>
      <c r="C1198" s="3">
        <f>IFERROR(__xludf.DUMMYFUNCTION("""COMPUTED_VALUE"""),1943.2)</f>
        <v>1943.2</v>
      </c>
      <c r="D1198" s="3">
        <f>IFERROR(__xludf.DUMMYFUNCTION("""COMPUTED_VALUE"""),1896.3)</f>
        <v>1896.3</v>
      </c>
      <c r="E1198" s="3">
        <f>IFERROR(__xludf.DUMMYFUNCTION("""COMPUTED_VALUE"""),1902.5)</f>
        <v>1902.5</v>
      </c>
      <c r="F1198" s="3">
        <f>IFERROR(__xludf.DUMMYFUNCTION("""COMPUTED_VALUE"""),0.0)</f>
        <v>0</v>
      </c>
    </row>
    <row r="1199">
      <c r="A1199" s="7">
        <f>IFERROR(__xludf.DUMMYFUNCTION("""COMPUTED_VALUE"""),38474.645833333336)</f>
        <v>38474.64583</v>
      </c>
      <c r="B1199" s="3">
        <f>IFERROR(__xludf.DUMMYFUNCTION("""COMPUTED_VALUE"""),1903.1)</f>
        <v>1903.1</v>
      </c>
      <c r="C1199" s="3">
        <f>IFERROR(__xludf.DUMMYFUNCTION("""COMPUTED_VALUE"""),1925.6)</f>
        <v>1925.6</v>
      </c>
      <c r="D1199" s="3">
        <f>IFERROR(__xludf.DUMMYFUNCTION("""COMPUTED_VALUE"""),1898.15)</f>
        <v>1898.15</v>
      </c>
      <c r="E1199" s="3">
        <f>IFERROR(__xludf.DUMMYFUNCTION("""COMPUTED_VALUE"""),1916.75)</f>
        <v>1916.75</v>
      </c>
      <c r="F1199" s="3">
        <f>IFERROR(__xludf.DUMMYFUNCTION("""COMPUTED_VALUE"""),0.0)</f>
        <v>0</v>
      </c>
    </row>
    <row r="1200">
      <c r="A1200" s="7">
        <f>IFERROR(__xludf.DUMMYFUNCTION("""COMPUTED_VALUE"""),38475.645833333336)</f>
        <v>38475.64583</v>
      </c>
      <c r="B1200" s="3">
        <f>IFERROR(__xludf.DUMMYFUNCTION("""COMPUTED_VALUE"""),1916.95)</f>
        <v>1916.95</v>
      </c>
      <c r="C1200" s="3">
        <f>IFERROR(__xludf.DUMMYFUNCTION("""COMPUTED_VALUE"""),1940.1)</f>
        <v>1940.1</v>
      </c>
      <c r="D1200" s="3">
        <f>IFERROR(__xludf.DUMMYFUNCTION("""COMPUTED_VALUE"""),1911.0)</f>
        <v>1911</v>
      </c>
      <c r="E1200" s="3">
        <f>IFERROR(__xludf.DUMMYFUNCTION("""COMPUTED_VALUE"""),1920.7)</f>
        <v>1920.7</v>
      </c>
      <c r="F1200" s="3">
        <f>IFERROR(__xludf.DUMMYFUNCTION("""COMPUTED_VALUE"""),0.0)</f>
        <v>0</v>
      </c>
    </row>
    <row r="1201">
      <c r="A1201" s="7">
        <f>IFERROR(__xludf.DUMMYFUNCTION("""COMPUTED_VALUE"""),38476.645833333336)</f>
        <v>38476.64583</v>
      </c>
      <c r="B1201" s="3">
        <f>IFERROR(__xludf.DUMMYFUNCTION("""COMPUTED_VALUE"""),1920.5)</f>
        <v>1920.5</v>
      </c>
      <c r="C1201" s="3">
        <f>IFERROR(__xludf.DUMMYFUNCTION("""COMPUTED_VALUE"""),1944.45)</f>
        <v>1944.45</v>
      </c>
      <c r="D1201" s="3">
        <f>IFERROR(__xludf.DUMMYFUNCTION("""COMPUTED_VALUE"""),1920.15)</f>
        <v>1920.15</v>
      </c>
      <c r="E1201" s="3">
        <f>IFERROR(__xludf.DUMMYFUNCTION("""COMPUTED_VALUE"""),1942.6)</f>
        <v>1942.6</v>
      </c>
      <c r="F1201" s="3">
        <f>IFERROR(__xludf.DUMMYFUNCTION("""COMPUTED_VALUE"""),0.0)</f>
        <v>0</v>
      </c>
    </row>
    <row r="1202">
      <c r="A1202" s="7">
        <f>IFERROR(__xludf.DUMMYFUNCTION("""COMPUTED_VALUE"""),38477.645833333336)</f>
        <v>38477.64583</v>
      </c>
      <c r="B1202" s="3">
        <f>IFERROR(__xludf.DUMMYFUNCTION("""COMPUTED_VALUE"""),1942.6)</f>
        <v>1942.6</v>
      </c>
      <c r="C1202" s="3">
        <f>IFERROR(__xludf.DUMMYFUNCTION("""COMPUTED_VALUE"""),1973.35)</f>
        <v>1973.35</v>
      </c>
      <c r="D1202" s="3">
        <f>IFERROR(__xludf.DUMMYFUNCTION("""COMPUTED_VALUE"""),1942.05)</f>
        <v>1942.05</v>
      </c>
      <c r="E1202" s="3">
        <f>IFERROR(__xludf.DUMMYFUNCTION("""COMPUTED_VALUE"""),1963.3)</f>
        <v>1963.3</v>
      </c>
      <c r="F1202" s="3">
        <f>IFERROR(__xludf.DUMMYFUNCTION("""COMPUTED_VALUE"""),0.0)</f>
        <v>0</v>
      </c>
    </row>
    <row r="1203">
      <c r="A1203" s="7">
        <f>IFERROR(__xludf.DUMMYFUNCTION("""COMPUTED_VALUE"""),38478.645833333336)</f>
        <v>38478.64583</v>
      </c>
      <c r="B1203" s="3">
        <f>IFERROR(__xludf.DUMMYFUNCTION("""COMPUTED_VALUE"""),1962.3)</f>
        <v>1962.3</v>
      </c>
      <c r="C1203" s="3">
        <f>IFERROR(__xludf.DUMMYFUNCTION("""COMPUTED_VALUE"""),1984.4)</f>
        <v>1984.4</v>
      </c>
      <c r="D1203" s="3">
        <f>IFERROR(__xludf.DUMMYFUNCTION("""COMPUTED_VALUE"""),1947.3)</f>
        <v>1947.3</v>
      </c>
      <c r="E1203" s="3">
        <f>IFERROR(__xludf.DUMMYFUNCTION("""COMPUTED_VALUE"""),1977.5)</f>
        <v>1977.5</v>
      </c>
      <c r="F1203" s="3">
        <f>IFERROR(__xludf.DUMMYFUNCTION("""COMPUTED_VALUE"""),0.0)</f>
        <v>0</v>
      </c>
    </row>
    <row r="1204">
      <c r="A1204" s="7">
        <f>IFERROR(__xludf.DUMMYFUNCTION("""COMPUTED_VALUE"""),38481.645833333336)</f>
        <v>38481.64583</v>
      </c>
      <c r="B1204" s="3">
        <f>IFERROR(__xludf.DUMMYFUNCTION("""COMPUTED_VALUE"""),1978.05)</f>
        <v>1978.05</v>
      </c>
      <c r="C1204" s="3">
        <f>IFERROR(__xludf.DUMMYFUNCTION("""COMPUTED_VALUE"""),2003.15)</f>
        <v>2003.15</v>
      </c>
      <c r="D1204" s="3">
        <f>IFERROR(__xludf.DUMMYFUNCTION("""COMPUTED_VALUE"""),1978.05)</f>
        <v>1978.05</v>
      </c>
      <c r="E1204" s="3">
        <f>IFERROR(__xludf.DUMMYFUNCTION("""COMPUTED_VALUE"""),2000.75)</f>
        <v>2000.75</v>
      </c>
      <c r="F1204" s="3">
        <f>IFERROR(__xludf.DUMMYFUNCTION("""COMPUTED_VALUE"""),0.0)</f>
        <v>0</v>
      </c>
    </row>
    <row r="1205">
      <c r="A1205" s="7">
        <f>IFERROR(__xludf.DUMMYFUNCTION("""COMPUTED_VALUE"""),38482.645833333336)</f>
        <v>38482.64583</v>
      </c>
      <c r="B1205" s="3">
        <f>IFERROR(__xludf.DUMMYFUNCTION("""COMPUTED_VALUE"""),2001.0)</f>
        <v>2001</v>
      </c>
      <c r="C1205" s="3">
        <f>IFERROR(__xludf.DUMMYFUNCTION("""COMPUTED_VALUE"""),2007.8)</f>
        <v>2007.8</v>
      </c>
      <c r="D1205" s="3">
        <f>IFERROR(__xludf.DUMMYFUNCTION("""COMPUTED_VALUE"""),1989.1)</f>
        <v>1989.1</v>
      </c>
      <c r="E1205" s="3">
        <f>IFERROR(__xludf.DUMMYFUNCTION("""COMPUTED_VALUE"""),1994.3)</f>
        <v>1994.3</v>
      </c>
      <c r="F1205" s="3">
        <f>IFERROR(__xludf.DUMMYFUNCTION("""COMPUTED_VALUE"""),0.0)</f>
        <v>0</v>
      </c>
    </row>
    <row r="1206">
      <c r="A1206" s="7">
        <f>IFERROR(__xludf.DUMMYFUNCTION("""COMPUTED_VALUE"""),38483.645833333336)</f>
        <v>38483.64583</v>
      </c>
      <c r="B1206" s="3">
        <f>IFERROR(__xludf.DUMMYFUNCTION("""COMPUTED_VALUE"""),1990.55)</f>
        <v>1990.55</v>
      </c>
      <c r="C1206" s="3">
        <f>IFERROR(__xludf.DUMMYFUNCTION("""COMPUTED_VALUE"""),1991.85)</f>
        <v>1991.85</v>
      </c>
      <c r="D1206" s="3">
        <f>IFERROR(__xludf.DUMMYFUNCTION("""COMPUTED_VALUE"""),1975.05)</f>
        <v>1975.05</v>
      </c>
      <c r="E1206" s="3">
        <f>IFERROR(__xludf.DUMMYFUNCTION("""COMPUTED_VALUE"""),1985.95)</f>
        <v>1985.95</v>
      </c>
      <c r="F1206" s="3">
        <f>IFERROR(__xludf.DUMMYFUNCTION("""COMPUTED_VALUE"""),0.0)</f>
        <v>0</v>
      </c>
    </row>
    <row r="1207">
      <c r="A1207" s="7">
        <f>IFERROR(__xludf.DUMMYFUNCTION("""COMPUTED_VALUE"""),38484.645833333336)</f>
        <v>38484.64583</v>
      </c>
      <c r="B1207" s="3">
        <f>IFERROR(__xludf.DUMMYFUNCTION("""COMPUTED_VALUE"""),1985.95)</f>
        <v>1985.95</v>
      </c>
      <c r="C1207" s="3">
        <f>IFERROR(__xludf.DUMMYFUNCTION("""COMPUTED_VALUE"""),1999.85)</f>
        <v>1999.85</v>
      </c>
      <c r="D1207" s="3">
        <f>IFERROR(__xludf.DUMMYFUNCTION("""COMPUTED_VALUE"""),1981.95)</f>
        <v>1981.95</v>
      </c>
      <c r="E1207" s="3">
        <f>IFERROR(__xludf.DUMMYFUNCTION("""COMPUTED_VALUE"""),1993.15)</f>
        <v>1993.15</v>
      </c>
      <c r="F1207" s="3">
        <f>IFERROR(__xludf.DUMMYFUNCTION("""COMPUTED_VALUE"""),0.0)</f>
        <v>0</v>
      </c>
    </row>
    <row r="1208">
      <c r="A1208" s="7">
        <f>IFERROR(__xludf.DUMMYFUNCTION("""COMPUTED_VALUE"""),38485.645833333336)</f>
        <v>38485.64583</v>
      </c>
      <c r="B1208" s="3">
        <f>IFERROR(__xludf.DUMMYFUNCTION("""COMPUTED_VALUE"""),1992.5)</f>
        <v>1992.5</v>
      </c>
      <c r="C1208" s="3">
        <f>IFERROR(__xludf.DUMMYFUNCTION("""COMPUTED_VALUE"""),1992.75)</f>
        <v>1992.75</v>
      </c>
      <c r="D1208" s="3">
        <f>IFERROR(__xludf.DUMMYFUNCTION("""COMPUTED_VALUE"""),1978.9)</f>
        <v>1978.9</v>
      </c>
      <c r="E1208" s="3">
        <f>IFERROR(__xludf.DUMMYFUNCTION("""COMPUTED_VALUE"""),1988.3)</f>
        <v>1988.3</v>
      </c>
      <c r="F1208" s="3">
        <f>IFERROR(__xludf.DUMMYFUNCTION("""COMPUTED_VALUE"""),0.0)</f>
        <v>0</v>
      </c>
    </row>
    <row r="1209">
      <c r="A1209" s="7">
        <f>IFERROR(__xludf.DUMMYFUNCTION("""COMPUTED_VALUE"""),38488.645833333336)</f>
        <v>38488.64583</v>
      </c>
      <c r="B1209" s="3">
        <f>IFERROR(__xludf.DUMMYFUNCTION("""COMPUTED_VALUE"""),1991.5)</f>
        <v>1991.5</v>
      </c>
      <c r="C1209" s="3">
        <f>IFERROR(__xludf.DUMMYFUNCTION("""COMPUTED_VALUE"""),2014.95)</f>
        <v>2014.95</v>
      </c>
      <c r="D1209" s="3">
        <f>IFERROR(__xludf.DUMMYFUNCTION("""COMPUTED_VALUE"""),1989.7)</f>
        <v>1989.7</v>
      </c>
      <c r="E1209" s="3">
        <f>IFERROR(__xludf.DUMMYFUNCTION("""COMPUTED_VALUE"""),2012.6)</f>
        <v>2012.6</v>
      </c>
      <c r="F1209" s="3">
        <f>IFERROR(__xludf.DUMMYFUNCTION("""COMPUTED_VALUE"""),0.0)</f>
        <v>0</v>
      </c>
    </row>
    <row r="1210">
      <c r="A1210" s="7">
        <f>IFERROR(__xludf.DUMMYFUNCTION("""COMPUTED_VALUE"""),38489.645833333336)</f>
        <v>38489.64583</v>
      </c>
      <c r="B1210" s="3">
        <f>IFERROR(__xludf.DUMMYFUNCTION("""COMPUTED_VALUE"""),2013.1)</f>
        <v>2013.1</v>
      </c>
      <c r="C1210" s="3">
        <f>IFERROR(__xludf.DUMMYFUNCTION("""COMPUTED_VALUE"""),2024.6)</f>
        <v>2024.6</v>
      </c>
      <c r="D1210" s="3">
        <f>IFERROR(__xludf.DUMMYFUNCTION("""COMPUTED_VALUE"""),1984.75)</f>
        <v>1984.75</v>
      </c>
      <c r="E1210" s="3">
        <f>IFERROR(__xludf.DUMMYFUNCTION("""COMPUTED_VALUE"""),1990.8)</f>
        <v>1990.8</v>
      </c>
      <c r="F1210" s="3">
        <f>IFERROR(__xludf.DUMMYFUNCTION("""COMPUTED_VALUE"""),0.0)</f>
        <v>0</v>
      </c>
    </row>
    <row r="1211">
      <c r="A1211" s="7">
        <f>IFERROR(__xludf.DUMMYFUNCTION("""COMPUTED_VALUE"""),38490.645833333336)</f>
        <v>38490.64583</v>
      </c>
      <c r="B1211" s="3">
        <f>IFERROR(__xludf.DUMMYFUNCTION("""COMPUTED_VALUE"""),1990.65)</f>
        <v>1990.65</v>
      </c>
      <c r="C1211" s="3">
        <f>IFERROR(__xludf.DUMMYFUNCTION("""COMPUTED_VALUE"""),1990.95)</f>
        <v>1990.95</v>
      </c>
      <c r="D1211" s="3">
        <f>IFERROR(__xludf.DUMMYFUNCTION("""COMPUTED_VALUE"""),1964.65)</f>
        <v>1964.65</v>
      </c>
      <c r="E1211" s="3">
        <f>IFERROR(__xludf.DUMMYFUNCTION("""COMPUTED_VALUE"""),1982.75)</f>
        <v>1982.75</v>
      </c>
      <c r="F1211" s="3">
        <f>IFERROR(__xludf.DUMMYFUNCTION("""COMPUTED_VALUE"""),0.0)</f>
        <v>0</v>
      </c>
    </row>
    <row r="1212">
      <c r="A1212" s="7">
        <f>IFERROR(__xludf.DUMMYFUNCTION("""COMPUTED_VALUE"""),38491.645833333336)</f>
        <v>38491.64583</v>
      </c>
      <c r="B1212" s="3">
        <f>IFERROR(__xludf.DUMMYFUNCTION("""COMPUTED_VALUE"""),1983.15)</f>
        <v>1983.15</v>
      </c>
      <c r="C1212" s="3">
        <f>IFERROR(__xludf.DUMMYFUNCTION("""COMPUTED_VALUE"""),2008.35)</f>
        <v>2008.35</v>
      </c>
      <c r="D1212" s="3">
        <f>IFERROR(__xludf.DUMMYFUNCTION("""COMPUTED_VALUE"""),1983.15)</f>
        <v>1983.15</v>
      </c>
      <c r="E1212" s="3">
        <f>IFERROR(__xludf.DUMMYFUNCTION("""COMPUTED_VALUE"""),1990.85)</f>
        <v>1990.85</v>
      </c>
      <c r="F1212" s="3">
        <f>IFERROR(__xludf.DUMMYFUNCTION("""COMPUTED_VALUE"""),0.0)</f>
        <v>0</v>
      </c>
    </row>
    <row r="1213">
      <c r="A1213" s="7">
        <f>IFERROR(__xludf.DUMMYFUNCTION("""COMPUTED_VALUE"""),38492.645833333336)</f>
        <v>38492.64583</v>
      </c>
      <c r="B1213" s="3">
        <f>IFERROR(__xludf.DUMMYFUNCTION("""COMPUTED_VALUE"""),1991.85)</f>
        <v>1991.85</v>
      </c>
      <c r="C1213" s="3">
        <f>IFERROR(__xludf.DUMMYFUNCTION("""COMPUTED_VALUE"""),1998.2)</f>
        <v>1998.2</v>
      </c>
      <c r="D1213" s="3">
        <f>IFERROR(__xludf.DUMMYFUNCTION("""COMPUTED_VALUE"""),1975.95)</f>
        <v>1975.95</v>
      </c>
      <c r="E1213" s="3">
        <f>IFERROR(__xludf.DUMMYFUNCTION("""COMPUTED_VALUE"""),1992.4)</f>
        <v>1992.4</v>
      </c>
      <c r="F1213" s="3">
        <f>IFERROR(__xludf.DUMMYFUNCTION("""COMPUTED_VALUE"""),0.0)</f>
        <v>0</v>
      </c>
    </row>
    <row r="1214">
      <c r="A1214" s="7">
        <f>IFERROR(__xludf.DUMMYFUNCTION("""COMPUTED_VALUE"""),38495.645833333336)</f>
        <v>38495.64583</v>
      </c>
      <c r="B1214" s="3">
        <f>IFERROR(__xludf.DUMMYFUNCTION("""COMPUTED_VALUE"""),1992.1)</f>
        <v>1992.1</v>
      </c>
      <c r="C1214" s="3">
        <f>IFERROR(__xludf.DUMMYFUNCTION("""COMPUTED_VALUE"""),2019.35)</f>
        <v>2019.35</v>
      </c>
      <c r="D1214" s="3">
        <f>IFERROR(__xludf.DUMMYFUNCTION("""COMPUTED_VALUE"""),1991.7)</f>
        <v>1991.7</v>
      </c>
      <c r="E1214" s="3">
        <f>IFERROR(__xludf.DUMMYFUNCTION("""COMPUTED_VALUE"""),2013.9)</f>
        <v>2013.9</v>
      </c>
      <c r="F1214" s="3">
        <f>IFERROR(__xludf.DUMMYFUNCTION("""COMPUTED_VALUE"""),0.0)</f>
        <v>0</v>
      </c>
    </row>
    <row r="1215">
      <c r="A1215" s="7">
        <f>IFERROR(__xludf.DUMMYFUNCTION("""COMPUTED_VALUE"""),38496.645833333336)</f>
        <v>38496.64583</v>
      </c>
      <c r="B1215" s="3">
        <f>IFERROR(__xludf.DUMMYFUNCTION("""COMPUTED_VALUE"""),2016.0)</f>
        <v>2016</v>
      </c>
      <c r="C1215" s="3">
        <f>IFERROR(__xludf.DUMMYFUNCTION("""COMPUTED_VALUE"""),2031.9)</f>
        <v>2031.9</v>
      </c>
      <c r="D1215" s="3">
        <f>IFERROR(__xludf.DUMMYFUNCTION("""COMPUTED_VALUE"""),2009.55)</f>
        <v>2009.55</v>
      </c>
      <c r="E1215" s="3">
        <f>IFERROR(__xludf.DUMMYFUNCTION("""COMPUTED_VALUE"""),2028.6)</f>
        <v>2028.6</v>
      </c>
      <c r="F1215" s="3">
        <f>IFERROR(__xludf.DUMMYFUNCTION("""COMPUTED_VALUE"""),0.0)</f>
        <v>0</v>
      </c>
    </row>
    <row r="1216">
      <c r="A1216" s="7">
        <f>IFERROR(__xludf.DUMMYFUNCTION("""COMPUTED_VALUE"""),38497.645833333336)</f>
        <v>38497.64583</v>
      </c>
      <c r="B1216" s="3">
        <f>IFERROR(__xludf.DUMMYFUNCTION("""COMPUTED_VALUE"""),2028.55)</f>
        <v>2028.55</v>
      </c>
      <c r="C1216" s="3">
        <f>IFERROR(__xludf.DUMMYFUNCTION("""COMPUTED_VALUE"""),2047.45)</f>
        <v>2047.45</v>
      </c>
      <c r="D1216" s="3">
        <f>IFERROR(__xludf.DUMMYFUNCTION("""COMPUTED_VALUE"""),2019.0)</f>
        <v>2019</v>
      </c>
      <c r="E1216" s="3">
        <f>IFERROR(__xludf.DUMMYFUNCTION("""COMPUTED_VALUE"""),2043.85)</f>
        <v>2043.85</v>
      </c>
      <c r="F1216" s="3">
        <f>IFERROR(__xludf.DUMMYFUNCTION("""COMPUTED_VALUE"""),0.0)</f>
        <v>0</v>
      </c>
    </row>
    <row r="1217">
      <c r="A1217" s="7">
        <f>IFERROR(__xludf.DUMMYFUNCTION("""COMPUTED_VALUE"""),38498.645833333336)</f>
        <v>38498.64583</v>
      </c>
      <c r="B1217" s="3">
        <f>IFERROR(__xludf.DUMMYFUNCTION("""COMPUTED_VALUE"""),2043.5)</f>
        <v>2043.5</v>
      </c>
      <c r="C1217" s="3">
        <f>IFERROR(__xludf.DUMMYFUNCTION("""COMPUTED_VALUE"""),2078.65)</f>
        <v>2078.65</v>
      </c>
      <c r="D1217" s="3">
        <f>IFERROR(__xludf.DUMMYFUNCTION("""COMPUTED_VALUE"""),2025.65)</f>
        <v>2025.65</v>
      </c>
      <c r="E1217" s="3">
        <f>IFERROR(__xludf.DUMMYFUNCTION("""COMPUTED_VALUE"""),2074.7)</f>
        <v>2074.7</v>
      </c>
      <c r="F1217" s="3">
        <f>IFERROR(__xludf.DUMMYFUNCTION("""COMPUTED_VALUE"""),0.0)</f>
        <v>0</v>
      </c>
    </row>
    <row r="1218">
      <c r="A1218" s="7">
        <f>IFERROR(__xludf.DUMMYFUNCTION("""COMPUTED_VALUE"""),38499.645833333336)</f>
        <v>38499.64583</v>
      </c>
      <c r="B1218" s="3">
        <f>IFERROR(__xludf.DUMMYFUNCTION("""COMPUTED_VALUE"""),2073.25)</f>
        <v>2073.25</v>
      </c>
      <c r="C1218" s="3">
        <f>IFERROR(__xludf.DUMMYFUNCTION("""COMPUTED_VALUE"""),2099.35)</f>
        <v>2099.35</v>
      </c>
      <c r="D1218" s="3">
        <f>IFERROR(__xludf.DUMMYFUNCTION("""COMPUTED_VALUE"""),2069.5)</f>
        <v>2069.5</v>
      </c>
      <c r="E1218" s="3">
        <f>IFERROR(__xludf.DUMMYFUNCTION("""COMPUTED_VALUE"""),2076.4)</f>
        <v>2076.4</v>
      </c>
      <c r="F1218" s="3">
        <f>IFERROR(__xludf.DUMMYFUNCTION("""COMPUTED_VALUE"""),0.0)</f>
        <v>0</v>
      </c>
    </row>
    <row r="1219">
      <c r="A1219" s="7">
        <f>IFERROR(__xludf.DUMMYFUNCTION("""COMPUTED_VALUE"""),38502.645833333336)</f>
        <v>38502.64583</v>
      </c>
      <c r="B1219" s="3">
        <f>IFERROR(__xludf.DUMMYFUNCTION("""COMPUTED_VALUE"""),2076.55)</f>
        <v>2076.55</v>
      </c>
      <c r="C1219" s="3">
        <f>IFERROR(__xludf.DUMMYFUNCTION("""COMPUTED_VALUE"""),2086.85)</f>
        <v>2086.85</v>
      </c>
      <c r="D1219" s="3">
        <f>IFERROR(__xludf.DUMMYFUNCTION("""COMPUTED_VALUE"""),2064.85)</f>
        <v>2064.85</v>
      </c>
      <c r="E1219" s="3">
        <f>IFERROR(__xludf.DUMMYFUNCTION("""COMPUTED_VALUE"""),2072.4)</f>
        <v>2072.4</v>
      </c>
      <c r="F1219" s="3">
        <f>IFERROR(__xludf.DUMMYFUNCTION("""COMPUTED_VALUE"""),0.0)</f>
        <v>0</v>
      </c>
    </row>
    <row r="1220">
      <c r="A1220" s="7">
        <f>IFERROR(__xludf.DUMMYFUNCTION("""COMPUTED_VALUE"""),38503.645833333336)</f>
        <v>38503.64583</v>
      </c>
      <c r="B1220" s="3">
        <f>IFERROR(__xludf.DUMMYFUNCTION("""COMPUTED_VALUE"""),2072.5)</f>
        <v>2072.5</v>
      </c>
      <c r="C1220" s="3">
        <f>IFERROR(__xludf.DUMMYFUNCTION("""COMPUTED_VALUE"""),2091.75)</f>
        <v>2091.75</v>
      </c>
      <c r="D1220" s="3">
        <f>IFERROR(__xludf.DUMMYFUNCTION("""COMPUTED_VALUE"""),2066.55)</f>
        <v>2066.55</v>
      </c>
      <c r="E1220" s="3">
        <f>IFERROR(__xludf.DUMMYFUNCTION("""COMPUTED_VALUE"""),2087.55)</f>
        <v>2087.55</v>
      </c>
      <c r="F1220" s="3">
        <f>IFERROR(__xludf.DUMMYFUNCTION("""COMPUTED_VALUE"""),0.0)</f>
        <v>0</v>
      </c>
    </row>
    <row r="1221">
      <c r="A1221" s="7">
        <f>IFERROR(__xludf.DUMMYFUNCTION("""COMPUTED_VALUE"""),38504.645833333336)</f>
        <v>38504.64583</v>
      </c>
      <c r="B1221" s="3">
        <f>IFERROR(__xludf.DUMMYFUNCTION("""COMPUTED_VALUE"""),2087.8)</f>
        <v>2087.8</v>
      </c>
      <c r="C1221" s="3">
        <f>IFERROR(__xludf.DUMMYFUNCTION("""COMPUTED_VALUE"""),2097.6)</f>
        <v>2097.6</v>
      </c>
      <c r="D1221" s="3">
        <f>IFERROR(__xludf.DUMMYFUNCTION("""COMPUTED_VALUE"""),2081.2)</f>
        <v>2081.2</v>
      </c>
      <c r="E1221" s="3">
        <f>IFERROR(__xludf.DUMMYFUNCTION("""COMPUTED_VALUE"""),2087.55)</f>
        <v>2087.55</v>
      </c>
      <c r="F1221" s="3">
        <f>IFERROR(__xludf.DUMMYFUNCTION("""COMPUTED_VALUE"""),0.0)</f>
        <v>0</v>
      </c>
    </row>
    <row r="1222">
      <c r="A1222" s="7">
        <f>IFERROR(__xludf.DUMMYFUNCTION("""COMPUTED_VALUE"""),38505.645833333336)</f>
        <v>38505.64583</v>
      </c>
      <c r="B1222" s="3">
        <f>IFERROR(__xludf.DUMMYFUNCTION("""COMPUTED_VALUE"""),2087.85)</f>
        <v>2087.85</v>
      </c>
      <c r="C1222" s="3">
        <f>IFERROR(__xludf.DUMMYFUNCTION("""COMPUTED_VALUE"""),2093.45)</f>
        <v>2093.45</v>
      </c>
      <c r="D1222" s="3">
        <f>IFERROR(__xludf.DUMMYFUNCTION("""COMPUTED_VALUE"""),2062.55)</f>
        <v>2062.55</v>
      </c>
      <c r="E1222" s="3">
        <f>IFERROR(__xludf.DUMMYFUNCTION("""COMPUTED_VALUE"""),2064.65)</f>
        <v>2064.65</v>
      </c>
      <c r="F1222" s="3">
        <f>IFERROR(__xludf.DUMMYFUNCTION("""COMPUTED_VALUE"""),0.0)</f>
        <v>0</v>
      </c>
    </row>
    <row r="1223">
      <c r="A1223" s="7">
        <f>IFERROR(__xludf.DUMMYFUNCTION("""COMPUTED_VALUE"""),38506.645833333336)</f>
        <v>38506.64583</v>
      </c>
      <c r="B1223" s="3">
        <f>IFERROR(__xludf.DUMMYFUNCTION("""COMPUTED_VALUE"""),2064.1)</f>
        <v>2064.1</v>
      </c>
      <c r="C1223" s="3">
        <f>IFERROR(__xludf.DUMMYFUNCTION("""COMPUTED_VALUE"""),2097.25)</f>
        <v>2097.25</v>
      </c>
      <c r="D1223" s="3">
        <f>IFERROR(__xludf.DUMMYFUNCTION("""COMPUTED_VALUE"""),2061.35)</f>
        <v>2061.35</v>
      </c>
      <c r="E1223" s="3">
        <f>IFERROR(__xludf.DUMMYFUNCTION("""COMPUTED_VALUE"""),2094.25)</f>
        <v>2094.25</v>
      </c>
      <c r="F1223" s="3">
        <f>IFERROR(__xludf.DUMMYFUNCTION("""COMPUTED_VALUE"""),0.0)</f>
        <v>0</v>
      </c>
    </row>
    <row r="1224">
      <c r="A1224" s="7">
        <f>IFERROR(__xludf.DUMMYFUNCTION("""COMPUTED_VALUE"""),38509.645833333336)</f>
        <v>38509.64583</v>
      </c>
      <c r="B1224" s="3">
        <f>IFERROR(__xludf.DUMMYFUNCTION("""COMPUTED_VALUE"""),2092.0)</f>
        <v>2092</v>
      </c>
      <c r="C1224" s="3">
        <f>IFERROR(__xludf.DUMMYFUNCTION("""COMPUTED_VALUE"""),2109.1)</f>
        <v>2109.1</v>
      </c>
      <c r="D1224" s="3">
        <f>IFERROR(__xludf.DUMMYFUNCTION("""COMPUTED_VALUE"""),2087.4)</f>
        <v>2087.4</v>
      </c>
      <c r="E1224" s="3">
        <f>IFERROR(__xludf.DUMMYFUNCTION("""COMPUTED_VALUE"""),2092.8)</f>
        <v>2092.8</v>
      </c>
      <c r="F1224" s="3">
        <f>IFERROR(__xludf.DUMMYFUNCTION("""COMPUTED_VALUE"""),0.0)</f>
        <v>0</v>
      </c>
    </row>
    <row r="1225">
      <c r="A1225" s="7">
        <f>IFERROR(__xludf.DUMMYFUNCTION("""COMPUTED_VALUE"""),38510.645833333336)</f>
        <v>38510.64583</v>
      </c>
      <c r="B1225" s="3">
        <f>IFERROR(__xludf.DUMMYFUNCTION("""COMPUTED_VALUE"""),2091.95)</f>
        <v>2091.95</v>
      </c>
      <c r="C1225" s="3">
        <f>IFERROR(__xludf.DUMMYFUNCTION("""COMPUTED_VALUE"""),2102.85)</f>
        <v>2102.85</v>
      </c>
      <c r="D1225" s="3">
        <f>IFERROR(__xludf.DUMMYFUNCTION("""COMPUTED_VALUE"""),2084.35)</f>
        <v>2084.35</v>
      </c>
      <c r="E1225" s="3">
        <f>IFERROR(__xludf.DUMMYFUNCTION("""COMPUTED_VALUE"""),2098.15)</f>
        <v>2098.15</v>
      </c>
      <c r="F1225" s="3">
        <f>IFERROR(__xludf.DUMMYFUNCTION("""COMPUTED_VALUE"""),0.0)</f>
        <v>0</v>
      </c>
    </row>
    <row r="1226">
      <c r="A1226" s="7">
        <f>IFERROR(__xludf.DUMMYFUNCTION("""COMPUTED_VALUE"""),38511.645833333336)</f>
        <v>38511.64583</v>
      </c>
      <c r="B1226" s="3">
        <f>IFERROR(__xludf.DUMMYFUNCTION("""COMPUTED_VALUE"""),2094.7)</f>
        <v>2094.7</v>
      </c>
      <c r="C1226" s="3">
        <f>IFERROR(__xludf.DUMMYFUNCTION("""COMPUTED_VALUE"""),2115.25)</f>
        <v>2115.25</v>
      </c>
      <c r="D1226" s="3">
        <f>IFERROR(__xludf.DUMMYFUNCTION("""COMPUTED_VALUE"""),2094.05)</f>
        <v>2094.05</v>
      </c>
      <c r="E1226" s="3">
        <f>IFERROR(__xludf.DUMMYFUNCTION("""COMPUTED_VALUE"""),2112.4)</f>
        <v>2112.4</v>
      </c>
      <c r="F1226" s="3">
        <f>IFERROR(__xludf.DUMMYFUNCTION("""COMPUTED_VALUE"""),0.0)</f>
        <v>0</v>
      </c>
    </row>
    <row r="1227">
      <c r="A1227" s="7">
        <f>IFERROR(__xludf.DUMMYFUNCTION("""COMPUTED_VALUE"""),38512.645833333336)</f>
        <v>38512.64583</v>
      </c>
      <c r="B1227" s="3">
        <f>IFERROR(__xludf.DUMMYFUNCTION("""COMPUTED_VALUE"""),2112.25)</f>
        <v>2112.25</v>
      </c>
      <c r="C1227" s="3">
        <f>IFERROR(__xludf.DUMMYFUNCTION("""COMPUTED_VALUE"""),2118.65)</f>
        <v>2118.65</v>
      </c>
      <c r="D1227" s="3">
        <f>IFERROR(__xludf.DUMMYFUNCTION("""COMPUTED_VALUE"""),2097.55)</f>
        <v>2097.55</v>
      </c>
      <c r="E1227" s="3">
        <f>IFERROR(__xludf.DUMMYFUNCTION("""COMPUTED_VALUE"""),2103.2)</f>
        <v>2103.2</v>
      </c>
      <c r="F1227" s="3">
        <f>IFERROR(__xludf.DUMMYFUNCTION("""COMPUTED_VALUE"""),0.0)</f>
        <v>0</v>
      </c>
    </row>
    <row r="1228">
      <c r="A1228" s="7">
        <f>IFERROR(__xludf.DUMMYFUNCTION("""COMPUTED_VALUE"""),38513.645833333336)</f>
        <v>38513.64583</v>
      </c>
      <c r="B1228" s="3">
        <f>IFERROR(__xludf.DUMMYFUNCTION("""COMPUTED_VALUE"""),2103.45)</f>
        <v>2103.45</v>
      </c>
      <c r="C1228" s="3">
        <f>IFERROR(__xludf.DUMMYFUNCTION("""COMPUTED_VALUE"""),2133.1)</f>
        <v>2133.1</v>
      </c>
      <c r="D1228" s="3">
        <f>IFERROR(__xludf.DUMMYFUNCTION("""COMPUTED_VALUE"""),2086.3)</f>
        <v>2086.3</v>
      </c>
      <c r="E1228" s="3">
        <f>IFERROR(__xludf.DUMMYFUNCTION("""COMPUTED_VALUE"""),2090.6)</f>
        <v>2090.6</v>
      </c>
      <c r="F1228" s="3">
        <f>IFERROR(__xludf.DUMMYFUNCTION("""COMPUTED_VALUE"""),0.0)</f>
        <v>0</v>
      </c>
    </row>
    <row r="1229">
      <c r="A1229" s="7">
        <f>IFERROR(__xludf.DUMMYFUNCTION("""COMPUTED_VALUE"""),38516.645833333336)</f>
        <v>38516.64583</v>
      </c>
      <c r="B1229" s="3">
        <f>IFERROR(__xludf.DUMMYFUNCTION("""COMPUTED_VALUE"""),2090.7)</f>
        <v>2090.7</v>
      </c>
      <c r="C1229" s="3">
        <f>IFERROR(__xludf.DUMMYFUNCTION("""COMPUTED_VALUE"""),2106.65)</f>
        <v>2106.65</v>
      </c>
      <c r="D1229" s="3">
        <f>IFERROR(__xludf.DUMMYFUNCTION("""COMPUTED_VALUE"""),2081.7)</f>
        <v>2081.7</v>
      </c>
      <c r="E1229" s="3">
        <f>IFERROR(__xludf.DUMMYFUNCTION("""COMPUTED_VALUE"""),2102.75)</f>
        <v>2102.75</v>
      </c>
      <c r="F1229" s="3">
        <f>IFERROR(__xludf.DUMMYFUNCTION("""COMPUTED_VALUE"""),0.0)</f>
        <v>0</v>
      </c>
    </row>
    <row r="1230">
      <c r="A1230" s="7">
        <f>IFERROR(__xludf.DUMMYFUNCTION("""COMPUTED_VALUE"""),38517.645833333336)</f>
        <v>38517.64583</v>
      </c>
      <c r="B1230" s="3">
        <f>IFERROR(__xludf.DUMMYFUNCTION("""COMPUTED_VALUE"""),2103.65)</f>
        <v>2103.65</v>
      </c>
      <c r="C1230" s="3">
        <f>IFERROR(__xludf.DUMMYFUNCTION("""COMPUTED_VALUE"""),2113.85)</f>
        <v>2113.85</v>
      </c>
      <c r="D1230" s="3">
        <f>IFERROR(__xludf.DUMMYFUNCTION("""COMPUTED_VALUE"""),2098.7)</f>
        <v>2098.7</v>
      </c>
      <c r="E1230" s="3">
        <f>IFERROR(__xludf.DUMMYFUNCTION("""COMPUTED_VALUE"""),2112.35)</f>
        <v>2112.35</v>
      </c>
      <c r="F1230" s="3">
        <f>IFERROR(__xludf.DUMMYFUNCTION("""COMPUTED_VALUE"""),0.0)</f>
        <v>0</v>
      </c>
    </row>
    <row r="1231">
      <c r="A1231" s="7">
        <f>IFERROR(__xludf.DUMMYFUNCTION("""COMPUTED_VALUE"""),38518.645833333336)</f>
        <v>38518.64583</v>
      </c>
      <c r="B1231" s="3">
        <f>IFERROR(__xludf.DUMMYFUNCTION("""COMPUTED_VALUE"""),2110.5)</f>
        <v>2110.5</v>
      </c>
      <c r="C1231" s="3">
        <f>IFERROR(__xludf.DUMMYFUNCTION("""COMPUTED_VALUE"""),2131.95)</f>
        <v>2131.95</v>
      </c>
      <c r="D1231" s="3">
        <f>IFERROR(__xludf.DUMMYFUNCTION("""COMPUTED_VALUE"""),2110.35)</f>
        <v>2110.35</v>
      </c>
      <c r="E1231" s="3">
        <f>IFERROR(__xludf.DUMMYFUNCTION("""COMPUTED_VALUE"""),2128.65)</f>
        <v>2128.65</v>
      </c>
      <c r="F1231" s="3">
        <f>IFERROR(__xludf.DUMMYFUNCTION("""COMPUTED_VALUE"""),0.0)</f>
        <v>0</v>
      </c>
    </row>
    <row r="1232">
      <c r="A1232" s="7">
        <f>IFERROR(__xludf.DUMMYFUNCTION("""COMPUTED_VALUE"""),38519.645833333336)</f>
        <v>38519.64583</v>
      </c>
      <c r="B1232" s="3">
        <f>IFERROR(__xludf.DUMMYFUNCTION("""COMPUTED_VALUE"""),2128.3)</f>
        <v>2128.3</v>
      </c>
      <c r="C1232" s="3">
        <f>IFERROR(__xludf.DUMMYFUNCTION("""COMPUTED_VALUE"""),2135.1)</f>
        <v>2135.1</v>
      </c>
      <c r="D1232" s="3">
        <f>IFERROR(__xludf.DUMMYFUNCTION("""COMPUTED_VALUE"""),2114.55)</f>
        <v>2114.55</v>
      </c>
      <c r="E1232" s="3">
        <f>IFERROR(__xludf.DUMMYFUNCTION("""COMPUTED_VALUE"""),2123.7)</f>
        <v>2123.7</v>
      </c>
      <c r="F1232" s="3">
        <f>IFERROR(__xludf.DUMMYFUNCTION("""COMPUTED_VALUE"""),0.0)</f>
        <v>0</v>
      </c>
    </row>
    <row r="1233">
      <c r="A1233" s="7">
        <f>IFERROR(__xludf.DUMMYFUNCTION("""COMPUTED_VALUE"""),38520.645833333336)</f>
        <v>38520.64583</v>
      </c>
      <c r="B1233" s="3">
        <f>IFERROR(__xludf.DUMMYFUNCTION("""COMPUTED_VALUE"""),2123.6)</f>
        <v>2123.6</v>
      </c>
      <c r="C1233" s="3">
        <f>IFERROR(__xludf.DUMMYFUNCTION("""COMPUTED_VALUE"""),2131.75)</f>
        <v>2131.75</v>
      </c>
      <c r="D1233" s="3">
        <f>IFERROR(__xludf.DUMMYFUNCTION("""COMPUTED_VALUE"""),2103.9)</f>
        <v>2103.9</v>
      </c>
      <c r="E1233" s="3">
        <f>IFERROR(__xludf.DUMMYFUNCTION("""COMPUTED_VALUE"""),2123.4)</f>
        <v>2123.4</v>
      </c>
      <c r="F1233" s="3">
        <f>IFERROR(__xludf.DUMMYFUNCTION("""COMPUTED_VALUE"""),0.0)</f>
        <v>0</v>
      </c>
    </row>
    <row r="1234">
      <c r="A1234" s="7">
        <f>IFERROR(__xludf.DUMMYFUNCTION("""COMPUTED_VALUE"""),38523.645833333336)</f>
        <v>38523.64583</v>
      </c>
      <c r="B1234" s="3">
        <f>IFERROR(__xludf.DUMMYFUNCTION("""COMPUTED_VALUE"""),2130.8)</f>
        <v>2130.8</v>
      </c>
      <c r="C1234" s="3">
        <f>IFERROR(__xludf.DUMMYFUNCTION("""COMPUTED_VALUE"""),2150.25)</f>
        <v>2150.25</v>
      </c>
      <c r="D1234" s="3">
        <f>IFERROR(__xludf.DUMMYFUNCTION("""COMPUTED_VALUE"""),2124.65)</f>
        <v>2124.65</v>
      </c>
      <c r="E1234" s="3">
        <f>IFERROR(__xludf.DUMMYFUNCTION("""COMPUTED_VALUE"""),2144.35)</f>
        <v>2144.35</v>
      </c>
      <c r="F1234" s="3">
        <f>IFERROR(__xludf.DUMMYFUNCTION("""COMPUTED_VALUE"""),0.0)</f>
        <v>0</v>
      </c>
    </row>
    <row r="1235">
      <c r="A1235" s="7">
        <f>IFERROR(__xludf.DUMMYFUNCTION("""COMPUTED_VALUE"""),38524.645833333336)</f>
        <v>38524.64583</v>
      </c>
      <c r="B1235" s="3">
        <f>IFERROR(__xludf.DUMMYFUNCTION("""COMPUTED_VALUE"""),2144.75)</f>
        <v>2144.75</v>
      </c>
      <c r="C1235" s="3">
        <f>IFERROR(__xludf.DUMMYFUNCTION("""COMPUTED_VALUE"""),2173.25)</f>
        <v>2173.25</v>
      </c>
      <c r="D1235" s="3">
        <f>IFERROR(__xludf.DUMMYFUNCTION("""COMPUTED_VALUE"""),2140.15)</f>
        <v>2140.15</v>
      </c>
      <c r="E1235" s="3">
        <f>IFERROR(__xludf.DUMMYFUNCTION("""COMPUTED_VALUE"""),2170.0)</f>
        <v>2170</v>
      </c>
      <c r="F1235" s="3">
        <f>IFERROR(__xludf.DUMMYFUNCTION("""COMPUTED_VALUE"""),0.0)</f>
        <v>0</v>
      </c>
    </row>
    <row r="1236">
      <c r="A1236" s="7">
        <f>IFERROR(__xludf.DUMMYFUNCTION("""COMPUTED_VALUE"""),38525.645833333336)</f>
        <v>38525.64583</v>
      </c>
      <c r="B1236" s="3">
        <f>IFERROR(__xludf.DUMMYFUNCTION("""COMPUTED_VALUE"""),2167.8)</f>
        <v>2167.8</v>
      </c>
      <c r="C1236" s="3">
        <f>IFERROR(__xludf.DUMMYFUNCTION("""COMPUTED_VALUE"""),2196.45)</f>
        <v>2196.45</v>
      </c>
      <c r="D1236" s="3">
        <f>IFERROR(__xludf.DUMMYFUNCTION("""COMPUTED_VALUE"""),2167.35)</f>
        <v>2167.35</v>
      </c>
      <c r="E1236" s="3">
        <f>IFERROR(__xludf.DUMMYFUNCTION("""COMPUTED_VALUE"""),2187.35)</f>
        <v>2187.35</v>
      </c>
      <c r="F1236" s="3">
        <f>IFERROR(__xludf.DUMMYFUNCTION("""COMPUTED_VALUE"""),0.0)</f>
        <v>0</v>
      </c>
    </row>
    <row r="1237">
      <c r="A1237" s="7">
        <f>IFERROR(__xludf.DUMMYFUNCTION("""COMPUTED_VALUE"""),38526.645833333336)</f>
        <v>38526.64583</v>
      </c>
      <c r="B1237" s="3">
        <f>IFERROR(__xludf.DUMMYFUNCTION("""COMPUTED_VALUE"""),2187.35)</f>
        <v>2187.35</v>
      </c>
      <c r="C1237" s="3">
        <f>IFERROR(__xludf.DUMMYFUNCTION("""COMPUTED_VALUE"""),2192.1)</f>
        <v>2192.1</v>
      </c>
      <c r="D1237" s="3">
        <f>IFERROR(__xludf.DUMMYFUNCTION("""COMPUTED_VALUE"""),2174.05)</f>
        <v>2174.05</v>
      </c>
      <c r="E1237" s="3">
        <f>IFERROR(__xludf.DUMMYFUNCTION("""COMPUTED_VALUE"""),2183.85)</f>
        <v>2183.85</v>
      </c>
      <c r="F1237" s="3">
        <f>IFERROR(__xludf.DUMMYFUNCTION("""COMPUTED_VALUE"""),0.0)</f>
        <v>0</v>
      </c>
    </row>
    <row r="1238">
      <c r="A1238" s="7">
        <f>IFERROR(__xludf.DUMMYFUNCTION("""COMPUTED_VALUE"""),38527.645833333336)</f>
        <v>38527.64583</v>
      </c>
      <c r="B1238" s="3">
        <f>IFERROR(__xludf.DUMMYFUNCTION("""COMPUTED_VALUE"""),2184.0)</f>
        <v>2184</v>
      </c>
      <c r="C1238" s="3">
        <f>IFERROR(__xludf.DUMMYFUNCTION("""COMPUTED_VALUE"""),2204.45)</f>
        <v>2204.45</v>
      </c>
      <c r="D1238" s="3">
        <f>IFERROR(__xludf.DUMMYFUNCTION("""COMPUTED_VALUE"""),2162.95)</f>
        <v>2162.95</v>
      </c>
      <c r="E1238" s="3">
        <f>IFERROR(__xludf.DUMMYFUNCTION("""COMPUTED_VALUE"""),2194.35)</f>
        <v>2194.35</v>
      </c>
      <c r="F1238" s="3">
        <f>IFERROR(__xludf.DUMMYFUNCTION("""COMPUTED_VALUE"""),0.0)</f>
        <v>0</v>
      </c>
    </row>
    <row r="1239">
      <c r="A1239" s="7">
        <f>IFERROR(__xludf.DUMMYFUNCTION("""COMPUTED_VALUE"""),38530.645833333336)</f>
        <v>38530.64583</v>
      </c>
      <c r="B1239" s="3">
        <f>IFERROR(__xludf.DUMMYFUNCTION("""COMPUTED_VALUE"""),2194.35)</f>
        <v>2194.35</v>
      </c>
      <c r="C1239" s="3">
        <f>IFERROR(__xludf.DUMMYFUNCTION("""COMPUTED_VALUE"""),2219.65)</f>
        <v>2219.65</v>
      </c>
      <c r="D1239" s="3">
        <f>IFERROR(__xludf.DUMMYFUNCTION("""COMPUTED_VALUE"""),2188.15)</f>
        <v>2188.15</v>
      </c>
      <c r="E1239" s="3">
        <f>IFERROR(__xludf.DUMMYFUNCTION("""COMPUTED_VALUE"""),2199.8)</f>
        <v>2199.8</v>
      </c>
      <c r="F1239" s="3">
        <f>IFERROR(__xludf.DUMMYFUNCTION("""COMPUTED_VALUE"""),0.0)</f>
        <v>0</v>
      </c>
    </row>
    <row r="1240">
      <c r="A1240" s="7">
        <f>IFERROR(__xludf.DUMMYFUNCTION("""COMPUTED_VALUE"""),38531.645833333336)</f>
        <v>38531.64583</v>
      </c>
      <c r="B1240" s="3">
        <f>IFERROR(__xludf.DUMMYFUNCTION("""COMPUTED_VALUE"""),2199.8)</f>
        <v>2199.8</v>
      </c>
      <c r="C1240" s="3">
        <f>IFERROR(__xludf.DUMMYFUNCTION("""COMPUTED_VALUE"""),2206.8)</f>
        <v>2206.8</v>
      </c>
      <c r="D1240" s="3">
        <f>IFERROR(__xludf.DUMMYFUNCTION("""COMPUTED_VALUE"""),2165.9)</f>
        <v>2165.9</v>
      </c>
      <c r="E1240" s="3">
        <f>IFERROR(__xludf.DUMMYFUNCTION("""COMPUTED_VALUE"""),2169.85)</f>
        <v>2169.85</v>
      </c>
      <c r="F1240" s="3">
        <f>IFERROR(__xludf.DUMMYFUNCTION("""COMPUTED_VALUE"""),0.0)</f>
        <v>0</v>
      </c>
    </row>
    <row r="1241">
      <c r="A1241" s="7">
        <f>IFERROR(__xludf.DUMMYFUNCTION("""COMPUTED_VALUE"""),38532.645833333336)</f>
        <v>38532.64583</v>
      </c>
      <c r="B1241" s="3">
        <f>IFERROR(__xludf.DUMMYFUNCTION("""COMPUTED_VALUE"""),2170.2)</f>
        <v>2170.2</v>
      </c>
      <c r="C1241" s="3">
        <f>IFERROR(__xludf.DUMMYFUNCTION("""COMPUTED_VALUE"""),2194.25)</f>
        <v>2194.25</v>
      </c>
      <c r="D1241" s="3">
        <f>IFERROR(__xludf.DUMMYFUNCTION("""COMPUTED_VALUE"""),2162.0)</f>
        <v>2162</v>
      </c>
      <c r="E1241" s="3">
        <f>IFERROR(__xludf.DUMMYFUNCTION("""COMPUTED_VALUE"""),2191.65)</f>
        <v>2191.65</v>
      </c>
      <c r="F1241" s="3">
        <f>IFERROR(__xludf.DUMMYFUNCTION("""COMPUTED_VALUE"""),0.0)</f>
        <v>0</v>
      </c>
    </row>
    <row r="1242">
      <c r="A1242" s="7">
        <f>IFERROR(__xludf.DUMMYFUNCTION("""COMPUTED_VALUE"""),38533.645833333336)</f>
        <v>38533.64583</v>
      </c>
      <c r="B1242" s="3">
        <f>IFERROR(__xludf.DUMMYFUNCTION("""COMPUTED_VALUE"""),2191.55)</f>
        <v>2191.55</v>
      </c>
      <c r="C1242" s="3">
        <f>IFERROR(__xludf.DUMMYFUNCTION("""COMPUTED_VALUE"""),2226.15)</f>
        <v>2226.15</v>
      </c>
      <c r="D1242" s="3">
        <f>IFERROR(__xludf.DUMMYFUNCTION("""COMPUTED_VALUE"""),2189.45)</f>
        <v>2189.45</v>
      </c>
      <c r="E1242" s="3">
        <f>IFERROR(__xludf.DUMMYFUNCTION("""COMPUTED_VALUE"""),2220.6)</f>
        <v>2220.6</v>
      </c>
      <c r="F1242" s="3">
        <f>IFERROR(__xludf.DUMMYFUNCTION("""COMPUTED_VALUE"""),0.0)</f>
        <v>0</v>
      </c>
    </row>
    <row r="1243">
      <c r="A1243" s="7">
        <f>IFERROR(__xludf.DUMMYFUNCTION("""COMPUTED_VALUE"""),38534.645833333336)</f>
        <v>38534.64583</v>
      </c>
      <c r="B1243" s="3">
        <f>IFERROR(__xludf.DUMMYFUNCTION("""COMPUTED_VALUE"""),2220.45)</f>
        <v>2220.45</v>
      </c>
      <c r="C1243" s="3">
        <f>IFERROR(__xludf.DUMMYFUNCTION("""COMPUTED_VALUE"""),2220.55)</f>
        <v>2220.55</v>
      </c>
      <c r="D1243" s="3">
        <f>IFERROR(__xludf.DUMMYFUNCTION("""COMPUTED_VALUE"""),2198.9)</f>
        <v>2198.9</v>
      </c>
      <c r="E1243" s="3">
        <f>IFERROR(__xludf.DUMMYFUNCTION("""COMPUTED_VALUE"""),2211.9)</f>
        <v>2211.9</v>
      </c>
      <c r="F1243" s="3">
        <f>IFERROR(__xludf.DUMMYFUNCTION("""COMPUTED_VALUE"""),0.0)</f>
        <v>0</v>
      </c>
    </row>
    <row r="1244">
      <c r="A1244" s="7">
        <f>IFERROR(__xludf.DUMMYFUNCTION("""COMPUTED_VALUE"""),38537.645833333336)</f>
        <v>38537.64583</v>
      </c>
      <c r="B1244" s="3">
        <f>IFERROR(__xludf.DUMMYFUNCTION("""COMPUTED_VALUE"""),2212.05)</f>
        <v>2212.05</v>
      </c>
      <c r="C1244" s="3">
        <f>IFERROR(__xludf.DUMMYFUNCTION("""COMPUTED_VALUE"""),2232.2)</f>
        <v>2232.2</v>
      </c>
      <c r="D1244" s="3">
        <f>IFERROR(__xludf.DUMMYFUNCTION("""COMPUTED_VALUE"""),2211.4)</f>
        <v>2211.4</v>
      </c>
      <c r="E1244" s="3">
        <f>IFERROR(__xludf.DUMMYFUNCTION("""COMPUTED_VALUE"""),2230.65)</f>
        <v>2230.65</v>
      </c>
      <c r="F1244" s="3">
        <f>IFERROR(__xludf.DUMMYFUNCTION("""COMPUTED_VALUE"""),0.0)</f>
        <v>0</v>
      </c>
    </row>
    <row r="1245">
      <c r="A1245" s="7">
        <f>IFERROR(__xludf.DUMMYFUNCTION("""COMPUTED_VALUE"""),38538.645833333336)</f>
        <v>38538.64583</v>
      </c>
      <c r="B1245" s="3">
        <f>IFERROR(__xludf.DUMMYFUNCTION("""COMPUTED_VALUE"""),2231.2)</f>
        <v>2231.2</v>
      </c>
      <c r="C1245" s="3">
        <f>IFERROR(__xludf.DUMMYFUNCTION("""COMPUTED_VALUE"""),2238.6)</f>
        <v>2238.6</v>
      </c>
      <c r="D1245" s="3">
        <f>IFERROR(__xludf.DUMMYFUNCTION("""COMPUTED_VALUE"""),2205.1)</f>
        <v>2205.1</v>
      </c>
      <c r="E1245" s="3">
        <f>IFERROR(__xludf.DUMMYFUNCTION("""COMPUTED_VALUE"""),2210.75)</f>
        <v>2210.75</v>
      </c>
      <c r="F1245" s="3">
        <f>IFERROR(__xludf.DUMMYFUNCTION("""COMPUTED_VALUE"""),0.0)</f>
        <v>0</v>
      </c>
    </row>
    <row r="1246">
      <c r="A1246" s="7">
        <f>IFERROR(__xludf.DUMMYFUNCTION("""COMPUTED_VALUE"""),38539.645833333336)</f>
        <v>38539.64583</v>
      </c>
      <c r="B1246" s="3">
        <f>IFERROR(__xludf.DUMMYFUNCTION("""COMPUTED_VALUE"""),2211.35)</f>
        <v>2211.35</v>
      </c>
      <c r="C1246" s="3">
        <f>IFERROR(__xludf.DUMMYFUNCTION("""COMPUTED_VALUE"""),2232.65)</f>
        <v>2232.65</v>
      </c>
      <c r="D1246" s="3">
        <f>IFERROR(__xludf.DUMMYFUNCTION("""COMPUTED_VALUE"""),2211.3)</f>
        <v>2211.3</v>
      </c>
      <c r="E1246" s="3">
        <f>IFERROR(__xludf.DUMMYFUNCTION("""COMPUTED_VALUE"""),2228.2)</f>
        <v>2228.2</v>
      </c>
      <c r="F1246" s="3">
        <f>IFERROR(__xludf.DUMMYFUNCTION("""COMPUTED_VALUE"""),0.0)</f>
        <v>0</v>
      </c>
    </row>
    <row r="1247">
      <c r="A1247" s="7">
        <f>IFERROR(__xludf.DUMMYFUNCTION("""COMPUTED_VALUE"""),38540.645833333336)</f>
        <v>38540.64583</v>
      </c>
      <c r="B1247" s="3">
        <f>IFERROR(__xludf.DUMMYFUNCTION("""COMPUTED_VALUE"""),2228.3)</f>
        <v>2228.3</v>
      </c>
      <c r="C1247" s="3">
        <f>IFERROR(__xludf.DUMMYFUNCTION("""COMPUTED_VALUE"""),2235.8)</f>
        <v>2235.8</v>
      </c>
      <c r="D1247" s="3">
        <f>IFERROR(__xludf.DUMMYFUNCTION("""COMPUTED_VALUE"""),2171.25)</f>
        <v>2171.25</v>
      </c>
      <c r="E1247" s="3">
        <f>IFERROR(__xludf.DUMMYFUNCTION("""COMPUTED_VALUE"""),2179.4)</f>
        <v>2179.4</v>
      </c>
      <c r="F1247" s="3">
        <f>IFERROR(__xludf.DUMMYFUNCTION("""COMPUTED_VALUE"""),0.0)</f>
        <v>0</v>
      </c>
    </row>
    <row r="1248">
      <c r="A1248" s="7">
        <f>IFERROR(__xludf.DUMMYFUNCTION("""COMPUTED_VALUE"""),38541.645833333336)</f>
        <v>38541.64583</v>
      </c>
      <c r="B1248" s="3">
        <f>IFERROR(__xludf.DUMMYFUNCTION("""COMPUTED_VALUE"""),2183.55)</f>
        <v>2183.55</v>
      </c>
      <c r="C1248" s="3">
        <f>IFERROR(__xludf.DUMMYFUNCTION("""COMPUTED_VALUE"""),2210.7)</f>
        <v>2210.7</v>
      </c>
      <c r="D1248" s="3">
        <f>IFERROR(__xludf.DUMMYFUNCTION("""COMPUTED_VALUE"""),2179.05)</f>
        <v>2179.05</v>
      </c>
      <c r="E1248" s="3">
        <f>IFERROR(__xludf.DUMMYFUNCTION("""COMPUTED_VALUE"""),2196.2)</f>
        <v>2196.2</v>
      </c>
      <c r="F1248" s="3">
        <f>IFERROR(__xludf.DUMMYFUNCTION("""COMPUTED_VALUE"""),0.0)</f>
        <v>0</v>
      </c>
    </row>
    <row r="1249">
      <c r="A1249" s="7">
        <f>IFERROR(__xludf.DUMMYFUNCTION("""COMPUTED_VALUE"""),38544.645833333336)</f>
        <v>38544.64583</v>
      </c>
      <c r="B1249" s="3">
        <f>IFERROR(__xludf.DUMMYFUNCTION("""COMPUTED_VALUE"""),2195.55)</f>
        <v>2195.55</v>
      </c>
      <c r="C1249" s="3">
        <f>IFERROR(__xludf.DUMMYFUNCTION("""COMPUTED_VALUE"""),2224.65)</f>
        <v>2224.65</v>
      </c>
      <c r="D1249" s="3">
        <f>IFERROR(__xludf.DUMMYFUNCTION("""COMPUTED_VALUE"""),2195.55)</f>
        <v>2195.55</v>
      </c>
      <c r="E1249" s="3">
        <f>IFERROR(__xludf.DUMMYFUNCTION("""COMPUTED_VALUE"""),2218.85)</f>
        <v>2218.85</v>
      </c>
      <c r="F1249" s="3">
        <f>IFERROR(__xludf.DUMMYFUNCTION("""COMPUTED_VALUE"""),0.0)</f>
        <v>0</v>
      </c>
    </row>
    <row r="1250">
      <c r="A1250" s="7">
        <f>IFERROR(__xludf.DUMMYFUNCTION("""COMPUTED_VALUE"""),38545.645833333336)</f>
        <v>38545.64583</v>
      </c>
      <c r="B1250" s="3">
        <f>IFERROR(__xludf.DUMMYFUNCTION("""COMPUTED_VALUE"""),2219.1)</f>
        <v>2219.1</v>
      </c>
      <c r="C1250" s="3">
        <f>IFERROR(__xludf.DUMMYFUNCTION("""COMPUTED_VALUE"""),2233.2)</f>
        <v>2233.2</v>
      </c>
      <c r="D1250" s="3">
        <f>IFERROR(__xludf.DUMMYFUNCTION("""COMPUTED_VALUE"""),2191.7)</f>
        <v>2191.7</v>
      </c>
      <c r="E1250" s="3">
        <f>IFERROR(__xludf.DUMMYFUNCTION("""COMPUTED_VALUE"""),2220.8)</f>
        <v>2220.8</v>
      </c>
      <c r="F1250" s="3">
        <f>IFERROR(__xludf.DUMMYFUNCTION("""COMPUTED_VALUE"""),0.0)</f>
        <v>0</v>
      </c>
    </row>
    <row r="1251">
      <c r="A1251" s="7">
        <f>IFERROR(__xludf.DUMMYFUNCTION("""COMPUTED_VALUE"""),38546.645833333336)</f>
        <v>38546.64583</v>
      </c>
      <c r="B1251" s="3">
        <f>IFERROR(__xludf.DUMMYFUNCTION("""COMPUTED_VALUE"""),2221.45)</f>
        <v>2221.45</v>
      </c>
      <c r="C1251" s="3">
        <f>IFERROR(__xludf.DUMMYFUNCTION("""COMPUTED_VALUE"""),2234.15)</f>
        <v>2234.15</v>
      </c>
      <c r="D1251" s="3">
        <f>IFERROR(__xludf.DUMMYFUNCTION("""COMPUTED_VALUE"""),2200.05)</f>
        <v>2200.05</v>
      </c>
      <c r="E1251" s="3">
        <f>IFERROR(__xludf.DUMMYFUNCTION("""COMPUTED_VALUE"""),2204.05)</f>
        <v>2204.05</v>
      </c>
      <c r="F1251" s="3">
        <f>IFERROR(__xludf.DUMMYFUNCTION("""COMPUTED_VALUE"""),0.0)</f>
        <v>0</v>
      </c>
    </row>
    <row r="1252">
      <c r="A1252" s="7">
        <f>IFERROR(__xludf.DUMMYFUNCTION("""COMPUTED_VALUE"""),38547.645833333336)</f>
        <v>38547.64583</v>
      </c>
      <c r="B1252" s="3">
        <f>IFERROR(__xludf.DUMMYFUNCTION("""COMPUTED_VALUE"""),2204.4)</f>
        <v>2204.4</v>
      </c>
      <c r="C1252" s="3">
        <f>IFERROR(__xludf.DUMMYFUNCTION("""COMPUTED_VALUE"""),2212.55)</f>
        <v>2212.55</v>
      </c>
      <c r="D1252" s="3">
        <f>IFERROR(__xludf.DUMMYFUNCTION("""COMPUTED_VALUE"""),2178.6)</f>
        <v>2178.6</v>
      </c>
      <c r="E1252" s="3">
        <f>IFERROR(__xludf.DUMMYFUNCTION("""COMPUTED_VALUE"""),2185.1)</f>
        <v>2185.1</v>
      </c>
      <c r="F1252" s="3">
        <f>IFERROR(__xludf.DUMMYFUNCTION("""COMPUTED_VALUE"""),0.0)</f>
        <v>0</v>
      </c>
    </row>
    <row r="1253">
      <c r="A1253" s="7">
        <f>IFERROR(__xludf.DUMMYFUNCTION("""COMPUTED_VALUE"""),38548.645833333336)</f>
        <v>38548.64583</v>
      </c>
      <c r="B1253" s="3">
        <f>IFERROR(__xludf.DUMMYFUNCTION("""COMPUTED_VALUE"""),2185.1)</f>
        <v>2185.1</v>
      </c>
      <c r="C1253" s="3">
        <f>IFERROR(__xludf.DUMMYFUNCTION("""COMPUTED_VALUE"""),2216.5)</f>
        <v>2216.5</v>
      </c>
      <c r="D1253" s="3">
        <f>IFERROR(__xludf.DUMMYFUNCTION("""COMPUTED_VALUE"""),2181.85)</f>
        <v>2181.85</v>
      </c>
      <c r="E1253" s="3">
        <f>IFERROR(__xludf.DUMMYFUNCTION("""COMPUTED_VALUE"""),2212.55)</f>
        <v>2212.55</v>
      </c>
      <c r="F1253" s="3">
        <f>IFERROR(__xludf.DUMMYFUNCTION("""COMPUTED_VALUE"""),0.0)</f>
        <v>0</v>
      </c>
    </row>
    <row r="1254">
      <c r="A1254" s="7">
        <f>IFERROR(__xludf.DUMMYFUNCTION("""COMPUTED_VALUE"""),38551.645833333336)</f>
        <v>38551.64583</v>
      </c>
      <c r="B1254" s="3">
        <f>IFERROR(__xludf.DUMMYFUNCTION("""COMPUTED_VALUE"""),2212.95)</f>
        <v>2212.95</v>
      </c>
      <c r="C1254" s="3">
        <f>IFERROR(__xludf.DUMMYFUNCTION("""COMPUTED_VALUE"""),2248.7)</f>
        <v>2248.7</v>
      </c>
      <c r="D1254" s="3">
        <f>IFERROR(__xludf.DUMMYFUNCTION("""COMPUTED_VALUE"""),2212.95)</f>
        <v>2212.95</v>
      </c>
      <c r="E1254" s="3">
        <f>IFERROR(__xludf.DUMMYFUNCTION("""COMPUTED_VALUE"""),2234.0)</f>
        <v>2234</v>
      </c>
      <c r="F1254" s="3">
        <f>IFERROR(__xludf.DUMMYFUNCTION("""COMPUTED_VALUE"""),0.0)</f>
        <v>0</v>
      </c>
    </row>
    <row r="1255">
      <c r="A1255" s="7">
        <f>IFERROR(__xludf.DUMMYFUNCTION("""COMPUTED_VALUE"""),38552.645833333336)</f>
        <v>38552.64583</v>
      </c>
      <c r="B1255" s="3">
        <f>IFERROR(__xludf.DUMMYFUNCTION("""COMPUTED_VALUE"""),2234.25)</f>
        <v>2234.25</v>
      </c>
      <c r="C1255" s="3">
        <f>IFERROR(__xludf.DUMMYFUNCTION("""COMPUTED_VALUE"""),2246.7)</f>
        <v>2246.7</v>
      </c>
      <c r="D1255" s="3">
        <f>IFERROR(__xludf.DUMMYFUNCTION("""COMPUTED_VALUE"""),2227.2)</f>
        <v>2227.2</v>
      </c>
      <c r="E1255" s="3">
        <f>IFERROR(__xludf.DUMMYFUNCTION("""COMPUTED_VALUE"""),2237.3)</f>
        <v>2237.3</v>
      </c>
      <c r="F1255" s="3">
        <f>IFERROR(__xludf.DUMMYFUNCTION("""COMPUTED_VALUE"""),0.0)</f>
        <v>0</v>
      </c>
    </row>
    <row r="1256">
      <c r="A1256" s="7">
        <f>IFERROR(__xludf.DUMMYFUNCTION("""COMPUTED_VALUE"""),38553.645833333336)</f>
        <v>38553.64583</v>
      </c>
      <c r="B1256" s="3">
        <f>IFERROR(__xludf.DUMMYFUNCTION("""COMPUTED_VALUE"""),2236.9)</f>
        <v>2236.9</v>
      </c>
      <c r="C1256" s="3">
        <f>IFERROR(__xludf.DUMMYFUNCTION("""COMPUTED_VALUE"""),2252.0)</f>
        <v>2252</v>
      </c>
      <c r="D1256" s="3">
        <f>IFERROR(__xludf.DUMMYFUNCTION("""COMPUTED_VALUE"""),2236.9)</f>
        <v>2236.9</v>
      </c>
      <c r="E1256" s="3">
        <f>IFERROR(__xludf.DUMMYFUNCTION("""COMPUTED_VALUE"""),2241.9)</f>
        <v>2241.9</v>
      </c>
      <c r="F1256" s="3">
        <f>IFERROR(__xludf.DUMMYFUNCTION("""COMPUTED_VALUE"""),0.0)</f>
        <v>0</v>
      </c>
    </row>
    <row r="1257">
      <c r="A1257" s="7">
        <f>IFERROR(__xludf.DUMMYFUNCTION("""COMPUTED_VALUE"""),38554.645833333336)</f>
        <v>38554.64583</v>
      </c>
      <c r="B1257" s="3">
        <f>IFERROR(__xludf.DUMMYFUNCTION("""COMPUTED_VALUE"""),2240.95)</f>
        <v>2240.95</v>
      </c>
      <c r="C1257" s="3">
        <f>IFERROR(__xludf.DUMMYFUNCTION("""COMPUTED_VALUE"""),2251.85)</f>
        <v>2251.85</v>
      </c>
      <c r="D1257" s="3">
        <f>IFERROR(__xludf.DUMMYFUNCTION("""COMPUTED_VALUE"""),2221.2)</f>
        <v>2221.2</v>
      </c>
      <c r="E1257" s="3">
        <f>IFERROR(__xludf.DUMMYFUNCTION("""COMPUTED_VALUE"""),2230.5)</f>
        <v>2230.5</v>
      </c>
      <c r="F1257" s="3">
        <f>IFERROR(__xludf.DUMMYFUNCTION("""COMPUTED_VALUE"""),0.0)</f>
        <v>0</v>
      </c>
    </row>
    <row r="1258">
      <c r="A1258" s="7">
        <f>IFERROR(__xludf.DUMMYFUNCTION("""COMPUTED_VALUE"""),38555.645833333336)</f>
        <v>38555.64583</v>
      </c>
      <c r="B1258" s="3">
        <f>IFERROR(__xludf.DUMMYFUNCTION("""COMPUTED_VALUE"""),2231.0)</f>
        <v>2231</v>
      </c>
      <c r="C1258" s="3">
        <f>IFERROR(__xludf.DUMMYFUNCTION("""COMPUTED_VALUE"""),2268.55)</f>
        <v>2268.55</v>
      </c>
      <c r="D1258" s="3">
        <f>IFERROR(__xludf.DUMMYFUNCTION("""COMPUTED_VALUE"""),2223.15)</f>
        <v>2223.15</v>
      </c>
      <c r="E1258" s="3">
        <f>IFERROR(__xludf.DUMMYFUNCTION("""COMPUTED_VALUE"""),2265.6)</f>
        <v>2265.6</v>
      </c>
      <c r="F1258" s="3">
        <f>IFERROR(__xludf.DUMMYFUNCTION("""COMPUTED_VALUE"""),0.0)</f>
        <v>0</v>
      </c>
    </row>
    <row r="1259">
      <c r="A1259" s="7">
        <f>IFERROR(__xludf.DUMMYFUNCTION("""COMPUTED_VALUE"""),38558.645833333336)</f>
        <v>38558.64583</v>
      </c>
      <c r="B1259" s="3">
        <f>IFERROR(__xludf.DUMMYFUNCTION("""COMPUTED_VALUE"""),2266.65)</f>
        <v>2266.65</v>
      </c>
      <c r="C1259" s="3">
        <f>IFERROR(__xludf.DUMMYFUNCTION("""COMPUTED_VALUE"""),2293.95)</f>
        <v>2293.95</v>
      </c>
      <c r="D1259" s="3">
        <f>IFERROR(__xludf.DUMMYFUNCTION("""COMPUTED_VALUE"""),2266.65)</f>
        <v>2266.65</v>
      </c>
      <c r="E1259" s="3">
        <f>IFERROR(__xludf.DUMMYFUNCTION("""COMPUTED_VALUE"""),2291.75)</f>
        <v>2291.75</v>
      </c>
      <c r="F1259" s="3">
        <f>IFERROR(__xludf.DUMMYFUNCTION("""COMPUTED_VALUE"""),0.0)</f>
        <v>0</v>
      </c>
    </row>
    <row r="1260">
      <c r="A1260" s="7">
        <f>IFERROR(__xludf.DUMMYFUNCTION("""COMPUTED_VALUE"""),38559.645833333336)</f>
        <v>38559.64583</v>
      </c>
      <c r="B1260" s="3">
        <f>IFERROR(__xludf.DUMMYFUNCTION("""COMPUTED_VALUE"""),2289.25)</f>
        <v>2289.25</v>
      </c>
      <c r="C1260" s="3">
        <f>IFERROR(__xludf.DUMMYFUNCTION("""COMPUTED_VALUE"""),2307.1)</f>
        <v>2307.1</v>
      </c>
      <c r="D1260" s="3">
        <f>IFERROR(__xludf.DUMMYFUNCTION("""COMPUTED_VALUE"""),2279.8)</f>
        <v>2279.8</v>
      </c>
      <c r="E1260" s="3">
        <f>IFERROR(__xludf.DUMMYFUNCTION("""COMPUTED_VALUE"""),2303.15)</f>
        <v>2303.15</v>
      </c>
      <c r="F1260" s="3">
        <f>IFERROR(__xludf.DUMMYFUNCTION("""COMPUTED_VALUE"""),0.0)</f>
        <v>0</v>
      </c>
    </row>
    <row r="1261">
      <c r="A1261" s="7">
        <f>IFERROR(__xludf.DUMMYFUNCTION("""COMPUTED_VALUE"""),38560.645833333336)</f>
        <v>38560.64583</v>
      </c>
      <c r="B1261" s="3">
        <f>IFERROR(__xludf.DUMMYFUNCTION("""COMPUTED_VALUE"""),2304.25)</f>
        <v>2304.25</v>
      </c>
      <c r="C1261" s="3">
        <f>IFERROR(__xludf.DUMMYFUNCTION("""COMPUTED_VALUE"""),2324.0)</f>
        <v>2324</v>
      </c>
      <c r="D1261" s="3">
        <f>IFERROR(__xludf.DUMMYFUNCTION("""COMPUTED_VALUE"""),2292.85)</f>
        <v>2292.85</v>
      </c>
      <c r="E1261" s="3">
        <f>IFERROR(__xludf.DUMMYFUNCTION("""COMPUTED_VALUE"""),2319.1)</f>
        <v>2319.1</v>
      </c>
      <c r="F1261" s="3">
        <f>IFERROR(__xludf.DUMMYFUNCTION("""COMPUTED_VALUE"""),0.0)</f>
        <v>0</v>
      </c>
    </row>
    <row r="1262">
      <c r="A1262" s="7">
        <f>IFERROR(__xludf.DUMMYFUNCTION("""COMPUTED_VALUE"""),38562.645833333336)</f>
        <v>38562.64583</v>
      </c>
      <c r="B1262" s="3">
        <f>IFERROR(__xludf.DUMMYFUNCTION("""COMPUTED_VALUE"""),2318.05)</f>
        <v>2318.05</v>
      </c>
      <c r="C1262" s="3">
        <f>IFERROR(__xludf.DUMMYFUNCTION("""COMPUTED_VALUE"""),2332.55)</f>
        <v>2332.55</v>
      </c>
      <c r="D1262" s="3">
        <f>IFERROR(__xludf.DUMMYFUNCTION("""COMPUTED_VALUE"""),2280.85)</f>
        <v>2280.85</v>
      </c>
      <c r="E1262" s="3">
        <f>IFERROR(__xludf.DUMMYFUNCTION("""COMPUTED_VALUE"""),2312.3)</f>
        <v>2312.3</v>
      </c>
      <c r="F1262" s="3">
        <f>IFERROR(__xludf.DUMMYFUNCTION("""COMPUTED_VALUE"""),0.0)</f>
        <v>0</v>
      </c>
    </row>
    <row r="1263">
      <c r="A1263" s="7">
        <f>IFERROR(__xludf.DUMMYFUNCTION("""COMPUTED_VALUE"""),38565.645833333336)</f>
        <v>38565.64583</v>
      </c>
      <c r="B1263" s="3">
        <f>IFERROR(__xludf.DUMMYFUNCTION("""COMPUTED_VALUE"""),2312.05)</f>
        <v>2312.05</v>
      </c>
      <c r="C1263" s="3">
        <f>IFERROR(__xludf.DUMMYFUNCTION("""COMPUTED_VALUE"""),2329.9)</f>
        <v>2329.9</v>
      </c>
      <c r="D1263" s="3">
        <f>IFERROR(__xludf.DUMMYFUNCTION("""COMPUTED_VALUE"""),2294.25)</f>
        <v>2294.25</v>
      </c>
      <c r="E1263" s="3">
        <f>IFERROR(__xludf.DUMMYFUNCTION("""COMPUTED_VALUE"""),2318.05)</f>
        <v>2318.05</v>
      </c>
      <c r="F1263" s="3">
        <f>IFERROR(__xludf.DUMMYFUNCTION("""COMPUTED_VALUE"""),0.0)</f>
        <v>0</v>
      </c>
    </row>
    <row r="1264">
      <c r="A1264" s="7">
        <f>IFERROR(__xludf.DUMMYFUNCTION("""COMPUTED_VALUE"""),38566.645833333336)</f>
        <v>38566.64583</v>
      </c>
      <c r="B1264" s="3">
        <f>IFERROR(__xludf.DUMMYFUNCTION("""COMPUTED_VALUE"""),2321.9)</f>
        <v>2321.9</v>
      </c>
      <c r="C1264" s="3">
        <f>IFERROR(__xludf.DUMMYFUNCTION("""COMPUTED_VALUE"""),2357.15)</f>
        <v>2357.15</v>
      </c>
      <c r="D1264" s="3">
        <f>IFERROR(__xludf.DUMMYFUNCTION("""COMPUTED_VALUE"""),2319.75)</f>
        <v>2319.75</v>
      </c>
      <c r="E1264" s="3">
        <f>IFERROR(__xludf.DUMMYFUNCTION("""COMPUTED_VALUE"""),2353.65)</f>
        <v>2353.65</v>
      </c>
      <c r="F1264" s="3">
        <f>IFERROR(__xludf.DUMMYFUNCTION("""COMPUTED_VALUE"""),0.0)</f>
        <v>0</v>
      </c>
    </row>
    <row r="1265">
      <c r="A1265" s="7">
        <f>IFERROR(__xludf.DUMMYFUNCTION("""COMPUTED_VALUE"""),38567.645833333336)</f>
        <v>38567.64583</v>
      </c>
      <c r="B1265" s="3">
        <f>IFERROR(__xludf.DUMMYFUNCTION("""COMPUTED_VALUE"""),2359.1)</f>
        <v>2359.1</v>
      </c>
      <c r="C1265" s="3">
        <f>IFERROR(__xludf.DUMMYFUNCTION("""COMPUTED_VALUE"""),2377.0)</f>
        <v>2377</v>
      </c>
      <c r="D1265" s="3">
        <f>IFERROR(__xludf.DUMMYFUNCTION("""COMPUTED_VALUE"""),2345.2)</f>
        <v>2345.2</v>
      </c>
      <c r="E1265" s="3">
        <f>IFERROR(__xludf.DUMMYFUNCTION("""COMPUTED_VALUE"""),2357.0)</f>
        <v>2357</v>
      </c>
      <c r="F1265" s="3">
        <f>IFERROR(__xludf.DUMMYFUNCTION("""COMPUTED_VALUE"""),0.0)</f>
        <v>0</v>
      </c>
    </row>
    <row r="1266">
      <c r="A1266" s="7">
        <f>IFERROR(__xludf.DUMMYFUNCTION("""COMPUTED_VALUE"""),38568.645833333336)</f>
        <v>38568.64583</v>
      </c>
      <c r="B1266" s="3">
        <f>IFERROR(__xludf.DUMMYFUNCTION("""COMPUTED_VALUE"""),2357.75)</f>
        <v>2357.75</v>
      </c>
      <c r="C1266" s="3">
        <f>IFERROR(__xludf.DUMMYFUNCTION("""COMPUTED_VALUE"""),2377.35)</f>
        <v>2377.35</v>
      </c>
      <c r="D1266" s="3">
        <f>IFERROR(__xludf.DUMMYFUNCTION("""COMPUTED_VALUE"""),2352.05)</f>
        <v>2352.05</v>
      </c>
      <c r="E1266" s="3">
        <f>IFERROR(__xludf.DUMMYFUNCTION("""COMPUTED_VALUE"""),2367.8)</f>
        <v>2367.8</v>
      </c>
      <c r="F1266" s="3">
        <f>IFERROR(__xludf.DUMMYFUNCTION("""COMPUTED_VALUE"""),0.0)</f>
        <v>0</v>
      </c>
    </row>
    <row r="1267">
      <c r="A1267" s="7">
        <f>IFERROR(__xludf.DUMMYFUNCTION("""COMPUTED_VALUE"""),38569.645833333336)</f>
        <v>38569.64583</v>
      </c>
      <c r="B1267" s="3">
        <f>IFERROR(__xludf.DUMMYFUNCTION("""COMPUTED_VALUE"""),2367.35)</f>
        <v>2367.35</v>
      </c>
      <c r="C1267" s="3">
        <f>IFERROR(__xludf.DUMMYFUNCTION("""COMPUTED_VALUE"""),2377.1)</f>
        <v>2377.1</v>
      </c>
      <c r="D1267" s="3">
        <f>IFERROR(__xludf.DUMMYFUNCTION("""COMPUTED_VALUE"""),2355.95)</f>
        <v>2355.95</v>
      </c>
      <c r="E1267" s="3">
        <f>IFERROR(__xludf.DUMMYFUNCTION("""COMPUTED_VALUE"""),2361.2)</f>
        <v>2361.2</v>
      </c>
      <c r="F1267" s="3">
        <f>IFERROR(__xludf.DUMMYFUNCTION("""COMPUTED_VALUE"""),0.0)</f>
        <v>0</v>
      </c>
    </row>
    <row r="1268">
      <c r="A1268" s="7">
        <f>IFERROR(__xludf.DUMMYFUNCTION("""COMPUTED_VALUE"""),38572.645833333336)</f>
        <v>38572.64583</v>
      </c>
      <c r="B1268" s="3">
        <f>IFERROR(__xludf.DUMMYFUNCTION("""COMPUTED_VALUE"""),2361.95)</f>
        <v>2361.95</v>
      </c>
      <c r="C1268" s="3">
        <f>IFERROR(__xludf.DUMMYFUNCTION("""COMPUTED_VALUE"""),2386.95)</f>
        <v>2386.95</v>
      </c>
      <c r="D1268" s="3">
        <f>IFERROR(__xludf.DUMMYFUNCTION("""COMPUTED_VALUE"""),2320.05)</f>
        <v>2320.05</v>
      </c>
      <c r="E1268" s="3">
        <f>IFERROR(__xludf.DUMMYFUNCTION("""COMPUTED_VALUE"""),2324.4)</f>
        <v>2324.4</v>
      </c>
      <c r="F1268" s="3">
        <f>IFERROR(__xludf.DUMMYFUNCTION("""COMPUTED_VALUE"""),0.0)</f>
        <v>0</v>
      </c>
    </row>
    <row r="1269">
      <c r="A1269" s="7">
        <f>IFERROR(__xludf.DUMMYFUNCTION("""COMPUTED_VALUE"""),38573.645833333336)</f>
        <v>38573.64583</v>
      </c>
      <c r="B1269" s="3">
        <f>IFERROR(__xludf.DUMMYFUNCTION("""COMPUTED_VALUE"""),2324.75)</f>
        <v>2324.75</v>
      </c>
      <c r="C1269" s="3">
        <f>IFERROR(__xludf.DUMMYFUNCTION("""COMPUTED_VALUE"""),2342.2)</f>
        <v>2342.2</v>
      </c>
      <c r="D1269" s="3">
        <f>IFERROR(__xludf.DUMMYFUNCTION("""COMPUTED_VALUE"""),2303.1)</f>
        <v>2303.1</v>
      </c>
      <c r="E1269" s="3">
        <f>IFERROR(__xludf.DUMMYFUNCTION("""COMPUTED_VALUE"""),2318.7)</f>
        <v>2318.7</v>
      </c>
      <c r="F1269" s="3">
        <f>IFERROR(__xludf.DUMMYFUNCTION("""COMPUTED_VALUE"""),0.0)</f>
        <v>0</v>
      </c>
    </row>
    <row r="1270">
      <c r="A1270" s="7">
        <f>IFERROR(__xludf.DUMMYFUNCTION("""COMPUTED_VALUE"""),38574.645833333336)</f>
        <v>38574.64583</v>
      </c>
      <c r="B1270" s="3">
        <f>IFERROR(__xludf.DUMMYFUNCTION("""COMPUTED_VALUE"""),2322.3)</f>
        <v>2322.3</v>
      </c>
      <c r="C1270" s="3">
        <f>IFERROR(__xludf.DUMMYFUNCTION("""COMPUTED_VALUE"""),2364.8)</f>
        <v>2364.8</v>
      </c>
      <c r="D1270" s="3">
        <f>IFERROR(__xludf.DUMMYFUNCTION("""COMPUTED_VALUE"""),2322.05)</f>
        <v>2322.05</v>
      </c>
      <c r="E1270" s="3">
        <f>IFERROR(__xludf.DUMMYFUNCTION("""COMPUTED_VALUE"""),2360.15)</f>
        <v>2360.15</v>
      </c>
      <c r="F1270" s="3">
        <f>IFERROR(__xludf.DUMMYFUNCTION("""COMPUTED_VALUE"""),0.0)</f>
        <v>0</v>
      </c>
    </row>
    <row r="1271">
      <c r="A1271" s="7">
        <f>IFERROR(__xludf.DUMMYFUNCTION("""COMPUTED_VALUE"""),38575.645833333336)</f>
        <v>38575.64583</v>
      </c>
      <c r="B1271" s="3">
        <f>IFERROR(__xludf.DUMMYFUNCTION("""COMPUTED_VALUE"""),2358.9)</f>
        <v>2358.9</v>
      </c>
      <c r="C1271" s="3">
        <f>IFERROR(__xludf.DUMMYFUNCTION("""COMPUTED_VALUE"""),2387.3)</f>
        <v>2387.3</v>
      </c>
      <c r="D1271" s="3">
        <f>IFERROR(__xludf.DUMMYFUNCTION("""COMPUTED_VALUE"""),2355.5)</f>
        <v>2355.5</v>
      </c>
      <c r="E1271" s="3">
        <f>IFERROR(__xludf.DUMMYFUNCTION("""COMPUTED_VALUE"""),2380.9)</f>
        <v>2380.9</v>
      </c>
      <c r="F1271" s="3">
        <f>IFERROR(__xludf.DUMMYFUNCTION("""COMPUTED_VALUE"""),0.0)</f>
        <v>0</v>
      </c>
    </row>
    <row r="1272">
      <c r="A1272" s="7">
        <f>IFERROR(__xludf.DUMMYFUNCTION("""COMPUTED_VALUE"""),38576.645833333336)</f>
        <v>38576.64583</v>
      </c>
      <c r="B1272" s="3">
        <f>IFERROR(__xludf.DUMMYFUNCTION("""COMPUTED_VALUE"""),2381.05)</f>
        <v>2381.05</v>
      </c>
      <c r="C1272" s="3">
        <f>IFERROR(__xludf.DUMMYFUNCTION("""COMPUTED_VALUE"""),2390.45)</f>
        <v>2390.45</v>
      </c>
      <c r="D1272" s="3">
        <f>IFERROR(__xludf.DUMMYFUNCTION("""COMPUTED_VALUE"""),2356.9)</f>
        <v>2356.9</v>
      </c>
      <c r="E1272" s="3">
        <f>IFERROR(__xludf.DUMMYFUNCTION("""COMPUTED_VALUE"""),2361.55)</f>
        <v>2361.55</v>
      </c>
      <c r="F1272" s="3">
        <f>IFERROR(__xludf.DUMMYFUNCTION("""COMPUTED_VALUE"""),0.0)</f>
        <v>0</v>
      </c>
    </row>
    <row r="1273">
      <c r="A1273" s="7">
        <f>IFERROR(__xludf.DUMMYFUNCTION("""COMPUTED_VALUE"""),38580.645833333336)</f>
        <v>38580.64583</v>
      </c>
      <c r="B1273" s="3">
        <f>IFERROR(__xludf.DUMMYFUNCTION("""COMPUTED_VALUE"""),2361.65)</f>
        <v>2361.65</v>
      </c>
      <c r="C1273" s="3">
        <f>IFERROR(__xludf.DUMMYFUNCTION("""COMPUTED_VALUE"""),2379.4)</f>
        <v>2379.4</v>
      </c>
      <c r="D1273" s="3">
        <f>IFERROR(__xludf.DUMMYFUNCTION("""COMPUTED_VALUE"""),2356.85)</f>
        <v>2356.85</v>
      </c>
      <c r="E1273" s="3">
        <f>IFERROR(__xludf.DUMMYFUNCTION("""COMPUTED_VALUE"""),2369.8)</f>
        <v>2369.8</v>
      </c>
      <c r="F1273" s="3">
        <f>IFERROR(__xludf.DUMMYFUNCTION("""COMPUTED_VALUE"""),0.0)</f>
        <v>0</v>
      </c>
    </row>
    <row r="1274">
      <c r="A1274" s="7">
        <f>IFERROR(__xludf.DUMMYFUNCTION("""COMPUTED_VALUE"""),38581.645833333336)</f>
        <v>38581.64583</v>
      </c>
      <c r="B1274" s="3">
        <f>IFERROR(__xludf.DUMMYFUNCTION("""COMPUTED_VALUE"""),2369.8)</f>
        <v>2369.8</v>
      </c>
      <c r="C1274" s="3">
        <f>IFERROR(__xludf.DUMMYFUNCTION("""COMPUTED_VALUE"""),2406.25)</f>
        <v>2406.25</v>
      </c>
      <c r="D1274" s="3">
        <f>IFERROR(__xludf.DUMMYFUNCTION("""COMPUTED_VALUE"""),2357.5)</f>
        <v>2357.5</v>
      </c>
      <c r="E1274" s="3">
        <f>IFERROR(__xludf.DUMMYFUNCTION("""COMPUTED_VALUE"""),2403.15)</f>
        <v>2403.15</v>
      </c>
      <c r="F1274" s="3">
        <f>IFERROR(__xludf.DUMMYFUNCTION("""COMPUTED_VALUE"""),0.0)</f>
        <v>0</v>
      </c>
    </row>
    <row r="1275">
      <c r="A1275" s="7">
        <f>IFERROR(__xludf.DUMMYFUNCTION("""COMPUTED_VALUE"""),38582.645833333336)</f>
        <v>38582.64583</v>
      </c>
      <c r="B1275" s="3">
        <f>IFERROR(__xludf.DUMMYFUNCTION("""COMPUTED_VALUE"""),2404.65)</f>
        <v>2404.65</v>
      </c>
      <c r="C1275" s="3">
        <f>IFERROR(__xludf.DUMMYFUNCTION("""COMPUTED_VALUE"""),2426.65)</f>
        <v>2426.65</v>
      </c>
      <c r="D1275" s="3">
        <f>IFERROR(__xludf.DUMMYFUNCTION("""COMPUTED_VALUE"""),2380.7)</f>
        <v>2380.7</v>
      </c>
      <c r="E1275" s="3">
        <f>IFERROR(__xludf.DUMMYFUNCTION("""COMPUTED_VALUE"""),2388.45)</f>
        <v>2388.45</v>
      </c>
      <c r="F1275" s="3">
        <f>IFERROR(__xludf.DUMMYFUNCTION("""COMPUTED_VALUE"""),0.0)</f>
        <v>0</v>
      </c>
    </row>
    <row r="1276">
      <c r="A1276" s="7">
        <f>IFERROR(__xludf.DUMMYFUNCTION("""COMPUTED_VALUE"""),38583.645833333336)</f>
        <v>38583.64583</v>
      </c>
      <c r="B1276" s="3">
        <f>IFERROR(__xludf.DUMMYFUNCTION("""COMPUTED_VALUE"""),2400.8)</f>
        <v>2400.8</v>
      </c>
      <c r="C1276" s="3">
        <f>IFERROR(__xludf.DUMMYFUNCTION("""COMPUTED_VALUE"""),2409.35)</f>
        <v>2409.35</v>
      </c>
      <c r="D1276" s="3">
        <f>IFERROR(__xludf.DUMMYFUNCTION("""COMPUTED_VALUE"""),2378.45)</f>
        <v>2378.45</v>
      </c>
      <c r="E1276" s="3">
        <f>IFERROR(__xludf.DUMMYFUNCTION("""COMPUTED_VALUE"""),2383.45)</f>
        <v>2383.45</v>
      </c>
      <c r="F1276" s="3">
        <f>IFERROR(__xludf.DUMMYFUNCTION("""COMPUTED_VALUE"""),0.0)</f>
        <v>0</v>
      </c>
    </row>
    <row r="1277">
      <c r="A1277" s="7">
        <f>IFERROR(__xludf.DUMMYFUNCTION("""COMPUTED_VALUE"""),38586.645833333336)</f>
        <v>38586.64583</v>
      </c>
      <c r="B1277" s="3">
        <f>IFERROR(__xludf.DUMMYFUNCTION("""COMPUTED_VALUE"""),2383.45)</f>
        <v>2383.45</v>
      </c>
      <c r="C1277" s="3">
        <f>IFERROR(__xludf.DUMMYFUNCTION("""COMPUTED_VALUE"""),2403.45)</f>
        <v>2403.45</v>
      </c>
      <c r="D1277" s="3">
        <f>IFERROR(__xludf.DUMMYFUNCTION("""COMPUTED_VALUE"""),2355.75)</f>
        <v>2355.75</v>
      </c>
      <c r="E1277" s="3">
        <f>IFERROR(__xludf.DUMMYFUNCTION("""COMPUTED_VALUE"""),2367.85)</f>
        <v>2367.85</v>
      </c>
      <c r="F1277" s="3">
        <f>IFERROR(__xludf.DUMMYFUNCTION("""COMPUTED_VALUE"""),0.0)</f>
        <v>0</v>
      </c>
    </row>
    <row r="1278">
      <c r="A1278" s="7">
        <f>IFERROR(__xludf.DUMMYFUNCTION("""COMPUTED_VALUE"""),38587.645833333336)</f>
        <v>38587.64583</v>
      </c>
      <c r="B1278" s="3">
        <f>IFERROR(__xludf.DUMMYFUNCTION("""COMPUTED_VALUE"""),2369.55)</f>
        <v>2369.55</v>
      </c>
      <c r="C1278" s="3">
        <f>IFERROR(__xludf.DUMMYFUNCTION("""COMPUTED_VALUE"""),2380.5)</f>
        <v>2380.5</v>
      </c>
      <c r="D1278" s="3">
        <f>IFERROR(__xludf.DUMMYFUNCTION("""COMPUTED_VALUE"""),2320.35)</f>
        <v>2320.35</v>
      </c>
      <c r="E1278" s="3">
        <f>IFERROR(__xludf.DUMMYFUNCTION("""COMPUTED_VALUE"""),2326.1)</f>
        <v>2326.1</v>
      </c>
      <c r="F1278" s="3">
        <f>IFERROR(__xludf.DUMMYFUNCTION("""COMPUTED_VALUE"""),0.0)</f>
        <v>0</v>
      </c>
    </row>
    <row r="1279">
      <c r="A1279" s="7">
        <f>IFERROR(__xludf.DUMMYFUNCTION("""COMPUTED_VALUE"""),38588.645833333336)</f>
        <v>38588.64583</v>
      </c>
      <c r="B1279" s="3">
        <f>IFERROR(__xludf.DUMMYFUNCTION("""COMPUTED_VALUE"""),2326.1)</f>
        <v>2326.1</v>
      </c>
      <c r="C1279" s="3">
        <f>IFERROR(__xludf.DUMMYFUNCTION("""COMPUTED_VALUE"""),2334.9)</f>
        <v>2334.9</v>
      </c>
      <c r="D1279" s="3">
        <f>IFERROR(__xludf.DUMMYFUNCTION("""COMPUTED_VALUE"""),2300.45)</f>
        <v>2300.45</v>
      </c>
      <c r="E1279" s="3">
        <f>IFERROR(__xludf.DUMMYFUNCTION("""COMPUTED_VALUE"""),2322.5)</f>
        <v>2322.5</v>
      </c>
      <c r="F1279" s="3">
        <f>IFERROR(__xludf.DUMMYFUNCTION("""COMPUTED_VALUE"""),0.0)</f>
        <v>0</v>
      </c>
    </row>
    <row r="1280">
      <c r="A1280" s="7">
        <f>IFERROR(__xludf.DUMMYFUNCTION("""COMPUTED_VALUE"""),38589.645833333336)</f>
        <v>38589.64583</v>
      </c>
      <c r="B1280" s="3">
        <f>IFERROR(__xludf.DUMMYFUNCTION("""COMPUTED_VALUE"""),2323.1)</f>
        <v>2323.1</v>
      </c>
      <c r="C1280" s="3">
        <f>IFERROR(__xludf.DUMMYFUNCTION("""COMPUTED_VALUE"""),2359.2)</f>
        <v>2359.2</v>
      </c>
      <c r="D1280" s="3">
        <f>IFERROR(__xludf.DUMMYFUNCTION("""COMPUTED_VALUE"""),2320.7)</f>
        <v>2320.7</v>
      </c>
      <c r="E1280" s="3">
        <f>IFERROR(__xludf.DUMMYFUNCTION("""COMPUTED_VALUE"""),2354.55)</f>
        <v>2354.55</v>
      </c>
      <c r="F1280" s="3">
        <f>IFERROR(__xludf.DUMMYFUNCTION("""COMPUTED_VALUE"""),0.0)</f>
        <v>0</v>
      </c>
    </row>
    <row r="1281">
      <c r="A1281" s="7">
        <f>IFERROR(__xludf.DUMMYFUNCTION("""COMPUTED_VALUE"""),38590.645833333336)</f>
        <v>38590.64583</v>
      </c>
      <c r="B1281" s="3">
        <f>IFERROR(__xludf.DUMMYFUNCTION("""COMPUTED_VALUE"""),2354.6)</f>
        <v>2354.6</v>
      </c>
      <c r="C1281" s="3">
        <f>IFERROR(__xludf.DUMMYFUNCTION("""COMPUTED_VALUE"""),2368.05)</f>
        <v>2368.05</v>
      </c>
      <c r="D1281" s="3">
        <f>IFERROR(__xludf.DUMMYFUNCTION("""COMPUTED_VALUE"""),2340.2)</f>
        <v>2340.2</v>
      </c>
      <c r="E1281" s="3">
        <f>IFERROR(__xludf.DUMMYFUNCTION("""COMPUTED_VALUE"""),2357.05)</f>
        <v>2357.05</v>
      </c>
      <c r="F1281" s="3">
        <f>IFERROR(__xludf.DUMMYFUNCTION("""COMPUTED_VALUE"""),0.0)</f>
        <v>0</v>
      </c>
    </row>
    <row r="1282">
      <c r="A1282" s="7">
        <f>IFERROR(__xludf.DUMMYFUNCTION("""COMPUTED_VALUE"""),38593.645833333336)</f>
        <v>38593.64583</v>
      </c>
      <c r="B1282" s="3">
        <f>IFERROR(__xludf.DUMMYFUNCTION("""COMPUTED_VALUE"""),2359.2)</f>
        <v>2359.2</v>
      </c>
      <c r="C1282" s="3">
        <f>IFERROR(__xludf.DUMMYFUNCTION("""COMPUTED_VALUE"""),2365.85)</f>
        <v>2365.85</v>
      </c>
      <c r="D1282" s="3">
        <f>IFERROR(__xludf.DUMMYFUNCTION("""COMPUTED_VALUE"""),2312.6)</f>
        <v>2312.6</v>
      </c>
      <c r="E1282" s="3">
        <f>IFERROR(__xludf.DUMMYFUNCTION("""COMPUTED_VALUE"""),2337.65)</f>
        <v>2337.65</v>
      </c>
      <c r="F1282" s="3">
        <f>IFERROR(__xludf.DUMMYFUNCTION("""COMPUTED_VALUE"""),0.0)</f>
        <v>0</v>
      </c>
    </row>
    <row r="1283">
      <c r="A1283" s="7">
        <f>IFERROR(__xludf.DUMMYFUNCTION("""COMPUTED_VALUE"""),38594.645833333336)</f>
        <v>38594.64583</v>
      </c>
      <c r="B1283" s="3">
        <f>IFERROR(__xludf.DUMMYFUNCTION("""COMPUTED_VALUE"""),2337.8)</f>
        <v>2337.8</v>
      </c>
      <c r="C1283" s="3">
        <f>IFERROR(__xludf.DUMMYFUNCTION("""COMPUTED_VALUE"""),2373.8)</f>
        <v>2373.8</v>
      </c>
      <c r="D1283" s="3">
        <f>IFERROR(__xludf.DUMMYFUNCTION("""COMPUTED_VALUE"""),2337.75)</f>
        <v>2337.75</v>
      </c>
      <c r="E1283" s="3">
        <f>IFERROR(__xludf.DUMMYFUNCTION("""COMPUTED_VALUE"""),2367.75)</f>
        <v>2367.75</v>
      </c>
      <c r="F1283" s="3">
        <f>IFERROR(__xludf.DUMMYFUNCTION("""COMPUTED_VALUE"""),0.0)</f>
        <v>0</v>
      </c>
    </row>
    <row r="1284">
      <c r="A1284" s="7">
        <f>IFERROR(__xludf.DUMMYFUNCTION("""COMPUTED_VALUE"""),38595.645833333336)</f>
        <v>38595.64583</v>
      </c>
      <c r="B1284" s="3">
        <f>IFERROR(__xludf.DUMMYFUNCTION("""COMPUTED_VALUE"""),2369.05)</f>
        <v>2369.05</v>
      </c>
      <c r="C1284" s="3">
        <f>IFERROR(__xludf.DUMMYFUNCTION("""COMPUTED_VALUE"""),2387.0)</f>
        <v>2387</v>
      </c>
      <c r="D1284" s="3">
        <f>IFERROR(__xludf.DUMMYFUNCTION("""COMPUTED_VALUE"""),2355.0)</f>
        <v>2355</v>
      </c>
      <c r="E1284" s="3">
        <f>IFERROR(__xludf.DUMMYFUNCTION("""COMPUTED_VALUE"""),2384.65)</f>
        <v>2384.65</v>
      </c>
      <c r="F1284" s="3">
        <f>IFERROR(__xludf.DUMMYFUNCTION("""COMPUTED_VALUE"""),0.0)</f>
        <v>0</v>
      </c>
    </row>
    <row r="1285">
      <c r="A1285" s="7">
        <f>IFERROR(__xludf.DUMMYFUNCTION("""COMPUTED_VALUE"""),38596.645833333336)</f>
        <v>38596.64583</v>
      </c>
      <c r="B1285" s="3">
        <f>IFERROR(__xludf.DUMMYFUNCTION("""COMPUTED_VALUE"""),2384.7)</f>
        <v>2384.7</v>
      </c>
      <c r="C1285" s="3">
        <f>IFERROR(__xludf.DUMMYFUNCTION("""COMPUTED_VALUE"""),2412.35)</f>
        <v>2412.35</v>
      </c>
      <c r="D1285" s="3">
        <f>IFERROR(__xludf.DUMMYFUNCTION("""COMPUTED_VALUE"""),2382.9)</f>
        <v>2382.9</v>
      </c>
      <c r="E1285" s="3">
        <f>IFERROR(__xludf.DUMMYFUNCTION("""COMPUTED_VALUE"""),2405.75)</f>
        <v>2405.75</v>
      </c>
      <c r="F1285" s="3">
        <f>IFERROR(__xludf.DUMMYFUNCTION("""COMPUTED_VALUE"""),0.0)</f>
        <v>0</v>
      </c>
    </row>
    <row r="1286">
      <c r="A1286" s="7">
        <f>IFERROR(__xludf.DUMMYFUNCTION("""COMPUTED_VALUE"""),38597.645833333336)</f>
        <v>38597.64583</v>
      </c>
      <c r="B1286" s="3">
        <f>IFERROR(__xludf.DUMMYFUNCTION("""COMPUTED_VALUE"""),2406.45)</f>
        <v>2406.45</v>
      </c>
      <c r="C1286" s="3">
        <f>IFERROR(__xludf.DUMMYFUNCTION("""COMPUTED_VALUE"""),2422.1)</f>
        <v>2422.1</v>
      </c>
      <c r="D1286" s="3">
        <f>IFERROR(__xludf.DUMMYFUNCTION("""COMPUTED_VALUE"""),2396.1)</f>
        <v>2396.1</v>
      </c>
      <c r="E1286" s="3">
        <f>IFERROR(__xludf.DUMMYFUNCTION("""COMPUTED_VALUE"""),2415.8)</f>
        <v>2415.8</v>
      </c>
      <c r="F1286" s="3">
        <f>IFERROR(__xludf.DUMMYFUNCTION("""COMPUTED_VALUE"""),0.0)</f>
        <v>0</v>
      </c>
    </row>
    <row r="1287">
      <c r="A1287" s="7">
        <f>IFERROR(__xludf.DUMMYFUNCTION("""COMPUTED_VALUE"""),38600.645833333336)</f>
        <v>38600.64583</v>
      </c>
      <c r="B1287" s="3">
        <f>IFERROR(__xludf.DUMMYFUNCTION("""COMPUTED_VALUE"""),2417.1)</f>
        <v>2417.1</v>
      </c>
      <c r="C1287" s="3">
        <f>IFERROR(__xludf.DUMMYFUNCTION("""COMPUTED_VALUE"""),2439.55)</f>
        <v>2439.55</v>
      </c>
      <c r="D1287" s="3">
        <f>IFERROR(__xludf.DUMMYFUNCTION("""COMPUTED_VALUE"""),2414.95)</f>
        <v>2414.95</v>
      </c>
      <c r="E1287" s="3">
        <f>IFERROR(__xludf.DUMMYFUNCTION("""COMPUTED_VALUE"""),2422.95)</f>
        <v>2422.95</v>
      </c>
      <c r="F1287" s="3">
        <f>IFERROR(__xludf.DUMMYFUNCTION("""COMPUTED_VALUE"""),0.0)</f>
        <v>0</v>
      </c>
    </row>
    <row r="1288">
      <c r="A1288" s="7">
        <f>IFERROR(__xludf.DUMMYFUNCTION("""COMPUTED_VALUE"""),38601.645833333336)</f>
        <v>38601.64583</v>
      </c>
      <c r="B1288" s="3">
        <f>IFERROR(__xludf.DUMMYFUNCTION("""COMPUTED_VALUE"""),2422.4)</f>
        <v>2422.4</v>
      </c>
      <c r="C1288" s="3">
        <f>IFERROR(__xludf.DUMMYFUNCTION("""COMPUTED_VALUE"""),2436.25)</f>
        <v>2436.25</v>
      </c>
      <c r="D1288" s="3">
        <f>IFERROR(__xludf.DUMMYFUNCTION("""COMPUTED_VALUE"""),2417.0)</f>
        <v>2417</v>
      </c>
      <c r="E1288" s="3">
        <f>IFERROR(__xludf.DUMMYFUNCTION("""COMPUTED_VALUE"""),2428.65)</f>
        <v>2428.65</v>
      </c>
      <c r="F1288" s="3">
        <f>IFERROR(__xludf.DUMMYFUNCTION("""COMPUTED_VALUE"""),0.0)</f>
        <v>0</v>
      </c>
    </row>
    <row r="1289">
      <c r="A1289" s="7">
        <f>IFERROR(__xludf.DUMMYFUNCTION("""COMPUTED_VALUE"""),38603.645833333336)</f>
        <v>38603.64583</v>
      </c>
      <c r="B1289" s="3">
        <f>IFERROR(__xludf.DUMMYFUNCTION("""COMPUTED_VALUE"""),2429.0)</f>
        <v>2429</v>
      </c>
      <c r="C1289" s="3">
        <f>IFERROR(__xludf.DUMMYFUNCTION("""COMPUTED_VALUE"""),2456.9)</f>
        <v>2456.9</v>
      </c>
      <c r="D1289" s="3">
        <f>IFERROR(__xludf.DUMMYFUNCTION("""COMPUTED_VALUE"""),2429.0)</f>
        <v>2429</v>
      </c>
      <c r="E1289" s="3">
        <f>IFERROR(__xludf.DUMMYFUNCTION("""COMPUTED_VALUE"""),2454.45)</f>
        <v>2454.45</v>
      </c>
      <c r="F1289" s="3">
        <f>IFERROR(__xludf.DUMMYFUNCTION("""COMPUTED_VALUE"""),0.0)</f>
        <v>0</v>
      </c>
    </row>
    <row r="1290">
      <c r="A1290" s="7">
        <f>IFERROR(__xludf.DUMMYFUNCTION("""COMPUTED_VALUE"""),38604.645833333336)</f>
        <v>38604.64583</v>
      </c>
      <c r="B1290" s="3">
        <f>IFERROR(__xludf.DUMMYFUNCTION("""COMPUTED_VALUE"""),2448.8)</f>
        <v>2448.8</v>
      </c>
      <c r="C1290" s="3">
        <f>IFERROR(__xludf.DUMMYFUNCTION("""COMPUTED_VALUE"""),2462.8)</f>
        <v>2462.8</v>
      </c>
      <c r="D1290" s="3">
        <f>IFERROR(__xludf.DUMMYFUNCTION("""COMPUTED_VALUE"""),2441.9)</f>
        <v>2441.9</v>
      </c>
      <c r="E1290" s="3">
        <f>IFERROR(__xludf.DUMMYFUNCTION("""COMPUTED_VALUE"""),2455.45)</f>
        <v>2455.45</v>
      </c>
      <c r="F1290" s="3">
        <f>IFERROR(__xludf.DUMMYFUNCTION("""COMPUTED_VALUE"""),0.0)</f>
        <v>0</v>
      </c>
    </row>
    <row r="1291">
      <c r="A1291" s="7">
        <f>IFERROR(__xludf.DUMMYFUNCTION("""COMPUTED_VALUE"""),38607.645833333336)</f>
        <v>38607.64583</v>
      </c>
      <c r="B1291" s="3">
        <f>IFERROR(__xludf.DUMMYFUNCTION("""COMPUTED_VALUE"""),2455.85)</f>
        <v>2455.85</v>
      </c>
      <c r="C1291" s="3">
        <f>IFERROR(__xludf.DUMMYFUNCTION("""COMPUTED_VALUE"""),2486.35)</f>
        <v>2486.35</v>
      </c>
      <c r="D1291" s="3">
        <f>IFERROR(__xludf.DUMMYFUNCTION("""COMPUTED_VALUE"""),2455.85)</f>
        <v>2455.85</v>
      </c>
      <c r="E1291" s="3">
        <f>IFERROR(__xludf.DUMMYFUNCTION("""COMPUTED_VALUE"""),2484.15)</f>
        <v>2484.15</v>
      </c>
      <c r="F1291" s="3">
        <f>IFERROR(__xludf.DUMMYFUNCTION("""COMPUTED_VALUE"""),0.0)</f>
        <v>0</v>
      </c>
    </row>
    <row r="1292">
      <c r="A1292" s="7">
        <f>IFERROR(__xludf.DUMMYFUNCTION("""COMPUTED_VALUE"""),38608.645833333336)</f>
        <v>38608.64583</v>
      </c>
      <c r="B1292" s="3">
        <f>IFERROR(__xludf.DUMMYFUNCTION("""COMPUTED_VALUE"""),2484.0)</f>
        <v>2484</v>
      </c>
      <c r="C1292" s="3">
        <f>IFERROR(__xludf.DUMMYFUNCTION("""COMPUTED_VALUE"""),2503.0)</f>
        <v>2503</v>
      </c>
      <c r="D1292" s="3">
        <f>IFERROR(__xludf.DUMMYFUNCTION("""COMPUTED_VALUE"""),2477.1)</f>
        <v>2477.1</v>
      </c>
      <c r="E1292" s="3">
        <f>IFERROR(__xludf.DUMMYFUNCTION("""COMPUTED_VALUE"""),2500.35)</f>
        <v>2500.35</v>
      </c>
      <c r="F1292" s="3">
        <f>IFERROR(__xludf.DUMMYFUNCTION("""COMPUTED_VALUE"""),0.0)</f>
        <v>0</v>
      </c>
    </row>
    <row r="1293">
      <c r="A1293" s="7">
        <f>IFERROR(__xludf.DUMMYFUNCTION("""COMPUTED_VALUE"""),38609.645833333336)</f>
        <v>38609.64583</v>
      </c>
      <c r="B1293" s="3">
        <f>IFERROR(__xludf.DUMMYFUNCTION("""COMPUTED_VALUE"""),2500.4)</f>
        <v>2500.4</v>
      </c>
      <c r="C1293" s="3">
        <f>IFERROR(__xludf.DUMMYFUNCTION("""COMPUTED_VALUE"""),2514.75)</f>
        <v>2514.75</v>
      </c>
      <c r="D1293" s="3">
        <f>IFERROR(__xludf.DUMMYFUNCTION("""COMPUTED_VALUE"""),2476.0)</f>
        <v>2476</v>
      </c>
      <c r="E1293" s="3">
        <f>IFERROR(__xludf.DUMMYFUNCTION("""COMPUTED_VALUE"""),2492.45)</f>
        <v>2492.45</v>
      </c>
      <c r="F1293" s="3">
        <f>IFERROR(__xludf.DUMMYFUNCTION("""COMPUTED_VALUE"""),0.0)</f>
        <v>0</v>
      </c>
    </row>
    <row r="1294">
      <c r="A1294" s="7">
        <f>IFERROR(__xludf.DUMMYFUNCTION("""COMPUTED_VALUE"""),38610.645833333336)</f>
        <v>38610.64583</v>
      </c>
      <c r="B1294" s="3">
        <f>IFERROR(__xludf.DUMMYFUNCTION("""COMPUTED_VALUE"""),2492.85)</f>
        <v>2492.85</v>
      </c>
      <c r="C1294" s="3">
        <f>IFERROR(__xludf.DUMMYFUNCTION("""COMPUTED_VALUE"""),2527.5)</f>
        <v>2527.5</v>
      </c>
      <c r="D1294" s="3">
        <f>IFERROR(__xludf.DUMMYFUNCTION("""COMPUTED_VALUE"""),2492.75)</f>
        <v>2492.75</v>
      </c>
      <c r="E1294" s="3">
        <f>IFERROR(__xludf.DUMMYFUNCTION("""COMPUTED_VALUE"""),2523.95)</f>
        <v>2523.95</v>
      </c>
      <c r="F1294" s="3">
        <f>IFERROR(__xludf.DUMMYFUNCTION("""COMPUTED_VALUE"""),0.0)</f>
        <v>0</v>
      </c>
    </row>
    <row r="1295">
      <c r="A1295" s="7">
        <f>IFERROR(__xludf.DUMMYFUNCTION("""COMPUTED_VALUE"""),38611.645833333336)</f>
        <v>38611.64583</v>
      </c>
      <c r="B1295" s="3">
        <f>IFERROR(__xludf.DUMMYFUNCTION("""COMPUTED_VALUE"""),2524.9)</f>
        <v>2524.9</v>
      </c>
      <c r="C1295" s="3">
        <f>IFERROR(__xludf.DUMMYFUNCTION("""COMPUTED_VALUE"""),2555.1)</f>
        <v>2555.1</v>
      </c>
      <c r="D1295" s="3">
        <f>IFERROR(__xludf.DUMMYFUNCTION("""COMPUTED_VALUE"""),2519.05)</f>
        <v>2519.05</v>
      </c>
      <c r="E1295" s="3">
        <f>IFERROR(__xludf.DUMMYFUNCTION("""COMPUTED_VALUE"""),2552.35)</f>
        <v>2552.35</v>
      </c>
      <c r="F1295" s="3">
        <f>IFERROR(__xludf.DUMMYFUNCTION("""COMPUTED_VALUE"""),0.0)</f>
        <v>0</v>
      </c>
    </row>
    <row r="1296">
      <c r="A1296" s="7">
        <f>IFERROR(__xludf.DUMMYFUNCTION("""COMPUTED_VALUE"""),38614.645833333336)</f>
        <v>38614.64583</v>
      </c>
      <c r="B1296" s="3">
        <f>IFERROR(__xludf.DUMMYFUNCTION("""COMPUTED_VALUE"""),2555.45)</f>
        <v>2555.45</v>
      </c>
      <c r="C1296" s="3">
        <f>IFERROR(__xludf.DUMMYFUNCTION("""COMPUTED_VALUE"""),2579.7)</f>
        <v>2579.7</v>
      </c>
      <c r="D1296" s="3">
        <f>IFERROR(__xludf.DUMMYFUNCTION("""COMPUTED_VALUE"""),2550.45)</f>
        <v>2550.45</v>
      </c>
      <c r="E1296" s="3">
        <f>IFERROR(__xludf.DUMMYFUNCTION("""COMPUTED_VALUE"""),2567.1)</f>
        <v>2567.1</v>
      </c>
      <c r="F1296" s="3">
        <f>IFERROR(__xludf.DUMMYFUNCTION("""COMPUTED_VALUE"""),0.0)</f>
        <v>0</v>
      </c>
    </row>
    <row r="1297">
      <c r="A1297" s="7">
        <f>IFERROR(__xludf.DUMMYFUNCTION("""COMPUTED_VALUE"""),38615.645833333336)</f>
        <v>38615.64583</v>
      </c>
      <c r="B1297" s="3">
        <f>IFERROR(__xludf.DUMMYFUNCTION("""COMPUTED_VALUE"""),2567.2)</f>
        <v>2567.2</v>
      </c>
      <c r="C1297" s="3">
        <f>IFERROR(__xludf.DUMMYFUNCTION("""COMPUTED_VALUE"""),2582.8)</f>
        <v>2582.8</v>
      </c>
      <c r="D1297" s="3">
        <f>IFERROR(__xludf.DUMMYFUNCTION("""COMPUTED_VALUE"""),2546.6)</f>
        <v>2546.6</v>
      </c>
      <c r="E1297" s="3">
        <f>IFERROR(__xludf.DUMMYFUNCTION("""COMPUTED_VALUE"""),2578.0)</f>
        <v>2578</v>
      </c>
      <c r="F1297" s="3">
        <f>IFERROR(__xludf.DUMMYFUNCTION("""COMPUTED_VALUE"""),0.0)</f>
        <v>0</v>
      </c>
    </row>
    <row r="1298">
      <c r="A1298" s="7">
        <f>IFERROR(__xludf.DUMMYFUNCTION("""COMPUTED_VALUE"""),38616.645833333336)</f>
        <v>38616.64583</v>
      </c>
      <c r="B1298" s="3">
        <f>IFERROR(__xludf.DUMMYFUNCTION("""COMPUTED_VALUE"""),2576.7)</f>
        <v>2576.7</v>
      </c>
      <c r="C1298" s="3">
        <f>IFERROR(__xludf.DUMMYFUNCTION("""COMPUTED_VALUE"""),2585.6)</f>
        <v>2585.6</v>
      </c>
      <c r="D1298" s="3">
        <f>IFERROR(__xludf.DUMMYFUNCTION("""COMPUTED_VALUE"""),2504.9)</f>
        <v>2504.9</v>
      </c>
      <c r="E1298" s="3">
        <f>IFERROR(__xludf.DUMMYFUNCTION("""COMPUTED_VALUE"""),2567.3)</f>
        <v>2567.3</v>
      </c>
      <c r="F1298" s="3">
        <f>IFERROR(__xludf.DUMMYFUNCTION("""COMPUTED_VALUE"""),0.0)</f>
        <v>0</v>
      </c>
    </row>
    <row r="1299">
      <c r="A1299" s="7">
        <f>IFERROR(__xludf.DUMMYFUNCTION("""COMPUTED_VALUE"""),38617.645833333336)</f>
        <v>38617.64583</v>
      </c>
      <c r="B1299" s="3">
        <f>IFERROR(__xludf.DUMMYFUNCTION("""COMPUTED_VALUE"""),2567.85)</f>
        <v>2567.85</v>
      </c>
      <c r="C1299" s="3">
        <f>IFERROR(__xludf.DUMMYFUNCTION("""COMPUTED_VALUE"""),2580.4)</f>
        <v>2580.4</v>
      </c>
      <c r="D1299" s="3">
        <f>IFERROR(__xludf.DUMMYFUNCTION("""COMPUTED_VALUE"""),2465.85)</f>
        <v>2465.85</v>
      </c>
      <c r="E1299" s="3">
        <f>IFERROR(__xludf.DUMMYFUNCTION("""COMPUTED_VALUE"""),2476.5)</f>
        <v>2476.5</v>
      </c>
      <c r="F1299" s="3">
        <f>IFERROR(__xludf.DUMMYFUNCTION("""COMPUTED_VALUE"""),0.0)</f>
        <v>0</v>
      </c>
    </row>
    <row r="1300">
      <c r="A1300" s="7">
        <f>IFERROR(__xludf.DUMMYFUNCTION("""COMPUTED_VALUE"""),38618.645833333336)</f>
        <v>38618.64583</v>
      </c>
      <c r="B1300" s="3">
        <f>IFERROR(__xludf.DUMMYFUNCTION("""COMPUTED_VALUE"""),2480.5)</f>
        <v>2480.5</v>
      </c>
      <c r="C1300" s="3">
        <f>IFERROR(__xludf.DUMMYFUNCTION("""COMPUTED_VALUE"""),2507.9)</f>
        <v>2507.9</v>
      </c>
      <c r="D1300" s="3">
        <f>IFERROR(__xludf.DUMMYFUNCTION("""COMPUTED_VALUE"""),2453.05)</f>
        <v>2453.05</v>
      </c>
      <c r="E1300" s="3">
        <f>IFERROR(__xludf.DUMMYFUNCTION("""COMPUTED_VALUE"""),2477.75)</f>
        <v>2477.75</v>
      </c>
      <c r="F1300" s="3">
        <f>IFERROR(__xludf.DUMMYFUNCTION("""COMPUTED_VALUE"""),0.0)</f>
        <v>0</v>
      </c>
    </row>
    <row r="1301">
      <c r="A1301" s="7">
        <f>IFERROR(__xludf.DUMMYFUNCTION("""COMPUTED_VALUE"""),38621.645833333336)</f>
        <v>38621.64583</v>
      </c>
      <c r="B1301" s="3">
        <f>IFERROR(__xludf.DUMMYFUNCTION("""COMPUTED_VALUE"""),2477.85)</f>
        <v>2477.85</v>
      </c>
      <c r="C1301" s="3">
        <f>IFERROR(__xludf.DUMMYFUNCTION("""COMPUTED_VALUE"""),2560.85)</f>
        <v>2560.85</v>
      </c>
      <c r="D1301" s="3">
        <f>IFERROR(__xludf.DUMMYFUNCTION("""COMPUTED_VALUE"""),2477.85)</f>
        <v>2477.85</v>
      </c>
      <c r="E1301" s="3">
        <f>IFERROR(__xludf.DUMMYFUNCTION("""COMPUTED_VALUE"""),2557.35)</f>
        <v>2557.35</v>
      </c>
      <c r="F1301" s="3">
        <f>IFERROR(__xludf.DUMMYFUNCTION("""COMPUTED_VALUE"""),0.0)</f>
        <v>0</v>
      </c>
    </row>
    <row r="1302">
      <c r="A1302" s="7">
        <f>IFERROR(__xludf.DUMMYFUNCTION("""COMPUTED_VALUE"""),38622.645833333336)</f>
        <v>38622.64583</v>
      </c>
      <c r="B1302" s="3">
        <f>IFERROR(__xludf.DUMMYFUNCTION("""COMPUTED_VALUE"""),2558.5)</f>
        <v>2558.5</v>
      </c>
      <c r="C1302" s="3">
        <f>IFERROR(__xludf.DUMMYFUNCTION("""COMPUTED_VALUE"""),2592.5)</f>
        <v>2592.5</v>
      </c>
      <c r="D1302" s="3">
        <f>IFERROR(__xludf.DUMMYFUNCTION("""COMPUTED_VALUE"""),2549.85)</f>
        <v>2549.85</v>
      </c>
      <c r="E1302" s="3">
        <f>IFERROR(__xludf.DUMMYFUNCTION("""COMPUTED_VALUE"""),2574.85)</f>
        <v>2574.85</v>
      </c>
      <c r="F1302" s="3">
        <f>IFERROR(__xludf.DUMMYFUNCTION("""COMPUTED_VALUE"""),0.0)</f>
        <v>0</v>
      </c>
    </row>
    <row r="1303">
      <c r="A1303" s="7">
        <f>IFERROR(__xludf.DUMMYFUNCTION("""COMPUTED_VALUE"""),38623.645833333336)</f>
        <v>38623.64583</v>
      </c>
      <c r="B1303" s="3">
        <f>IFERROR(__xludf.DUMMYFUNCTION("""COMPUTED_VALUE"""),2574.45)</f>
        <v>2574.45</v>
      </c>
      <c r="C1303" s="3">
        <f>IFERROR(__xludf.DUMMYFUNCTION("""COMPUTED_VALUE"""),2602.95)</f>
        <v>2602.95</v>
      </c>
      <c r="D1303" s="3">
        <f>IFERROR(__xludf.DUMMYFUNCTION("""COMPUTED_VALUE"""),2559.85)</f>
        <v>2559.85</v>
      </c>
      <c r="E1303" s="3">
        <f>IFERROR(__xludf.DUMMYFUNCTION("""COMPUTED_VALUE"""),2598.05)</f>
        <v>2598.05</v>
      </c>
      <c r="F1303" s="3">
        <f>IFERROR(__xludf.DUMMYFUNCTION("""COMPUTED_VALUE"""),0.0)</f>
        <v>0</v>
      </c>
    </row>
    <row r="1304">
      <c r="A1304" s="7">
        <f>IFERROR(__xludf.DUMMYFUNCTION("""COMPUTED_VALUE"""),38624.645833333336)</f>
        <v>38624.64583</v>
      </c>
      <c r="B1304" s="3">
        <f>IFERROR(__xludf.DUMMYFUNCTION("""COMPUTED_VALUE"""),2598.6)</f>
        <v>2598.6</v>
      </c>
      <c r="C1304" s="3">
        <f>IFERROR(__xludf.DUMMYFUNCTION("""COMPUTED_VALUE"""),2633.9)</f>
        <v>2633.9</v>
      </c>
      <c r="D1304" s="3">
        <f>IFERROR(__xludf.DUMMYFUNCTION("""COMPUTED_VALUE"""),2589.45)</f>
        <v>2589.45</v>
      </c>
      <c r="E1304" s="3">
        <f>IFERROR(__xludf.DUMMYFUNCTION("""COMPUTED_VALUE"""),2611.2)</f>
        <v>2611.2</v>
      </c>
      <c r="F1304" s="3">
        <f>IFERROR(__xludf.DUMMYFUNCTION("""COMPUTED_VALUE"""),0.0)</f>
        <v>0</v>
      </c>
    </row>
    <row r="1305">
      <c r="A1305" s="7">
        <f>IFERROR(__xludf.DUMMYFUNCTION("""COMPUTED_VALUE"""),38625.645833333336)</f>
        <v>38625.64583</v>
      </c>
      <c r="B1305" s="3">
        <f>IFERROR(__xludf.DUMMYFUNCTION("""COMPUTED_VALUE"""),2607.9)</f>
        <v>2607.9</v>
      </c>
      <c r="C1305" s="3">
        <f>IFERROR(__xludf.DUMMYFUNCTION("""COMPUTED_VALUE"""),2623.05)</f>
        <v>2623.05</v>
      </c>
      <c r="D1305" s="3">
        <f>IFERROR(__xludf.DUMMYFUNCTION("""COMPUTED_VALUE"""),2567.75)</f>
        <v>2567.75</v>
      </c>
      <c r="E1305" s="3">
        <f>IFERROR(__xludf.DUMMYFUNCTION("""COMPUTED_VALUE"""),2601.4)</f>
        <v>2601.4</v>
      </c>
      <c r="F1305" s="3">
        <f>IFERROR(__xludf.DUMMYFUNCTION("""COMPUTED_VALUE"""),0.0)</f>
        <v>0</v>
      </c>
    </row>
    <row r="1306">
      <c r="A1306" s="7">
        <f>IFERROR(__xludf.DUMMYFUNCTION("""COMPUTED_VALUE"""),38628.645833333336)</f>
        <v>38628.64583</v>
      </c>
      <c r="B1306" s="3">
        <f>IFERROR(__xludf.DUMMYFUNCTION("""COMPUTED_VALUE"""),2601.0)</f>
        <v>2601</v>
      </c>
      <c r="C1306" s="3">
        <f>IFERROR(__xludf.DUMMYFUNCTION("""COMPUTED_VALUE"""),2635.0)</f>
        <v>2635</v>
      </c>
      <c r="D1306" s="3">
        <f>IFERROR(__xludf.DUMMYFUNCTION("""COMPUTED_VALUE"""),2597.2)</f>
        <v>2597.2</v>
      </c>
      <c r="E1306" s="3">
        <f>IFERROR(__xludf.DUMMYFUNCTION("""COMPUTED_VALUE"""),2630.05)</f>
        <v>2630.05</v>
      </c>
      <c r="F1306" s="3">
        <f>IFERROR(__xludf.DUMMYFUNCTION("""COMPUTED_VALUE"""),0.0)</f>
        <v>0</v>
      </c>
    </row>
    <row r="1307">
      <c r="A1307" s="7">
        <f>IFERROR(__xludf.DUMMYFUNCTION("""COMPUTED_VALUE"""),38629.645833333336)</f>
        <v>38629.64583</v>
      </c>
      <c r="B1307" s="3">
        <f>IFERROR(__xludf.DUMMYFUNCTION("""COMPUTED_VALUE"""),2630.0)</f>
        <v>2630</v>
      </c>
      <c r="C1307" s="3">
        <f>IFERROR(__xludf.DUMMYFUNCTION("""COMPUTED_VALUE"""),2667.05)</f>
        <v>2667.05</v>
      </c>
      <c r="D1307" s="3">
        <f>IFERROR(__xludf.DUMMYFUNCTION("""COMPUTED_VALUE"""),2629.6)</f>
        <v>2629.6</v>
      </c>
      <c r="E1307" s="3">
        <f>IFERROR(__xludf.DUMMYFUNCTION("""COMPUTED_VALUE"""),2663.35)</f>
        <v>2663.35</v>
      </c>
      <c r="F1307" s="3">
        <f>IFERROR(__xludf.DUMMYFUNCTION("""COMPUTED_VALUE"""),0.0)</f>
        <v>0</v>
      </c>
    </row>
    <row r="1308">
      <c r="A1308" s="7">
        <f>IFERROR(__xludf.DUMMYFUNCTION("""COMPUTED_VALUE"""),38630.645833333336)</f>
        <v>38630.64583</v>
      </c>
      <c r="B1308" s="3">
        <f>IFERROR(__xludf.DUMMYFUNCTION("""COMPUTED_VALUE"""),2663.7)</f>
        <v>2663.7</v>
      </c>
      <c r="C1308" s="3">
        <f>IFERROR(__xludf.DUMMYFUNCTION("""COMPUTED_VALUE"""),2669.2)</f>
        <v>2669.2</v>
      </c>
      <c r="D1308" s="3">
        <f>IFERROR(__xludf.DUMMYFUNCTION("""COMPUTED_VALUE"""),2636.6)</f>
        <v>2636.6</v>
      </c>
      <c r="E1308" s="3">
        <f>IFERROR(__xludf.DUMMYFUNCTION("""COMPUTED_VALUE"""),2644.4)</f>
        <v>2644.4</v>
      </c>
      <c r="F1308" s="3">
        <f>IFERROR(__xludf.DUMMYFUNCTION("""COMPUTED_VALUE"""),0.0)</f>
        <v>0</v>
      </c>
    </row>
    <row r="1309">
      <c r="A1309" s="7">
        <f>IFERROR(__xludf.DUMMYFUNCTION("""COMPUTED_VALUE"""),38631.645833333336)</f>
        <v>38631.64583</v>
      </c>
      <c r="B1309" s="3">
        <f>IFERROR(__xludf.DUMMYFUNCTION("""COMPUTED_VALUE"""),2643.8)</f>
        <v>2643.8</v>
      </c>
      <c r="C1309" s="3">
        <f>IFERROR(__xludf.DUMMYFUNCTION("""COMPUTED_VALUE"""),2643.8)</f>
        <v>2643.8</v>
      </c>
      <c r="D1309" s="3">
        <f>IFERROR(__xludf.DUMMYFUNCTION("""COMPUTED_VALUE"""),2571.3)</f>
        <v>2571.3</v>
      </c>
      <c r="E1309" s="3">
        <f>IFERROR(__xludf.DUMMYFUNCTION("""COMPUTED_VALUE"""),2579.15)</f>
        <v>2579.15</v>
      </c>
      <c r="F1309" s="3">
        <f>IFERROR(__xludf.DUMMYFUNCTION("""COMPUTED_VALUE"""),0.0)</f>
        <v>0</v>
      </c>
    </row>
    <row r="1310">
      <c r="A1310" s="7">
        <f>IFERROR(__xludf.DUMMYFUNCTION("""COMPUTED_VALUE"""),38632.645833333336)</f>
        <v>38632.64583</v>
      </c>
      <c r="B1310" s="3">
        <f>IFERROR(__xludf.DUMMYFUNCTION("""COMPUTED_VALUE"""),2577.2)</f>
        <v>2577.2</v>
      </c>
      <c r="C1310" s="3">
        <f>IFERROR(__xludf.DUMMYFUNCTION("""COMPUTED_VALUE"""),2603.25)</f>
        <v>2603.25</v>
      </c>
      <c r="D1310" s="3">
        <f>IFERROR(__xludf.DUMMYFUNCTION("""COMPUTED_VALUE"""),2547.55)</f>
        <v>2547.55</v>
      </c>
      <c r="E1310" s="3">
        <f>IFERROR(__xludf.DUMMYFUNCTION("""COMPUTED_VALUE"""),2574.05)</f>
        <v>2574.05</v>
      </c>
      <c r="F1310" s="3">
        <f>IFERROR(__xludf.DUMMYFUNCTION("""COMPUTED_VALUE"""),0.0)</f>
        <v>0</v>
      </c>
    </row>
    <row r="1311">
      <c r="A1311" s="7">
        <f>IFERROR(__xludf.DUMMYFUNCTION("""COMPUTED_VALUE"""),38635.645833333336)</f>
        <v>38635.64583</v>
      </c>
      <c r="B1311" s="3">
        <f>IFERROR(__xludf.DUMMYFUNCTION("""COMPUTED_VALUE"""),2577.1)</f>
        <v>2577.1</v>
      </c>
      <c r="C1311" s="3">
        <f>IFERROR(__xludf.DUMMYFUNCTION("""COMPUTED_VALUE"""),2595.15)</f>
        <v>2595.15</v>
      </c>
      <c r="D1311" s="3">
        <f>IFERROR(__xludf.DUMMYFUNCTION("""COMPUTED_VALUE"""),2561.0)</f>
        <v>2561</v>
      </c>
      <c r="E1311" s="3">
        <f>IFERROR(__xludf.DUMMYFUNCTION("""COMPUTED_VALUE"""),2566.85)</f>
        <v>2566.85</v>
      </c>
      <c r="F1311" s="3">
        <f>IFERROR(__xludf.DUMMYFUNCTION("""COMPUTED_VALUE"""),0.0)</f>
        <v>0</v>
      </c>
    </row>
    <row r="1312">
      <c r="A1312" s="7">
        <f>IFERROR(__xludf.DUMMYFUNCTION("""COMPUTED_VALUE"""),38636.645833333336)</f>
        <v>38636.64583</v>
      </c>
      <c r="B1312" s="3">
        <f>IFERROR(__xludf.DUMMYFUNCTION("""COMPUTED_VALUE"""),2569.15)</f>
        <v>2569.15</v>
      </c>
      <c r="C1312" s="3">
        <f>IFERROR(__xludf.DUMMYFUNCTION("""COMPUTED_VALUE"""),2592.0)</f>
        <v>2592</v>
      </c>
      <c r="D1312" s="3">
        <f>IFERROR(__xludf.DUMMYFUNCTION("""COMPUTED_VALUE"""),2533.7)</f>
        <v>2533.7</v>
      </c>
      <c r="E1312" s="3">
        <f>IFERROR(__xludf.DUMMYFUNCTION("""COMPUTED_VALUE"""),2589.55)</f>
        <v>2589.55</v>
      </c>
      <c r="F1312" s="3">
        <f>IFERROR(__xludf.DUMMYFUNCTION("""COMPUTED_VALUE"""),0.0)</f>
        <v>0</v>
      </c>
    </row>
    <row r="1313">
      <c r="A1313" s="7">
        <f>IFERROR(__xludf.DUMMYFUNCTION("""COMPUTED_VALUE"""),38638.645833333336)</f>
        <v>38638.64583</v>
      </c>
      <c r="B1313" s="3">
        <f>IFERROR(__xludf.DUMMYFUNCTION("""COMPUTED_VALUE"""),2584.4)</f>
        <v>2584.4</v>
      </c>
      <c r="C1313" s="3">
        <f>IFERROR(__xludf.DUMMYFUNCTION("""COMPUTED_VALUE"""),2589.35)</f>
        <v>2589.35</v>
      </c>
      <c r="D1313" s="3">
        <f>IFERROR(__xludf.DUMMYFUNCTION("""COMPUTED_VALUE"""),2529.05)</f>
        <v>2529.05</v>
      </c>
      <c r="E1313" s="3">
        <f>IFERROR(__xludf.DUMMYFUNCTION("""COMPUTED_VALUE"""),2537.3)</f>
        <v>2537.3</v>
      </c>
      <c r="F1313" s="3">
        <f>IFERROR(__xludf.DUMMYFUNCTION("""COMPUTED_VALUE"""),0.0)</f>
        <v>0</v>
      </c>
    </row>
    <row r="1314">
      <c r="A1314" s="7">
        <f>IFERROR(__xludf.DUMMYFUNCTION("""COMPUTED_VALUE"""),38639.645833333336)</f>
        <v>38639.64583</v>
      </c>
      <c r="B1314" s="3">
        <f>IFERROR(__xludf.DUMMYFUNCTION("""COMPUTED_VALUE"""),2537.7)</f>
        <v>2537.7</v>
      </c>
      <c r="C1314" s="3">
        <f>IFERROR(__xludf.DUMMYFUNCTION("""COMPUTED_VALUE"""),2548.0)</f>
        <v>2548</v>
      </c>
      <c r="D1314" s="3">
        <f>IFERROR(__xludf.DUMMYFUNCTION("""COMPUTED_VALUE"""),2478.0)</f>
        <v>2478</v>
      </c>
      <c r="E1314" s="3">
        <f>IFERROR(__xludf.DUMMYFUNCTION("""COMPUTED_VALUE"""),2484.4)</f>
        <v>2484.4</v>
      </c>
      <c r="F1314" s="3">
        <f>IFERROR(__xludf.DUMMYFUNCTION("""COMPUTED_VALUE"""),0.0)</f>
        <v>0</v>
      </c>
    </row>
    <row r="1315">
      <c r="A1315" s="7">
        <f>IFERROR(__xludf.DUMMYFUNCTION("""COMPUTED_VALUE"""),38642.645833333336)</f>
        <v>38642.64583</v>
      </c>
      <c r="B1315" s="3">
        <f>IFERROR(__xludf.DUMMYFUNCTION("""COMPUTED_VALUE"""),2488.4)</f>
        <v>2488.4</v>
      </c>
      <c r="C1315" s="3">
        <f>IFERROR(__xludf.DUMMYFUNCTION("""COMPUTED_VALUE"""),2498.6)</f>
        <v>2498.6</v>
      </c>
      <c r="D1315" s="3">
        <f>IFERROR(__xludf.DUMMYFUNCTION("""COMPUTED_VALUE"""),2459.5)</f>
        <v>2459.5</v>
      </c>
      <c r="E1315" s="3">
        <f>IFERROR(__xludf.DUMMYFUNCTION("""COMPUTED_VALUE"""),2485.15)</f>
        <v>2485.15</v>
      </c>
      <c r="F1315" s="3">
        <f>IFERROR(__xludf.DUMMYFUNCTION("""COMPUTED_VALUE"""),0.0)</f>
        <v>0</v>
      </c>
    </row>
    <row r="1316">
      <c r="A1316" s="7">
        <f>IFERROR(__xludf.DUMMYFUNCTION("""COMPUTED_VALUE"""),38643.645833333336)</f>
        <v>38643.64583</v>
      </c>
      <c r="B1316" s="3">
        <f>IFERROR(__xludf.DUMMYFUNCTION("""COMPUTED_VALUE"""),2485.25)</f>
        <v>2485.25</v>
      </c>
      <c r="C1316" s="3">
        <f>IFERROR(__xludf.DUMMYFUNCTION("""COMPUTED_VALUE"""),2517.7)</f>
        <v>2517.7</v>
      </c>
      <c r="D1316" s="3">
        <f>IFERROR(__xludf.DUMMYFUNCTION("""COMPUTED_VALUE"""),2452.5)</f>
        <v>2452.5</v>
      </c>
      <c r="E1316" s="3">
        <f>IFERROR(__xludf.DUMMYFUNCTION("""COMPUTED_VALUE"""),2468.2)</f>
        <v>2468.2</v>
      </c>
      <c r="F1316" s="3">
        <f>IFERROR(__xludf.DUMMYFUNCTION("""COMPUTED_VALUE"""),0.0)</f>
        <v>0</v>
      </c>
    </row>
    <row r="1317">
      <c r="A1317" s="7">
        <f>IFERROR(__xludf.DUMMYFUNCTION("""COMPUTED_VALUE"""),38644.645833333336)</f>
        <v>38644.64583</v>
      </c>
      <c r="B1317" s="3">
        <f>IFERROR(__xludf.DUMMYFUNCTION("""COMPUTED_VALUE"""),2467.8)</f>
        <v>2467.8</v>
      </c>
      <c r="C1317" s="3">
        <f>IFERROR(__xludf.DUMMYFUNCTION("""COMPUTED_VALUE"""),2467.85)</f>
        <v>2467.85</v>
      </c>
      <c r="D1317" s="3">
        <f>IFERROR(__xludf.DUMMYFUNCTION("""COMPUTED_VALUE"""),2394.95)</f>
        <v>2394.95</v>
      </c>
      <c r="E1317" s="3">
        <f>IFERROR(__xludf.DUMMYFUNCTION("""COMPUTED_VALUE"""),2412.45)</f>
        <v>2412.45</v>
      </c>
      <c r="F1317" s="3">
        <f>IFERROR(__xludf.DUMMYFUNCTION("""COMPUTED_VALUE"""),0.0)</f>
        <v>0</v>
      </c>
    </row>
    <row r="1318">
      <c r="A1318" s="7">
        <f>IFERROR(__xludf.DUMMYFUNCTION("""COMPUTED_VALUE"""),38645.645833333336)</f>
        <v>38645.64583</v>
      </c>
      <c r="B1318" s="3">
        <f>IFERROR(__xludf.DUMMYFUNCTION("""COMPUTED_VALUE"""),2421.4)</f>
        <v>2421.4</v>
      </c>
      <c r="C1318" s="3">
        <f>IFERROR(__xludf.DUMMYFUNCTION("""COMPUTED_VALUE"""),2463.85)</f>
        <v>2463.85</v>
      </c>
      <c r="D1318" s="3">
        <f>IFERROR(__xludf.DUMMYFUNCTION("""COMPUTED_VALUE"""),2363.55)</f>
        <v>2363.55</v>
      </c>
      <c r="E1318" s="3">
        <f>IFERROR(__xludf.DUMMYFUNCTION("""COMPUTED_VALUE"""),2395.45)</f>
        <v>2395.45</v>
      </c>
      <c r="F1318" s="3">
        <f>IFERROR(__xludf.DUMMYFUNCTION("""COMPUTED_VALUE"""),0.0)</f>
        <v>0</v>
      </c>
    </row>
    <row r="1319">
      <c r="A1319" s="7">
        <f>IFERROR(__xludf.DUMMYFUNCTION("""COMPUTED_VALUE"""),38646.645833333336)</f>
        <v>38646.64583</v>
      </c>
      <c r="B1319" s="3">
        <f>IFERROR(__xludf.DUMMYFUNCTION("""COMPUTED_VALUE"""),2397.85)</f>
        <v>2397.85</v>
      </c>
      <c r="C1319" s="3">
        <f>IFERROR(__xludf.DUMMYFUNCTION("""COMPUTED_VALUE"""),2447.85)</f>
        <v>2447.85</v>
      </c>
      <c r="D1319" s="3">
        <f>IFERROR(__xludf.DUMMYFUNCTION("""COMPUTED_VALUE"""),2384.05)</f>
        <v>2384.05</v>
      </c>
      <c r="E1319" s="3">
        <f>IFERROR(__xludf.DUMMYFUNCTION("""COMPUTED_VALUE"""),2443.75)</f>
        <v>2443.75</v>
      </c>
      <c r="F1319" s="3">
        <f>IFERROR(__xludf.DUMMYFUNCTION("""COMPUTED_VALUE"""),0.0)</f>
        <v>0</v>
      </c>
    </row>
    <row r="1320">
      <c r="A1320" s="7">
        <f>IFERROR(__xludf.DUMMYFUNCTION("""COMPUTED_VALUE"""),38649.645833333336)</f>
        <v>38649.64583</v>
      </c>
      <c r="B1320" s="3">
        <f>IFERROR(__xludf.DUMMYFUNCTION("""COMPUTED_VALUE"""),2444.2)</f>
        <v>2444.2</v>
      </c>
      <c r="C1320" s="3">
        <f>IFERROR(__xludf.DUMMYFUNCTION("""COMPUTED_VALUE"""),2460.0)</f>
        <v>2460</v>
      </c>
      <c r="D1320" s="3">
        <f>IFERROR(__xludf.DUMMYFUNCTION("""COMPUTED_VALUE"""),2388.4)</f>
        <v>2388.4</v>
      </c>
      <c r="E1320" s="3">
        <f>IFERROR(__xludf.DUMMYFUNCTION("""COMPUTED_VALUE"""),2394.85)</f>
        <v>2394.85</v>
      </c>
      <c r="F1320" s="3">
        <f>IFERROR(__xludf.DUMMYFUNCTION("""COMPUTED_VALUE"""),0.0)</f>
        <v>0</v>
      </c>
    </row>
    <row r="1321">
      <c r="A1321" s="7">
        <f>IFERROR(__xludf.DUMMYFUNCTION("""COMPUTED_VALUE"""),38650.645833333336)</f>
        <v>38650.64583</v>
      </c>
      <c r="B1321" s="3">
        <f>IFERROR(__xludf.DUMMYFUNCTION("""COMPUTED_VALUE"""),2394.95)</f>
        <v>2394.95</v>
      </c>
      <c r="C1321" s="3">
        <f>IFERROR(__xludf.DUMMYFUNCTION("""COMPUTED_VALUE"""),2444.6)</f>
        <v>2444.6</v>
      </c>
      <c r="D1321" s="3">
        <f>IFERROR(__xludf.DUMMYFUNCTION("""COMPUTED_VALUE"""),2390.85)</f>
        <v>2390.85</v>
      </c>
      <c r="E1321" s="3">
        <f>IFERROR(__xludf.DUMMYFUNCTION("""COMPUTED_VALUE"""),2418.2)</f>
        <v>2418.2</v>
      </c>
      <c r="F1321" s="3">
        <f>IFERROR(__xludf.DUMMYFUNCTION("""COMPUTED_VALUE"""),0.0)</f>
        <v>0</v>
      </c>
    </row>
    <row r="1322">
      <c r="A1322" s="7">
        <f>IFERROR(__xludf.DUMMYFUNCTION("""COMPUTED_VALUE"""),38651.645833333336)</f>
        <v>38651.64583</v>
      </c>
      <c r="B1322" s="3">
        <f>IFERROR(__xludf.DUMMYFUNCTION("""COMPUTED_VALUE"""),2418.45)</f>
        <v>2418.45</v>
      </c>
      <c r="C1322" s="3">
        <f>IFERROR(__xludf.DUMMYFUNCTION("""COMPUTED_VALUE"""),2434.0)</f>
        <v>2434</v>
      </c>
      <c r="D1322" s="3">
        <f>IFERROR(__xludf.DUMMYFUNCTION("""COMPUTED_VALUE"""),2401.1)</f>
        <v>2401.1</v>
      </c>
      <c r="E1322" s="3">
        <f>IFERROR(__xludf.DUMMYFUNCTION("""COMPUTED_VALUE"""),2408.5)</f>
        <v>2408.5</v>
      </c>
      <c r="F1322" s="3">
        <f>IFERROR(__xludf.DUMMYFUNCTION("""COMPUTED_VALUE"""),0.0)</f>
        <v>0</v>
      </c>
    </row>
    <row r="1323">
      <c r="A1323" s="7">
        <f>IFERROR(__xludf.DUMMYFUNCTION("""COMPUTED_VALUE"""),38652.645833333336)</f>
        <v>38652.64583</v>
      </c>
      <c r="B1323" s="3">
        <f>IFERROR(__xludf.DUMMYFUNCTION("""COMPUTED_VALUE"""),2408.95)</f>
        <v>2408.95</v>
      </c>
      <c r="C1323" s="3">
        <f>IFERROR(__xludf.DUMMYFUNCTION("""COMPUTED_VALUE"""),2416.45)</f>
        <v>2416.45</v>
      </c>
      <c r="D1323" s="3">
        <f>IFERROR(__xludf.DUMMYFUNCTION("""COMPUTED_VALUE"""),2338.6)</f>
        <v>2338.6</v>
      </c>
      <c r="E1323" s="3">
        <f>IFERROR(__xludf.DUMMYFUNCTION("""COMPUTED_VALUE"""),2352.9)</f>
        <v>2352.9</v>
      </c>
      <c r="F1323" s="3">
        <f>IFERROR(__xludf.DUMMYFUNCTION("""COMPUTED_VALUE"""),0.0)</f>
        <v>0</v>
      </c>
    </row>
    <row r="1324">
      <c r="A1324" s="7">
        <f>IFERROR(__xludf.DUMMYFUNCTION("""COMPUTED_VALUE"""),38653.645833333336)</f>
        <v>38653.64583</v>
      </c>
      <c r="B1324" s="3">
        <f>IFERROR(__xludf.DUMMYFUNCTION("""COMPUTED_VALUE"""),2352.65)</f>
        <v>2352.65</v>
      </c>
      <c r="C1324" s="3">
        <f>IFERROR(__xludf.DUMMYFUNCTION("""COMPUTED_VALUE"""),2355.15)</f>
        <v>2355.15</v>
      </c>
      <c r="D1324" s="3">
        <f>IFERROR(__xludf.DUMMYFUNCTION("""COMPUTED_VALUE"""),2307.45)</f>
        <v>2307.45</v>
      </c>
      <c r="E1324" s="3">
        <f>IFERROR(__xludf.DUMMYFUNCTION("""COMPUTED_VALUE"""),2316.05)</f>
        <v>2316.05</v>
      </c>
      <c r="F1324" s="3">
        <f>IFERROR(__xludf.DUMMYFUNCTION("""COMPUTED_VALUE"""),0.0)</f>
        <v>0</v>
      </c>
    </row>
    <row r="1325">
      <c r="A1325" s="7">
        <f>IFERROR(__xludf.DUMMYFUNCTION("""COMPUTED_VALUE"""),38656.645833333336)</f>
        <v>38656.64583</v>
      </c>
      <c r="B1325" s="3">
        <f>IFERROR(__xludf.DUMMYFUNCTION("""COMPUTED_VALUE"""),2314.85)</f>
        <v>2314.85</v>
      </c>
      <c r="C1325" s="3">
        <f>IFERROR(__xludf.DUMMYFUNCTION("""COMPUTED_VALUE"""),2373.4)</f>
        <v>2373.4</v>
      </c>
      <c r="D1325" s="3">
        <f>IFERROR(__xludf.DUMMYFUNCTION("""COMPUTED_VALUE"""),2314.2)</f>
        <v>2314.2</v>
      </c>
      <c r="E1325" s="3">
        <f>IFERROR(__xludf.DUMMYFUNCTION("""COMPUTED_VALUE"""),2370.95)</f>
        <v>2370.95</v>
      </c>
      <c r="F1325" s="3">
        <f>IFERROR(__xludf.DUMMYFUNCTION("""COMPUTED_VALUE"""),0.0)</f>
        <v>0</v>
      </c>
    </row>
    <row r="1326">
      <c r="A1326" s="7">
        <f>IFERROR(__xludf.DUMMYFUNCTION("""COMPUTED_VALUE"""),38657.645833333336)</f>
        <v>38657.64583</v>
      </c>
      <c r="B1326" s="3">
        <f>IFERROR(__xludf.DUMMYFUNCTION("""COMPUTED_VALUE"""),2366.8)</f>
        <v>2366.8</v>
      </c>
      <c r="C1326" s="3">
        <f>IFERROR(__xludf.DUMMYFUNCTION("""COMPUTED_VALUE"""),2410.15)</f>
        <v>2410.15</v>
      </c>
      <c r="D1326" s="3">
        <f>IFERROR(__xludf.DUMMYFUNCTION("""COMPUTED_VALUE"""),2366.8)</f>
        <v>2366.8</v>
      </c>
      <c r="E1326" s="3">
        <f>IFERROR(__xludf.DUMMYFUNCTION("""COMPUTED_VALUE"""),2386.75)</f>
        <v>2386.75</v>
      </c>
      <c r="F1326" s="3">
        <f>IFERROR(__xludf.DUMMYFUNCTION("""COMPUTED_VALUE"""),0.0)</f>
        <v>0</v>
      </c>
    </row>
    <row r="1327">
      <c r="A1327" s="7">
        <f>IFERROR(__xludf.DUMMYFUNCTION("""COMPUTED_VALUE"""),38658.645833333336)</f>
        <v>38658.64583</v>
      </c>
      <c r="B1327" s="3">
        <f>IFERROR(__xludf.DUMMYFUNCTION("""COMPUTED_VALUE"""),2386.45)</f>
        <v>2386.45</v>
      </c>
      <c r="C1327" s="3">
        <f>IFERROR(__xludf.DUMMYFUNCTION("""COMPUTED_VALUE"""),2423.8)</f>
        <v>2423.8</v>
      </c>
      <c r="D1327" s="3">
        <f>IFERROR(__xludf.DUMMYFUNCTION("""COMPUTED_VALUE"""),2367.75)</f>
        <v>2367.75</v>
      </c>
      <c r="E1327" s="3">
        <f>IFERROR(__xludf.DUMMYFUNCTION("""COMPUTED_VALUE"""),2419.05)</f>
        <v>2419.05</v>
      </c>
      <c r="F1327" s="3">
        <f>IFERROR(__xludf.DUMMYFUNCTION("""COMPUTED_VALUE"""),0.0)</f>
        <v>0</v>
      </c>
    </row>
    <row r="1328">
      <c r="A1328" s="7">
        <f>IFERROR(__xludf.DUMMYFUNCTION("""COMPUTED_VALUE"""),38663.645833333336)</f>
        <v>38663.64583</v>
      </c>
      <c r="B1328" s="3">
        <f>IFERROR(__xludf.DUMMYFUNCTION("""COMPUTED_VALUE"""),2419.25)</f>
        <v>2419.25</v>
      </c>
      <c r="C1328" s="3">
        <f>IFERROR(__xludf.DUMMYFUNCTION("""COMPUTED_VALUE"""),2464.65)</f>
        <v>2464.65</v>
      </c>
      <c r="D1328" s="3">
        <f>IFERROR(__xludf.DUMMYFUNCTION("""COMPUTED_VALUE"""),2411.6)</f>
        <v>2411.6</v>
      </c>
      <c r="E1328" s="3">
        <f>IFERROR(__xludf.DUMMYFUNCTION("""COMPUTED_VALUE"""),2461.6)</f>
        <v>2461.6</v>
      </c>
      <c r="F1328" s="3">
        <f>IFERROR(__xludf.DUMMYFUNCTION("""COMPUTED_VALUE"""),0.0)</f>
        <v>0</v>
      </c>
    </row>
    <row r="1329">
      <c r="A1329" s="7">
        <f>IFERROR(__xludf.DUMMYFUNCTION("""COMPUTED_VALUE"""),38664.645833333336)</f>
        <v>38664.64583</v>
      </c>
      <c r="B1329" s="3">
        <f>IFERROR(__xludf.DUMMYFUNCTION("""COMPUTED_VALUE"""),2463.65)</f>
        <v>2463.65</v>
      </c>
      <c r="C1329" s="3">
        <f>IFERROR(__xludf.DUMMYFUNCTION("""COMPUTED_VALUE"""),2502.9)</f>
        <v>2502.9</v>
      </c>
      <c r="D1329" s="3">
        <f>IFERROR(__xludf.DUMMYFUNCTION("""COMPUTED_VALUE"""),2460.0)</f>
        <v>2460</v>
      </c>
      <c r="E1329" s="3">
        <f>IFERROR(__xludf.DUMMYFUNCTION("""COMPUTED_VALUE"""),2492.65)</f>
        <v>2492.65</v>
      </c>
      <c r="F1329" s="3">
        <f>IFERROR(__xludf.DUMMYFUNCTION("""COMPUTED_VALUE"""),0.0)</f>
        <v>0</v>
      </c>
    </row>
    <row r="1330">
      <c r="A1330" s="7">
        <f>IFERROR(__xludf.DUMMYFUNCTION("""COMPUTED_VALUE"""),38665.645833333336)</f>
        <v>38665.64583</v>
      </c>
      <c r="B1330" s="3">
        <f>IFERROR(__xludf.DUMMYFUNCTION("""COMPUTED_VALUE"""),2493.1)</f>
        <v>2493.1</v>
      </c>
      <c r="C1330" s="3">
        <f>IFERROR(__xludf.DUMMYFUNCTION("""COMPUTED_VALUE"""),2519.4)</f>
        <v>2519.4</v>
      </c>
      <c r="D1330" s="3">
        <f>IFERROR(__xludf.DUMMYFUNCTION("""COMPUTED_VALUE"""),2475.7)</f>
        <v>2475.7</v>
      </c>
      <c r="E1330" s="3">
        <f>IFERROR(__xludf.DUMMYFUNCTION("""COMPUTED_VALUE"""),2489.1)</f>
        <v>2489.1</v>
      </c>
      <c r="F1330" s="3">
        <f>IFERROR(__xludf.DUMMYFUNCTION("""COMPUTED_VALUE"""),0.0)</f>
        <v>0</v>
      </c>
    </row>
    <row r="1331">
      <c r="A1331" s="7">
        <f>IFERROR(__xludf.DUMMYFUNCTION("""COMPUTED_VALUE"""),38666.645833333336)</f>
        <v>38666.64583</v>
      </c>
      <c r="B1331" s="3">
        <f>IFERROR(__xludf.DUMMYFUNCTION("""COMPUTED_VALUE"""),2489.1)</f>
        <v>2489.1</v>
      </c>
      <c r="C1331" s="3">
        <f>IFERROR(__xludf.DUMMYFUNCTION("""COMPUTED_VALUE"""),2504.75)</f>
        <v>2504.75</v>
      </c>
      <c r="D1331" s="3">
        <f>IFERROR(__xludf.DUMMYFUNCTION("""COMPUTED_VALUE"""),2480.85)</f>
        <v>2480.85</v>
      </c>
      <c r="E1331" s="3">
        <f>IFERROR(__xludf.DUMMYFUNCTION("""COMPUTED_VALUE"""),2500.7)</f>
        <v>2500.7</v>
      </c>
      <c r="F1331" s="3">
        <f>IFERROR(__xludf.DUMMYFUNCTION("""COMPUTED_VALUE"""),0.0)</f>
        <v>0</v>
      </c>
    </row>
    <row r="1332">
      <c r="A1332" s="7">
        <f>IFERROR(__xludf.DUMMYFUNCTION("""COMPUTED_VALUE"""),38667.645833333336)</f>
        <v>38667.64583</v>
      </c>
      <c r="B1332" s="3">
        <f>IFERROR(__xludf.DUMMYFUNCTION("""COMPUTED_VALUE"""),2500.85)</f>
        <v>2500.85</v>
      </c>
      <c r="C1332" s="3">
        <f>IFERROR(__xludf.DUMMYFUNCTION("""COMPUTED_VALUE"""),2551.4)</f>
        <v>2551.4</v>
      </c>
      <c r="D1332" s="3">
        <f>IFERROR(__xludf.DUMMYFUNCTION("""COMPUTED_VALUE"""),2500.85)</f>
        <v>2500.85</v>
      </c>
      <c r="E1332" s="3">
        <f>IFERROR(__xludf.DUMMYFUNCTION("""COMPUTED_VALUE"""),2548.65)</f>
        <v>2548.65</v>
      </c>
      <c r="F1332" s="3">
        <f>IFERROR(__xludf.DUMMYFUNCTION("""COMPUTED_VALUE"""),0.0)</f>
        <v>0</v>
      </c>
    </row>
    <row r="1333">
      <c r="A1333" s="7">
        <f>IFERROR(__xludf.DUMMYFUNCTION("""COMPUTED_VALUE"""),38670.645833333336)</f>
        <v>38670.64583</v>
      </c>
      <c r="B1333" s="3">
        <f>IFERROR(__xludf.DUMMYFUNCTION("""COMPUTED_VALUE"""),2548.55)</f>
        <v>2548.55</v>
      </c>
      <c r="C1333" s="3">
        <f>IFERROR(__xludf.DUMMYFUNCTION("""COMPUTED_VALUE"""),2576.95)</f>
        <v>2576.95</v>
      </c>
      <c r="D1333" s="3">
        <f>IFERROR(__xludf.DUMMYFUNCTION("""COMPUTED_VALUE"""),2534.4)</f>
        <v>2534.4</v>
      </c>
      <c r="E1333" s="3">
        <f>IFERROR(__xludf.DUMMYFUNCTION("""COMPUTED_VALUE"""),2558.7)</f>
        <v>2558.7</v>
      </c>
      <c r="F1333" s="3">
        <f>IFERROR(__xludf.DUMMYFUNCTION("""COMPUTED_VALUE"""),0.0)</f>
        <v>0</v>
      </c>
    </row>
    <row r="1334">
      <c r="A1334" s="7">
        <f>IFERROR(__xludf.DUMMYFUNCTION("""COMPUTED_VALUE"""),38672.645833333336)</f>
        <v>38672.64583</v>
      </c>
      <c r="B1334" s="3">
        <f>IFERROR(__xludf.DUMMYFUNCTION("""COMPUTED_VALUE"""),2559.45)</f>
        <v>2559.45</v>
      </c>
      <c r="C1334" s="3">
        <f>IFERROR(__xludf.DUMMYFUNCTION("""COMPUTED_VALUE"""),2585.95)</f>
        <v>2585.95</v>
      </c>
      <c r="D1334" s="3">
        <f>IFERROR(__xludf.DUMMYFUNCTION("""COMPUTED_VALUE"""),2559.45)</f>
        <v>2559.45</v>
      </c>
      <c r="E1334" s="3">
        <f>IFERROR(__xludf.DUMMYFUNCTION("""COMPUTED_VALUE"""),2582.75)</f>
        <v>2582.75</v>
      </c>
      <c r="F1334" s="3">
        <f>IFERROR(__xludf.DUMMYFUNCTION("""COMPUTED_VALUE"""),0.0)</f>
        <v>0</v>
      </c>
    </row>
    <row r="1335">
      <c r="A1335" s="7">
        <f>IFERROR(__xludf.DUMMYFUNCTION("""COMPUTED_VALUE"""),38673.645833333336)</f>
        <v>38673.64583</v>
      </c>
      <c r="B1335" s="3">
        <f>IFERROR(__xludf.DUMMYFUNCTION("""COMPUTED_VALUE"""),2558.45)</f>
        <v>2558.45</v>
      </c>
      <c r="C1335" s="3">
        <f>IFERROR(__xludf.DUMMYFUNCTION("""COMPUTED_VALUE"""),2608.85)</f>
        <v>2608.85</v>
      </c>
      <c r="D1335" s="3">
        <f>IFERROR(__xludf.DUMMYFUNCTION("""COMPUTED_VALUE"""),2558.45)</f>
        <v>2558.45</v>
      </c>
      <c r="E1335" s="3">
        <f>IFERROR(__xludf.DUMMYFUNCTION("""COMPUTED_VALUE"""),2603.95)</f>
        <v>2603.95</v>
      </c>
      <c r="F1335" s="3">
        <f>IFERROR(__xludf.DUMMYFUNCTION("""COMPUTED_VALUE"""),0.0)</f>
        <v>0</v>
      </c>
    </row>
    <row r="1336">
      <c r="A1336" s="7">
        <f>IFERROR(__xludf.DUMMYFUNCTION("""COMPUTED_VALUE"""),38674.645833333336)</f>
        <v>38674.64583</v>
      </c>
      <c r="B1336" s="3">
        <f>IFERROR(__xludf.DUMMYFUNCTION("""COMPUTED_VALUE"""),2604.0)</f>
        <v>2604</v>
      </c>
      <c r="C1336" s="3">
        <f>IFERROR(__xludf.DUMMYFUNCTION("""COMPUTED_VALUE"""),2632.35)</f>
        <v>2632.35</v>
      </c>
      <c r="D1336" s="3">
        <f>IFERROR(__xludf.DUMMYFUNCTION("""COMPUTED_VALUE"""),2595.15)</f>
        <v>2595.15</v>
      </c>
      <c r="E1336" s="3">
        <f>IFERROR(__xludf.DUMMYFUNCTION("""COMPUTED_VALUE"""),2620.05)</f>
        <v>2620.05</v>
      </c>
      <c r="F1336" s="3">
        <f>IFERROR(__xludf.DUMMYFUNCTION("""COMPUTED_VALUE"""),0.0)</f>
        <v>0</v>
      </c>
    </row>
    <row r="1337">
      <c r="A1337" s="7">
        <f>IFERROR(__xludf.DUMMYFUNCTION("""COMPUTED_VALUE"""),38677.645833333336)</f>
        <v>38677.64583</v>
      </c>
      <c r="B1337" s="3">
        <f>IFERROR(__xludf.DUMMYFUNCTION("""COMPUTED_VALUE"""),2620.1)</f>
        <v>2620.1</v>
      </c>
      <c r="C1337" s="3">
        <f>IFERROR(__xludf.DUMMYFUNCTION("""COMPUTED_VALUE"""),2626.4)</f>
        <v>2626.4</v>
      </c>
      <c r="D1337" s="3">
        <f>IFERROR(__xludf.DUMMYFUNCTION("""COMPUTED_VALUE"""),2591.75)</f>
        <v>2591.75</v>
      </c>
      <c r="E1337" s="3">
        <f>IFERROR(__xludf.DUMMYFUNCTION("""COMPUTED_VALUE"""),2602.5)</f>
        <v>2602.5</v>
      </c>
      <c r="F1337" s="3">
        <f>IFERROR(__xludf.DUMMYFUNCTION("""COMPUTED_VALUE"""),0.0)</f>
        <v>0</v>
      </c>
    </row>
    <row r="1338">
      <c r="A1338" s="7">
        <f>IFERROR(__xludf.DUMMYFUNCTION("""COMPUTED_VALUE"""),38678.645833333336)</f>
        <v>38678.64583</v>
      </c>
      <c r="B1338" s="3">
        <f>IFERROR(__xludf.DUMMYFUNCTION("""COMPUTED_VALUE"""),2603.25)</f>
        <v>2603.25</v>
      </c>
      <c r="C1338" s="3">
        <f>IFERROR(__xludf.DUMMYFUNCTION("""COMPUTED_VALUE"""),2614.0)</f>
        <v>2614</v>
      </c>
      <c r="D1338" s="3">
        <f>IFERROR(__xludf.DUMMYFUNCTION("""COMPUTED_VALUE"""),2567.05)</f>
        <v>2567.05</v>
      </c>
      <c r="E1338" s="3">
        <f>IFERROR(__xludf.DUMMYFUNCTION("""COMPUTED_VALUE"""),2572.85)</f>
        <v>2572.85</v>
      </c>
      <c r="F1338" s="3">
        <f>IFERROR(__xludf.DUMMYFUNCTION("""COMPUTED_VALUE"""),0.0)</f>
        <v>0</v>
      </c>
    </row>
    <row r="1339">
      <c r="A1339" s="7">
        <f>IFERROR(__xludf.DUMMYFUNCTION("""COMPUTED_VALUE"""),38679.645833333336)</f>
        <v>38679.64583</v>
      </c>
      <c r="B1339" s="3">
        <f>IFERROR(__xludf.DUMMYFUNCTION("""COMPUTED_VALUE"""),2572.85)</f>
        <v>2572.85</v>
      </c>
      <c r="C1339" s="3">
        <f>IFERROR(__xludf.DUMMYFUNCTION("""COMPUTED_VALUE"""),2613.4)</f>
        <v>2613.4</v>
      </c>
      <c r="D1339" s="3">
        <f>IFERROR(__xludf.DUMMYFUNCTION("""COMPUTED_VALUE"""),2563.1)</f>
        <v>2563.1</v>
      </c>
      <c r="E1339" s="3">
        <f>IFERROR(__xludf.DUMMYFUNCTION("""COMPUTED_VALUE"""),2608.6)</f>
        <v>2608.6</v>
      </c>
      <c r="F1339" s="3">
        <f>IFERROR(__xludf.DUMMYFUNCTION("""COMPUTED_VALUE"""),0.0)</f>
        <v>0</v>
      </c>
    </row>
    <row r="1340">
      <c r="A1340" s="7">
        <f>IFERROR(__xludf.DUMMYFUNCTION("""COMPUTED_VALUE"""),38680.645833333336)</f>
        <v>38680.64583</v>
      </c>
      <c r="B1340" s="3">
        <f>IFERROR(__xludf.DUMMYFUNCTION("""COMPUTED_VALUE"""),2608.9)</f>
        <v>2608.9</v>
      </c>
      <c r="C1340" s="3">
        <f>IFERROR(__xludf.DUMMYFUNCTION("""COMPUTED_VALUE"""),2643.7)</f>
        <v>2643.7</v>
      </c>
      <c r="D1340" s="3">
        <f>IFERROR(__xludf.DUMMYFUNCTION("""COMPUTED_VALUE"""),2608.7)</f>
        <v>2608.7</v>
      </c>
      <c r="E1340" s="3">
        <f>IFERROR(__xludf.DUMMYFUNCTION("""COMPUTED_VALUE"""),2635.0)</f>
        <v>2635</v>
      </c>
      <c r="F1340" s="3">
        <f>IFERROR(__xludf.DUMMYFUNCTION("""COMPUTED_VALUE"""),0.0)</f>
        <v>0</v>
      </c>
    </row>
    <row r="1341">
      <c r="A1341" s="7">
        <f>IFERROR(__xludf.DUMMYFUNCTION("""COMPUTED_VALUE"""),38681.645833333336)</f>
        <v>38681.64583</v>
      </c>
      <c r="B1341" s="3">
        <f>IFERROR(__xludf.DUMMYFUNCTION("""COMPUTED_VALUE"""),2635.35)</f>
        <v>2635.35</v>
      </c>
      <c r="C1341" s="3">
        <f>IFERROR(__xludf.DUMMYFUNCTION("""COMPUTED_VALUE"""),2668.9)</f>
        <v>2668.9</v>
      </c>
      <c r="D1341" s="3">
        <f>IFERROR(__xludf.DUMMYFUNCTION("""COMPUTED_VALUE"""),2633.75)</f>
        <v>2633.75</v>
      </c>
      <c r="E1341" s="3">
        <f>IFERROR(__xludf.DUMMYFUNCTION("""COMPUTED_VALUE"""),2664.3)</f>
        <v>2664.3</v>
      </c>
      <c r="F1341" s="3">
        <f>IFERROR(__xludf.DUMMYFUNCTION("""COMPUTED_VALUE"""),0.0)</f>
        <v>0</v>
      </c>
    </row>
    <row r="1342">
      <c r="A1342" s="7">
        <f>IFERROR(__xludf.DUMMYFUNCTION("""COMPUTED_VALUE"""),38684.645833333336)</f>
        <v>38684.64583</v>
      </c>
      <c r="B1342" s="3">
        <f>IFERROR(__xludf.DUMMYFUNCTION("""COMPUTED_VALUE"""),2683.6)</f>
        <v>2683.6</v>
      </c>
      <c r="C1342" s="3">
        <f>IFERROR(__xludf.DUMMYFUNCTION("""COMPUTED_VALUE"""),2717.15)</f>
        <v>2717.15</v>
      </c>
      <c r="D1342" s="3">
        <f>IFERROR(__xludf.DUMMYFUNCTION("""COMPUTED_VALUE"""),2682.65)</f>
        <v>2682.65</v>
      </c>
      <c r="E1342" s="3">
        <f>IFERROR(__xludf.DUMMYFUNCTION("""COMPUTED_VALUE"""),2712.0)</f>
        <v>2712</v>
      </c>
      <c r="F1342" s="3">
        <f>IFERROR(__xludf.DUMMYFUNCTION("""COMPUTED_VALUE"""),0.0)</f>
        <v>0</v>
      </c>
    </row>
    <row r="1343">
      <c r="A1343" s="7">
        <f>IFERROR(__xludf.DUMMYFUNCTION("""COMPUTED_VALUE"""),38685.645833333336)</f>
        <v>38685.64583</v>
      </c>
      <c r="B1343" s="3">
        <f>IFERROR(__xludf.DUMMYFUNCTION("""COMPUTED_VALUE"""),2712.35)</f>
        <v>2712.35</v>
      </c>
      <c r="C1343" s="3">
        <f>IFERROR(__xludf.DUMMYFUNCTION("""COMPUTED_VALUE"""),2713.9)</f>
        <v>2713.9</v>
      </c>
      <c r="D1343" s="3">
        <f>IFERROR(__xludf.DUMMYFUNCTION("""COMPUTED_VALUE"""),2679.9)</f>
        <v>2679.9</v>
      </c>
      <c r="E1343" s="3">
        <f>IFERROR(__xludf.DUMMYFUNCTION("""COMPUTED_VALUE"""),2698.3)</f>
        <v>2698.3</v>
      </c>
      <c r="F1343" s="3">
        <f>IFERROR(__xludf.DUMMYFUNCTION("""COMPUTED_VALUE"""),0.0)</f>
        <v>0</v>
      </c>
    </row>
    <row r="1344">
      <c r="A1344" s="7">
        <f>IFERROR(__xludf.DUMMYFUNCTION("""COMPUTED_VALUE"""),38686.645833333336)</f>
        <v>38686.64583</v>
      </c>
      <c r="B1344" s="3">
        <f>IFERROR(__xludf.DUMMYFUNCTION("""COMPUTED_VALUE"""),2698.1)</f>
        <v>2698.1</v>
      </c>
      <c r="C1344" s="3">
        <f>IFERROR(__xludf.DUMMYFUNCTION("""COMPUTED_VALUE"""),2727.05)</f>
        <v>2727.05</v>
      </c>
      <c r="D1344" s="3">
        <f>IFERROR(__xludf.DUMMYFUNCTION("""COMPUTED_VALUE"""),2647.1)</f>
        <v>2647.1</v>
      </c>
      <c r="E1344" s="3">
        <f>IFERROR(__xludf.DUMMYFUNCTION("""COMPUTED_VALUE"""),2652.25)</f>
        <v>2652.25</v>
      </c>
      <c r="F1344" s="3">
        <f>IFERROR(__xludf.DUMMYFUNCTION("""COMPUTED_VALUE"""),0.0)</f>
        <v>0</v>
      </c>
    </row>
    <row r="1345">
      <c r="A1345" s="7">
        <f>IFERROR(__xludf.DUMMYFUNCTION("""COMPUTED_VALUE"""),38687.645833333336)</f>
        <v>38687.64583</v>
      </c>
      <c r="B1345" s="3">
        <f>IFERROR(__xludf.DUMMYFUNCTION("""COMPUTED_VALUE"""),2651.6)</f>
        <v>2651.6</v>
      </c>
      <c r="C1345" s="3">
        <f>IFERROR(__xludf.DUMMYFUNCTION("""COMPUTED_VALUE"""),2705.0)</f>
        <v>2705</v>
      </c>
      <c r="D1345" s="3">
        <f>IFERROR(__xludf.DUMMYFUNCTION("""COMPUTED_VALUE"""),2641.95)</f>
        <v>2641.95</v>
      </c>
      <c r="E1345" s="3">
        <f>IFERROR(__xludf.DUMMYFUNCTION("""COMPUTED_VALUE"""),2698.95)</f>
        <v>2698.95</v>
      </c>
      <c r="F1345" s="3">
        <f>IFERROR(__xludf.DUMMYFUNCTION("""COMPUTED_VALUE"""),0.0)</f>
        <v>0</v>
      </c>
    </row>
    <row r="1346">
      <c r="A1346" s="7">
        <f>IFERROR(__xludf.DUMMYFUNCTION("""COMPUTED_VALUE"""),38688.645833333336)</f>
        <v>38688.64583</v>
      </c>
      <c r="B1346" s="3">
        <f>IFERROR(__xludf.DUMMYFUNCTION("""COMPUTED_VALUE"""),2699.55)</f>
        <v>2699.55</v>
      </c>
      <c r="C1346" s="3">
        <f>IFERROR(__xludf.DUMMYFUNCTION("""COMPUTED_VALUE"""),2730.7)</f>
        <v>2730.7</v>
      </c>
      <c r="D1346" s="3">
        <f>IFERROR(__xludf.DUMMYFUNCTION("""COMPUTED_VALUE"""),2691.5)</f>
        <v>2691.5</v>
      </c>
      <c r="E1346" s="3">
        <f>IFERROR(__xludf.DUMMYFUNCTION("""COMPUTED_VALUE"""),2697.95)</f>
        <v>2697.95</v>
      </c>
      <c r="F1346" s="3">
        <f>IFERROR(__xludf.DUMMYFUNCTION("""COMPUTED_VALUE"""),0.0)</f>
        <v>0</v>
      </c>
    </row>
    <row r="1347">
      <c r="A1347" s="7">
        <f>IFERROR(__xludf.DUMMYFUNCTION("""COMPUTED_VALUE"""),38691.645833333336)</f>
        <v>38691.64583</v>
      </c>
      <c r="B1347" s="3">
        <f>IFERROR(__xludf.DUMMYFUNCTION("""COMPUTED_VALUE"""),2697.6)</f>
        <v>2697.6</v>
      </c>
      <c r="C1347" s="3">
        <f>IFERROR(__xludf.DUMMYFUNCTION("""COMPUTED_VALUE"""),2710.65)</f>
        <v>2710.65</v>
      </c>
      <c r="D1347" s="3">
        <f>IFERROR(__xludf.DUMMYFUNCTION("""COMPUTED_VALUE"""),2654.35)</f>
        <v>2654.35</v>
      </c>
      <c r="E1347" s="3">
        <f>IFERROR(__xludf.DUMMYFUNCTION("""COMPUTED_VALUE"""),2660.5)</f>
        <v>2660.5</v>
      </c>
      <c r="F1347" s="3">
        <f>IFERROR(__xludf.DUMMYFUNCTION("""COMPUTED_VALUE"""),0.0)</f>
        <v>0</v>
      </c>
    </row>
    <row r="1348">
      <c r="A1348" s="7">
        <f>IFERROR(__xludf.DUMMYFUNCTION("""COMPUTED_VALUE"""),38692.645833333336)</f>
        <v>38692.64583</v>
      </c>
      <c r="B1348" s="3">
        <f>IFERROR(__xludf.DUMMYFUNCTION("""COMPUTED_VALUE"""),2661.4)</f>
        <v>2661.4</v>
      </c>
      <c r="C1348" s="3">
        <f>IFERROR(__xludf.DUMMYFUNCTION("""COMPUTED_VALUE"""),2694.4)</f>
        <v>2694.4</v>
      </c>
      <c r="D1348" s="3">
        <f>IFERROR(__xludf.DUMMYFUNCTION("""COMPUTED_VALUE"""),2647.35)</f>
        <v>2647.35</v>
      </c>
      <c r="E1348" s="3">
        <f>IFERROR(__xludf.DUMMYFUNCTION("""COMPUTED_VALUE"""),2662.3)</f>
        <v>2662.3</v>
      </c>
      <c r="F1348" s="3">
        <f>IFERROR(__xludf.DUMMYFUNCTION("""COMPUTED_VALUE"""),0.0)</f>
        <v>0</v>
      </c>
    </row>
    <row r="1349">
      <c r="A1349" s="7">
        <f>IFERROR(__xludf.DUMMYFUNCTION("""COMPUTED_VALUE"""),38693.645833333336)</f>
        <v>38693.64583</v>
      </c>
      <c r="B1349" s="3">
        <f>IFERROR(__xludf.DUMMYFUNCTION("""COMPUTED_VALUE"""),2662.3)</f>
        <v>2662.3</v>
      </c>
      <c r="C1349" s="3">
        <f>IFERROR(__xludf.DUMMYFUNCTION("""COMPUTED_VALUE"""),2697.1)</f>
        <v>2697.1</v>
      </c>
      <c r="D1349" s="3">
        <f>IFERROR(__xludf.DUMMYFUNCTION("""COMPUTED_VALUE"""),2662.3)</f>
        <v>2662.3</v>
      </c>
      <c r="E1349" s="3">
        <f>IFERROR(__xludf.DUMMYFUNCTION("""COMPUTED_VALUE"""),2693.0)</f>
        <v>2693</v>
      </c>
      <c r="F1349" s="3">
        <f>IFERROR(__xludf.DUMMYFUNCTION("""COMPUTED_VALUE"""),0.0)</f>
        <v>0</v>
      </c>
    </row>
    <row r="1350">
      <c r="A1350" s="7">
        <f>IFERROR(__xludf.DUMMYFUNCTION("""COMPUTED_VALUE"""),38694.645833333336)</f>
        <v>38694.64583</v>
      </c>
      <c r="B1350" s="3">
        <f>IFERROR(__xludf.DUMMYFUNCTION("""COMPUTED_VALUE"""),2694.95)</f>
        <v>2694.95</v>
      </c>
      <c r="C1350" s="3">
        <f>IFERROR(__xludf.DUMMYFUNCTION("""COMPUTED_VALUE"""),2711.6)</f>
        <v>2711.6</v>
      </c>
      <c r="D1350" s="3">
        <f>IFERROR(__xludf.DUMMYFUNCTION("""COMPUTED_VALUE"""),2673.5)</f>
        <v>2673.5</v>
      </c>
      <c r="E1350" s="3">
        <f>IFERROR(__xludf.DUMMYFUNCTION("""COMPUTED_VALUE"""),2706.7)</f>
        <v>2706.7</v>
      </c>
      <c r="F1350" s="3">
        <f>IFERROR(__xludf.DUMMYFUNCTION("""COMPUTED_VALUE"""),0.0)</f>
        <v>0</v>
      </c>
    </row>
    <row r="1351">
      <c r="A1351" s="7">
        <f>IFERROR(__xludf.DUMMYFUNCTION("""COMPUTED_VALUE"""),38695.645833333336)</f>
        <v>38695.64583</v>
      </c>
      <c r="B1351" s="3">
        <f>IFERROR(__xludf.DUMMYFUNCTION("""COMPUTED_VALUE"""),2706.75)</f>
        <v>2706.75</v>
      </c>
      <c r="C1351" s="3">
        <f>IFERROR(__xludf.DUMMYFUNCTION("""COMPUTED_VALUE"""),2761.1)</f>
        <v>2761.1</v>
      </c>
      <c r="D1351" s="3">
        <f>IFERROR(__xludf.DUMMYFUNCTION("""COMPUTED_VALUE"""),2698.0)</f>
        <v>2698</v>
      </c>
      <c r="E1351" s="3">
        <f>IFERROR(__xludf.DUMMYFUNCTION("""COMPUTED_VALUE"""),2756.45)</f>
        <v>2756.45</v>
      </c>
      <c r="F1351" s="3">
        <f>IFERROR(__xludf.DUMMYFUNCTION("""COMPUTED_VALUE"""),0.0)</f>
        <v>0</v>
      </c>
    </row>
    <row r="1352">
      <c r="A1352" s="7">
        <f>IFERROR(__xludf.DUMMYFUNCTION("""COMPUTED_VALUE"""),38698.645833333336)</f>
        <v>38698.64583</v>
      </c>
      <c r="B1352" s="3">
        <f>IFERROR(__xludf.DUMMYFUNCTION("""COMPUTED_VALUE"""),2756.4)</f>
        <v>2756.4</v>
      </c>
      <c r="C1352" s="3">
        <f>IFERROR(__xludf.DUMMYFUNCTION("""COMPUTED_VALUE"""),2789.35)</f>
        <v>2789.35</v>
      </c>
      <c r="D1352" s="3">
        <f>IFERROR(__xludf.DUMMYFUNCTION("""COMPUTED_VALUE"""),2756.4)</f>
        <v>2756.4</v>
      </c>
      <c r="E1352" s="3">
        <f>IFERROR(__xludf.DUMMYFUNCTION("""COMPUTED_VALUE"""),2776.2)</f>
        <v>2776.2</v>
      </c>
      <c r="F1352" s="3">
        <f>IFERROR(__xludf.DUMMYFUNCTION("""COMPUTED_VALUE"""),0.0)</f>
        <v>0</v>
      </c>
    </row>
    <row r="1353">
      <c r="A1353" s="7">
        <f>IFERROR(__xludf.DUMMYFUNCTION("""COMPUTED_VALUE"""),38699.645833333336)</f>
        <v>38699.64583</v>
      </c>
      <c r="B1353" s="3">
        <f>IFERROR(__xludf.DUMMYFUNCTION("""COMPUTED_VALUE"""),2776.8)</f>
        <v>2776.8</v>
      </c>
      <c r="C1353" s="3">
        <f>IFERROR(__xludf.DUMMYFUNCTION("""COMPUTED_VALUE"""),2815.3)</f>
        <v>2815.3</v>
      </c>
      <c r="D1353" s="3">
        <f>IFERROR(__xludf.DUMMYFUNCTION("""COMPUTED_VALUE"""),2764.65)</f>
        <v>2764.65</v>
      </c>
      <c r="E1353" s="3">
        <f>IFERROR(__xludf.DUMMYFUNCTION("""COMPUTED_VALUE"""),2812.3)</f>
        <v>2812.3</v>
      </c>
      <c r="F1353" s="3">
        <f>IFERROR(__xludf.DUMMYFUNCTION("""COMPUTED_VALUE"""),0.0)</f>
        <v>0</v>
      </c>
    </row>
    <row r="1354">
      <c r="A1354" s="7">
        <f>IFERROR(__xludf.DUMMYFUNCTION("""COMPUTED_VALUE"""),38700.645833333336)</f>
        <v>38700.64583</v>
      </c>
      <c r="B1354" s="3">
        <f>IFERROR(__xludf.DUMMYFUNCTION("""COMPUTED_VALUE"""),2812.8)</f>
        <v>2812.8</v>
      </c>
      <c r="C1354" s="3">
        <f>IFERROR(__xludf.DUMMYFUNCTION("""COMPUTED_VALUE"""),2825.65)</f>
        <v>2825.65</v>
      </c>
      <c r="D1354" s="3">
        <f>IFERROR(__xludf.DUMMYFUNCTION("""COMPUTED_VALUE"""),2788.3)</f>
        <v>2788.3</v>
      </c>
      <c r="E1354" s="3">
        <f>IFERROR(__xludf.DUMMYFUNCTION("""COMPUTED_VALUE"""),2804.55)</f>
        <v>2804.55</v>
      </c>
      <c r="F1354" s="3">
        <f>IFERROR(__xludf.DUMMYFUNCTION("""COMPUTED_VALUE"""),0.0)</f>
        <v>0</v>
      </c>
    </row>
    <row r="1355">
      <c r="A1355" s="7">
        <f>IFERROR(__xludf.DUMMYFUNCTION("""COMPUTED_VALUE"""),38701.645833333336)</f>
        <v>38701.64583</v>
      </c>
      <c r="B1355" s="3">
        <f>IFERROR(__xludf.DUMMYFUNCTION("""COMPUTED_VALUE"""),2805.2)</f>
        <v>2805.2</v>
      </c>
      <c r="C1355" s="3">
        <f>IFERROR(__xludf.DUMMYFUNCTION("""COMPUTED_VALUE"""),2821.5)</f>
        <v>2821.5</v>
      </c>
      <c r="D1355" s="3">
        <f>IFERROR(__xludf.DUMMYFUNCTION("""COMPUTED_VALUE"""),2763.35)</f>
        <v>2763.35</v>
      </c>
      <c r="E1355" s="3">
        <f>IFERROR(__xludf.DUMMYFUNCTION("""COMPUTED_VALUE"""),2778.55)</f>
        <v>2778.55</v>
      </c>
      <c r="F1355" s="3">
        <f>IFERROR(__xludf.DUMMYFUNCTION("""COMPUTED_VALUE"""),0.0)</f>
        <v>0</v>
      </c>
    </row>
    <row r="1356">
      <c r="A1356" s="7">
        <f>IFERROR(__xludf.DUMMYFUNCTION("""COMPUTED_VALUE"""),38702.645833333336)</f>
        <v>38702.64583</v>
      </c>
      <c r="B1356" s="3">
        <f>IFERROR(__xludf.DUMMYFUNCTION("""COMPUTED_VALUE"""),2778.65)</f>
        <v>2778.65</v>
      </c>
      <c r="C1356" s="3">
        <f>IFERROR(__xludf.DUMMYFUNCTION("""COMPUTED_VALUE"""),2814.9)</f>
        <v>2814.9</v>
      </c>
      <c r="D1356" s="3">
        <f>IFERROR(__xludf.DUMMYFUNCTION("""COMPUTED_VALUE"""),2766.5)</f>
        <v>2766.5</v>
      </c>
      <c r="E1356" s="3">
        <f>IFERROR(__xludf.DUMMYFUNCTION("""COMPUTED_VALUE"""),2810.15)</f>
        <v>2810.15</v>
      </c>
      <c r="F1356" s="3">
        <f>IFERROR(__xludf.DUMMYFUNCTION("""COMPUTED_VALUE"""),0.0)</f>
        <v>0</v>
      </c>
    </row>
    <row r="1357">
      <c r="A1357" s="7">
        <f>IFERROR(__xludf.DUMMYFUNCTION("""COMPUTED_VALUE"""),38705.645833333336)</f>
        <v>38705.64583</v>
      </c>
      <c r="B1357" s="3">
        <f>IFERROR(__xludf.DUMMYFUNCTION("""COMPUTED_VALUE"""),2808.35)</f>
        <v>2808.35</v>
      </c>
      <c r="C1357" s="3">
        <f>IFERROR(__xludf.DUMMYFUNCTION("""COMPUTED_VALUE"""),2846.0)</f>
        <v>2846</v>
      </c>
      <c r="D1357" s="3">
        <f>IFERROR(__xludf.DUMMYFUNCTION("""COMPUTED_VALUE"""),2803.45)</f>
        <v>2803.45</v>
      </c>
      <c r="E1357" s="3">
        <f>IFERROR(__xludf.DUMMYFUNCTION("""COMPUTED_VALUE"""),2842.6)</f>
        <v>2842.6</v>
      </c>
      <c r="F1357" s="3">
        <f>IFERROR(__xludf.DUMMYFUNCTION("""COMPUTED_VALUE"""),0.0)</f>
        <v>0</v>
      </c>
    </row>
    <row r="1358">
      <c r="A1358" s="7">
        <f>IFERROR(__xludf.DUMMYFUNCTION("""COMPUTED_VALUE"""),38706.645833333336)</f>
        <v>38706.64583</v>
      </c>
      <c r="B1358" s="3">
        <f>IFERROR(__xludf.DUMMYFUNCTION("""COMPUTED_VALUE"""),2843.15)</f>
        <v>2843.15</v>
      </c>
      <c r="C1358" s="3">
        <f>IFERROR(__xludf.DUMMYFUNCTION("""COMPUTED_VALUE"""),2853.1)</f>
        <v>2853.1</v>
      </c>
      <c r="D1358" s="3">
        <f>IFERROR(__xludf.DUMMYFUNCTION("""COMPUTED_VALUE"""),2815.2)</f>
        <v>2815.2</v>
      </c>
      <c r="E1358" s="3">
        <f>IFERROR(__xludf.DUMMYFUNCTION("""COMPUTED_VALUE"""),2826.2)</f>
        <v>2826.2</v>
      </c>
      <c r="F1358" s="3">
        <f>IFERROR(__xludf.DUMMYFUNCTION("""COMPUTED_VALUE"""),0.0)</f>
        <v>0</v>
      </c>
    </row>
    <row r="1359">
      <c r="A1359" s="7">
        <f>IFERROR(__xludf.DUMMYFUNCTION("""COMPUTED_VALUE"""),38707.645833333336)</f>
        <v>38707.64583</v>
      </c>
      <c r="B1359" s="3">
        <f>IFERROR(__xludf.DUMMYFUNCTION("""COMPUTED_VALUE"""),2826.45)</f>
        <v>2826.45</v>
      </c>
      <c r="C1359" s="3">
        <f>IFERROR(__xludf.DUMMYFUNCTION("""COMPUTED_VALUE"""),2847.3)</f>
        <v>2847.3</v>
      </c>
      <c r="D1359" s="3">
        <f>IFERROR(__xludf.DUMMYFUNCTION("""COMPUTED_VALUE"""),2799.45)</f>
        <v>2799.45</v>
      </c>
      <c r="E1359" s="3">
        <f>IFERROR(__xludf.DUMMYFUNCTION("""COMPUTED_VALUE"""),2822.9)</f>
        <v>2822.9</v>
      </c>
      <c r="F1359" s="3">
        <f>IFERROR(__xludf.DUMMYFUNCTION("""COMPUTED_VALUE"""),0.0)</f>
        <v>0</v>
      </c>
    </row>
    <row r="1360">
      <c r="A1360" s="7">
        <f>IFERROR(__xludf.DUMMYFUNCTION("""COMPUTED_VALUE"""),38708.645833333336)</f>
        <v>38708.64583</v>
      </c>
      <c r="B1360" s="3">
        <f>IFERROR(__xludf.DUMMYFUNCTION("""COMPUTED_VALUE"""),2826.7)</f>
        <v>2826.7</v>
      </c>
      <c r="C1360" s="3">
        <f>IFERROR(__xludf.DUMMYFUNCTION("""COMPUTED_VALUE"""),2846.65)</f>
        <v>2846.65</v>
      </c>
      <c r="D1360" s="3">
        <f>IFERROR(__xludf.DUMMYFUNCTION("""COMPUTED_VALUE"""),2818.65)</f>
        <v>2818.65</v>
      </c>
      <c r="E1360" s="3">
        <f>IFERROR(__xludf.DUMMYFUNCTION("""COMPUTED_VALUE"""),2835.25)</f>
        <v>2835.25</v>
      </c>
      <c r="F1360" s="3">
        <f>IFERROR(__xludf.DUMMYFUNCTION("""COMPUTED_VALUE"""),0.0)</f>
        <v>0</v>
      </c>
    </row>
    <row r="1361">
      <c r="A1361" s="7">
        <f>IFERROR(__xludf.DUMMYFUNCTION("""COMPUTED_VALUE"""),38709.645833333336)</f>
        <v>38709.64583</v>
      </c>
      <c r="B1361" s="3">
        <f>IFERROR(__xludf.DUMMYFUNCTION("""COMPUTED_VALUE"""),2835.7)</f>
        <v>2835.7</v>
      </c>
      <c r="C1361" s="3">
        <f>IFERROR(__xludf.DUMMYFUNCTION("""COMPUTED_VALUE"""),2857.0)</f>
        <v>2857</v>
      </c>
      <c r="D1361" s="3">
        <f>IFERROR(__xludf.DUMMYFUNCTION("""COMPUTED_VALUE"""),2799.7)</f>
        <v>2799.7</v>
      </c>
      <c r="E1361" s="3">
        <f>IFERROR(__xludf.DUMMYFUNCTION("""COMPUTED_VALUE"""),2804.85)</f>
        <v>2804.85</v>
      </c>
      <c r="F1361" s="3">
        <f>IFERROR(__xludf.DUMMYFUNCTION("""COMPUTED_VALUE"""),0.0)</f>
        <v>0</v>
      </c>
    </row>
    <row r="1362">
      <c r="A1362" s="7">
        <f>IFERROR(__xludf.DUMMYFUNCTION("""COMPUTED_VALUE"""),38712.645833333336)</f>
        <v>38712.64583</v>
      </c>
      <c r="B1362" s="3">
        <f>IFERROR(__xludf.DUMMYFUNCTION("""COMPUTED_VALUE"""),2804.3)</f>
        <v>2804.3</v>
      </c>
      <c r="C1362" s="3">
        <f>IFERROR(__xludf.DUMMYFUNCTION("""COMPUTED_VALUE"""),2804.3)</f>
        <v>2804.3</v>
      </c>
      <c r="D1362" s="3">
        <f>IFERROR(__xludf.DUMMYFUNCTION("""COMPUTED_VALUE"""),2741.8)</f>
        <v>2741.8</v>
      </c>
      <c r="E1362" s="3">
        <f>IFERROR(__xludf.DUMMYFUNCTION("""COMPUTED_VALUE"""),2749.6)</f>
        <v>2749.6</v>
      </c>
      <c r="F1362" s="3">
        <f>IFERROR(__xludf.DUMMYFUNCTION("""COMPUTED_VALUE"""),0.0)</f>
        <v>0</v>
      </c>
    </row>
    <row r="1363">
      <c r="A1363" s="7">
        <f>IFERROR(__xludf.DUMMYFUNCTION("""COMPUTED_VALUE"""),38713.645833333336)</f>
        <v>38713.64583</v>
      </c>
      <c r="B1363" s="3">
        <f>IFERROR(__xludf.DUMMYFUNCTION("""COMPUTED_VALUE"""),2746.25)</f>
        <v>2746.25</v>
      </c>
      <c r="C1363" s="3">
        <f>IFERROR(__xludf.DUMMYFUNCTION("""COMPUTED_VALUE"""),2812.6)</f>
        <v>2812.6</v>
      </c>
      <c r="D1363" s="3">
        <f>IFERROR(__xludf.DUMMYFUNCTION("""COMPUTED_VALUE"""),2725.7)</f>
        <v>2725.7</v>
      </c>
      <c r="E1363" s="3">
        <f>IFERROR(__xludf.DUMMYFUNCTION("""COMPUTED_VALUE"""),2805.9)</f>
        <v>2805.9</v>
      </c>
      <c r="F1363" s="3">
        <f>IFERROR(__xludf.DUMMYFUNCTION("""COMPUTED_VALUE"""),0.0)</f>
        <v>0</v>
      </c>
    </row>
    <row r="1364">
      <c r="A1364" s="7">
        <f>IFERROR(__xludf.DUMMYFUNCTION("""COMPUTED_VALUE"""),38714.645833333336)</f>
        <v>38714.64583</v>
      </c>
      <c r="B1364" s="3">
        <f>IFERROR(__xludf.DUMMYFUNCTION("""COMPUTED_VALUE"""),2806.8)</f>
        <v>2806.8</v>
      </c>
      <c r="C1364" s="3">
        <f>IFERROR(__xludf.DUMMYFUNCTION("""COMPUTED_VALUE"""),2824.3)</f>
        <v>2824.3</v>
      </c>
      <c r="D1364" s="3">
        <f>IFERROR(__xludf.DUMMYFUNCTION("""COMPUTED_VALUE"""),2780.0)</f>
        <v>2780</v>
      </c>
      <c r="E1364" s="3">
        <f>IFERROR(__xludf.DUMMYFUNCTION("""COMPUTED_VALUE"""),2794.05)</f>
        <v>2794.05</v>
      </c>
      <c r="F1364" s="3">
        <f>IFERROR(__xludf.DUMMYFUNCTION("""COMPUTED_VALUE"""),0.0)</f>
        <v>0</v>
      </c>
    </row>
    <row r="1365">
      <c r="A1365" s="7">
        <f>IFERROR(__xludf.DUMMYFUNCTION("""COMPUTED_VALUE"""),38715.645833333336)</f>
        <v>38715.64583</v>
      </c>
      <c r="B1365" s="3">
        <f>IFERROR(__xludf.DUMMYFUNCTION("""COMPUTED_VALUE"""),2792.75)</f>
        <v>2792.75</v>
      </c>
      <c r="C1365" s="3">
        <f>IFERROR(__xludf.DUMMYFUNCTION("""COMPUTED_VALUE"""),2829.4)</f>
        <v>2829.4</v>
      </c>
      <c r="D1365" s="3">
        <f>IFERROR(__xludf.DUMMYFUNCTION("""COMPUTED_VALUE"""),2792.75)</f>
        <v>2792.75</v>
      </c>
      <c r="E1365" s="3">
        <f>IFERROR(__xludf.DUMMYFUNCTION("""COMPUTED_VALUE"""),2821.95)</f>
        <v>2821.95</v>
      </c>
      <c r="F1365" s="3">
        <f>IFERROR(__xludf.DUMMYFUNCTION("""COMPUTED_VALUE"""),0.0)</f>
        <v>0</v>
      </c>
    </row>
    <row r="1366">
      <c r="A1366" s="7">
        <f>IFERROR(__xludf.DUMMYFUNCTION("""COMPUTED_VALUE"""),38716.645833333336)</f>
        <v>38716.64583</v>
      </c>
      <c r="B1366" s="3">
        <f>IFERROR(__xludf.DUMMYFUNCTION("""COMPUTED_VALUE"""),2823.95)</f>
        <v>2823.95</v>
      </c>
      <c r="C1366" s="3">
        <f>IFERROR(__xludf.DUMMYFUNCTION("""COMPUTED_VALUE"""),2845.55)</f>
        <v>2845.55</v>
      </c>
      <c r="D1366" s="3">
        <f>IFERROR(__xludf.DUMMYFUNCTION("""COMPUTED_VALUE"""),2812.75)</f>
        <v>2812.75</v>
      </c>
      <c r="E1366" s="3">
        <f>IFERROR(__xludf.DUMMYFUNCTION("""COMPUTED_VALUE"""),2836.55)</f>
        <v>2836.55</v>
      </c>
      <c r="F1366" s="3">
        <f>IFERROR(__xludf.DUMMYFUNCTION("""COMPUTED_VALUE"""),0.0)</f>
        <v>0</v>
      </c>
    </row>
    <row r="1367">
      <c r="A1367" s="7">
        <f>IFERROR(__xludf.DUMMYFUNCTION("""COMPUTED_VALUE"""),38719.645833333336)</f>
        <v>38719.64583</v>
      </c>
      <c r="B1367" s="3">
        <f>IFERROR(__xludf.DUMMYFUNCTION("""COMPUTED_VALUE"""),2836.8)</f>
        <v>2836.8</v>
      </c>
      <c r="C1367" s="3">
        <f>IFERROR(__xludf.DUMMYFUNCTION("""COMPUTED_VALUE"""),2849.45)</f>
        <v>2849.45</v>
      </c>
      <c r="D1367" s="3">
        <f>IFERROR(__xludf.DUMMYFUNCTION("""COMPUTED_VALUE"""),2825.4)</f>
        <v>2825.4</v>
      </c>
      <c r="E1367" s="3">
        <f>IFERROR(__xludf.DUMMYFUNCTION("""COMPUTED_VALUE"""),2835.95)</f>
        <v>2835.95</v>
      </c>
      <c r="F1367" s="3">
        <f>IFERROR(__xludf.DUMMYFUNCTION("""COMPUTED_VALUE"""),0.0)</f>
        <v>0</v>
      </c>
    </row>
    <row r="1368">
      <c r="A1368" s="7">
        <f>IFERROR(__xludf.DUMMYFUNCTION("""COMPUTED_VALUE"""),38720.645833333336)</f>
        <v>38720.64583</v>
      </c>
      <c r="B1368" s="3">
        <f>IFERROR(__xludf.DUMMYFUNCTION("""COMPUTED_VALUE"""),2835.95)</f>
        <v>2835.95</v>
      </c>
      <c r="C1368" s="3">
        <f>IFERROR(__xludf.DUMMYFUNCTION("""COMPUTED_VALUE"""),2887.2)</f>
        <v>2887.2</v>
      </c>
      <c r="D1368" s="3">
        <f>IFERROR(__xludf.DUMMYFUNCTION("""COMPUTED_VALUE"""),2832.05)</f>
        <v>2832.05</v>
      </c>
      <c r="E1368" s="3">
        <f>IFERROR(__xludf.DUMMYFUNCTION("""COMPUTED_VALUE"""),2883.35)</f>
        <v>2883.35</v>
      </c>
      <c r="F1368" s="3">
        <f>IFERROR(__xludf.DUMMYFUNCTION("""COMPUTED_VALUE"""),0.0)</f>
        <v>0</v>
      </c>
    </row>
    <row r="1369">
      <c r="A1369" s="7">
        <f>IFERROR(__xludf.DUMMYFUNCTION("""COMPUTED_VALUE"""),38721.645833333336)</f>
        <v>38721.64583</v>
      </c>
      <c r="B1369" s="3">
        <f>IFERROR(__xludf.DUMMYFUNCTION("""COMPUTED_VALUE"""),2883.0)</f>
        <v>2883</v>
      </c>
      <c r="C1369" s="3">
        <f>IFERROR(__xludf.DUMMYFUNCTION("""COMPUTED_VALUE"""),2909.35)</f>
        <v>2909.35</v>
      </c>
      <c r="D1369" s="3">
        <f>IFERROR(__xludf.DUMMYFUNCTION("""COMPUTED_VALUE"""),2883.0)</f>
        <v>2883</v>
      </c>
      <c r="E1369" s="3">
        <f>IFERROR(__xludf.DUMMYFUNCTION("""COMPUTED_VALUE"""),2904.4)</f>
        <v>2904.4</v>
      </c>
      <c r="F1369" s="3">
        <f>IFERROR(__xludf.DUMMYFUNCTION("""COMPUTED_VALUE"""),0.0)</f>
        <v>0</v>
      </c>
    </row>
    <row r="1370">
      <c r="A1370" s="7">
        <f>IFERROR(__xludf.DUMMYFUNCTION("""COMPUTED_VALUE"""),38722.645833333336)</f>
        <v>38722.64583</v>
      </c>
      <c r="B1370" s="3">
        <f>IFERROR(__xludf.DUMMYFUNCTION("""COMPUTED_VALUE"""),2904.45)</f>
        <v>2904.45</v>
      </c>
      <c r="C1370" s="3">
        <f>IFERROR(__xludf.DUMMYFUNCTION("""COMPUTED_VALUE"""),2916.2)</f>
        <v>2916.2</v>
      </c>
      <c r="D1370" s="3">
        <f>IFERROR(__xludf.DUMMYFUNCTION("""COMPUTED_VALUE"""),2884.8)</f>
        <v>2884.8</v>
      </c>
      <c r="E1370" s="3">
        <f>IFERROR(__xludf.DUMMYFUNCTION("""COMPUTED_VALUE"""),2899.85)</f>
        <v>2899.85</v>
      </c>
      <c r="F1370" s="3">
        <f>IFERROR(__xludf.DUMMYFUNCTION("""COMPUTED_VALUE"""),0.0)</f>
        <v>0</v>
      </c>
    </row>
    <row r="1371">
      <c r="A1371" s="7">
        <f>IFERROR(__xludf.DUMMYFUNCTION("""COMPUTED_VALUE"""),38723.645833333336)</f>
        <v>38723.64583</v>
      </c>
      <c r="B1371" s="3">
        <f>IFERROR(__xludf.DUMMYFUNCTION("""COMPUTED_VALUE"""),2899.85)</f>
        <v>2899.85</v>
      </c>
      <c r="C1371" s="3">
        <f>IFERROR(__xludf.DUMMYFUNCTION("""COMPUTED_VALUE"""),2921.7)</f>
        <v>2921.7</v>
      </c>
      <c r="D1371" s="3">
        <f>IFERROR(__xludf.DUMMYFUNCTION("""COMPUTED_VALUE"""),2877.25)</f>
        <v>2877.25</v>
      </c>
      <c r="E1371" s="3">
        <f>IFERROR(__xludf.DUMMYFUNCTION("""COMPUTED_VALUE"""),2914.0)</f>
        <v>2914</v>
      </c>
      <c r="F1371" s="3">
        <f>IFERROR(__xludf.DUMMYFUNCTION("""COMPUTED_VALUE"""),0.0)</f>
        <v>0</v>
      </c>
    </row>
    <row r="1372">
      <c r="A1372" s="7">
        <f>IFERROR(__xludf.DUMMYFUNCTION("""COMPUTED_VALUE"""),38726.645833333336)</f>
        <v>38726.64583</v>
      </c>
      <c r="B1372" s="3">
        <f>IFERROR(__xludf.DUMMYFUNCTION("""COMPUTED_VALUE"""),2913.35)</f>
        <v>2913.35</v>
      </c>
      <c r="C1372" s="3">
        <f>IFERROR(__xludf.DUMMYFUNCTION("""COMPUTED_VALUE"""),2927.25)</f>
        <v>2927.25</v>
      </c>
      <c r="D1372" s="3">
        <f>IFERROR(__xludf.DUMMYFUNCTION("""COMPUTED_VALUE"""),2898.25)</f>
        <v>2898.25</v>
      </c>
      <c r="E1372" s="3">
        <f>IFERROR(__xludf.DUMMYFUNCTION("""COMPUTED_VALUE"""),2910.1)</f>
        <v>2910.1</v>
      </c>
      <c r="F1372" s="3">
        <f>IFERROR(__xludf.DUMMYFUNCTION("""COMPUTED_VALUE"""),0.0)</f>
        <v>0</v>
      </c>
    </row>
    <row r="1373">
      <c r="A1373" s="7">
        <f>IFERROR(__xludf.DUMMYFUNCTION("""COMPUTED_VALUE"""),38727.645833333336)</f>
        <v>38727.64583</v>
      </c>
      <c r="B1373" s="3">
        <f>IFERROR(__xludf.DUMMYFUNCTION("""COMPUTED_VALUE"""),2910.15)</f>
        <v>2910.15</v>
      </c>
      <c r="C1373" s="3">
        <f>IFERROR(__xludf.DUMMYFUNCTION("""COMPUTED_VALUE"""),2913.05)</f>
        <v>2913.05</v>
      </c>
      <c r="D1373" s="3">
        <f>IFERROR(__xludf.DUMMYFUNCTION("""COMPUTED_VALUE"""),2865.6)</f>
        <v>2865.6</v>
      </c>
      <c r="E1373" s="3">
        <f>IFERROR(__xludf.DUMMYFUNCTION("""COMPUTED_VALUE"""),2870.8)</f>
        <v>2870.8</v>
      </c>
      <c r="F1373" s="3">
        <f>IFERROR(__xludf.DUMMYFUNCTION("""COMPUTED_VALUE"""),0.0)</f>
        <v>0</v>
      </c>
    </row>
    <row r="1374">
      <c r="A1374" s="7">
        <f>IFERROR(__xludf.DUMMYFUNCTION("""COMPUTED_VALUE"""),38729.645833333336)</f>
        <v>38729.64583</v>
      </c>
      <c r="B1374" s="3">
        <f>IFERROR(__xludf.DUMMYFUNCTION("""COMPUTED_VALUE"""),2869.35)</f>
        <v>2869.35</v>
      </c>
      <c r="C1374" s="3">
        <f>IFERROR(__xludf.DUMMYFUNCTION("""COMPUTED_VALUE"""),2869.35)</f>
        <v>2869.35</v>
      </c>
      <c r="D1374" s="3">
        <f>IFERROR(__xludf.DUMMYFUNCTION("""COMPUTED_VALUE"""),2824.0)</f>
        <v>2824</v>
      </c>
      <c r="E1374" s="3">
        <f>IFERROR(__xludf.DUMMYFUNCTION("""COMPUTED_VALUE"""),2850.7)</f>
        <v>2850.7</v>
      </c>
      <c r="F1374" s="3">
        <f>IFERROR(__xludf.DUMMYFUNCTION("""COMPUTED_VALUE"""),0.0)</f>
        <v>0</v>
      </c>
    </row>
    <row r="1375">
      <c r="A1375" s="7">
        <f>IFERROR(__xludf.DUMMYFUNCTION("""COMPUTED_VALUE"""),38730.645833333336)</f>
        <v>38730.64583</v>
      </c>
      <c r="B1375" s="3">
        <f>IFERROR(__xludf.DUMMYFUNCTION("""COMPUTED_VALUE"""),2851.4)</f>
        <v>2851.4</v>
      </c>
      <c r="C1375" s="3">
        <f>IFERROR(__xludf.DUMMYFUNCTION("""COMPUTED_VALUE"""),2878.35)</f>
        <v>2878.35</v>
      </c>
      <c r="D1375" s="3">
        <f>IFERROR(__xludf.DUMMYFUNCTION("""COMPUTED_VALUE"""),2846.7)</f>
        <v>2846.7</v>
      </c>
      <c r="E1375" s="3">
        <f>IFERROR(__xludf.DUMMYFUNCTION("""COMPUTED_VALUE"""),2850.55)</f>
        <v>2850.55</v>
      </c>
      <c r="F1375" s="3">
        <f>IFERROR(__xludf.DUMMYFUNCTION("""COMPUTED_VALUE"""),0.0)</f>
        <v>0</v>
      </c>
    </row>
    <row r="1376">
      <c r="A1376" s="7">
        <f>IFERROR(__xludf.DUMMYFUNCTION("""COMPUTED_VALUE"""),38733.645833333336)</f>
        <v>38733.64583</v>
      </c>
      <c r="B1376" s="3">
        <f>IFERROR(__xludf.DUMMYFUNCTION("""COMPUTED_VALUE"""),2851.35)</f>
        <v>2851.35</v>
      </c>
      <c r="C1376" s="3">
        <f>IFERROR(__xludf.DUMMYFUNCTION("""COMPUTED_VALUE"""),2855.7)</f>
        <v>2855.7</v>
      </c>
      <c r="D1376" s="3">
        <f>IFERROR(__xludf.DUMMYFUNCTION("""COMPUTED_VALUE"""),2824.05)</f>
        <v>2824.05</v>
      </c>
      <c r="E1376" s="3">
        <f>IFERROR(__xludf.DUMMYFUNCTION("""COMPUTED_VALUE"""),2833.1)</f>
        <v>2833.1</v>
      </c>
      <c r="F1376" s="3">
        <f>IFERROR(__xludf.DUMMYFUNCTION("""COMPUTED_VALUE"""),0.0)</f>
        <v>0</v>
      </c>
    </row>
    <row r="1377">
      <c r="A1377" s="7">
        <f>IFERROR(__xludf.DUMMYFUNCTION("""COMPUTED_VALUE"""),38734.645833333336)</f>
        <v>38734.64583</v>
      </c>
      <c r="B1377" s="3">
        <f>IFERROR(__xludf.DUMMYFUNCTION("""COMPUTED_VALUE"""),2833.8)</f>
        <v>2833.8</v>
      </c>
      <c r="C1377" s="3">
        <f>IFERROR(__xludf.DUMMYFUNCTION("""COMPUTED_VALUE"""),2861.25)</f>
        <v>2861.25</v>
      </c>
      <c r="D1377" s="3">
        <f>IFERROR(__xludf.DUMMYFUNCTION("""COMPUTED_VALUE"""),2820.65)</f>
        <v>2820.65</v>
      </c>
      <c r="E1377" s="3">
        <f>IFERROR(__xludf.DUMMYFUNCTION("""COMPUTED_VALUE"""),2829.1)</f>
        <v>2829.1</v>
      </c>
      <c r="F1377" s="3">
        <f>IFERROR(__xludf.DUMMYFUNCTION("""COMPUTED_VALUE"""),0.0)</f>
        <v>0</v>
      </c>
    </row>
    <row r="1378">
      <c r="A1378" s="7">
        <f>IFERROR(__xludf.DUMMYFUNCTION("""COMPUTED_VALUE"""),38735.645833333336)</f>
        <v>38735.64583</v>
      </c>
      <c r="B1378" s="3">
        <f>IFERROR(__xludf.DUMMYFUNCTION("""COMPUTED_VALUE"""),2809.9)</f>
        <v>2809.9</v>
      </c>
      <c r="C1378" s="3">
        <f>IFERROR(__xludf.DUMMYFUNCTION("""COMPUTED_VALUE"""),2840.1)</f>
        <v>2840.1</v>
      </c>
      <c r="D1378" s="3">
        <f>IFERROR(__xludf.DUMMYFUNCTION("""COMPUTED_VALUE"""),2783.85)</f>
        <v>2783.85</v>
      </c>
      <c r="E1378" s="3">
        <f>IFERROR(__xludf.DUMMYFUNCTION("""COMPUTED_VALUE"""),2809.2)</f>
        <v>2809.2</v>
      </c>
      <c r="F1378" s="3">
        <f>IFERROR(__xludf.DUMMYFUNCTION("""COMPUTED_VALUE"""),0.0)</f>
        <v>0</v>
      </c>
    </row>
    <row r="1379">
      <c r="A1379" s="7">
        <f>IFERROR(__xludf.DUMMYFUNCTION("""COMPUTED_VALUE"""),38736.645833333336)</f>
        <v>38736.64583</v>
      </c>
      <c r="B1379" s="3">
        <f>IFERROR(__xludf.DUMMYFUNCTION("""COMPUTED_VALUE"""),2811.1)</f>
        <v>2811.1</v>
      </c>
      <c r="C1379" s="3">
        <f>IFERROR(__xludf.DUMMYFUNCTION("""COMPUTED_VALUE"""),2875.95)</f>
        <v>2875.95</v>
      </c>
      <c r="D1379" s="3">
        <f>IFERROR(__xludf.DUMMYFUNCTION("""COMPUTED_VALUE"""),2811.1)</f>
        <v>2811.1</v>
      </c>
      <c r="E1379" s="3">
        <f>IFERROR(__xludf.DUMMYFUNCTION("""COMPUTED_VALUE"""),2870.85)</f>
        <v>2870.85</v>
      </c>
      <c r="F1379" s="3">
        <f>IFERROR(__xludf.DUMMYFUNCTION("""COMPUTED_VALUE"""),0.0)</f>
        <v>0</v>
      </c>
    </row>
    <row r="1380">
      <c r="A1380" s="7">
        <f>IFERROR(__xludf.DUMMYFUNCTION("""COMPUTED_VALUE"""),38737.645833333336)</f>
        <v>38737.64583</v>
      </c>
      <c r="B1380" s="3">
        <f>IFERROR(__xludf.DUMMYFUNCTION("""COMPUTED_VALUE"""),2870.8)</f>
        <v>2870.8</v>
      </c>
      <c r="C1380" s="3">
        <f>IFERROR(__xludf.DUMMYFUNCTION("""COMPUTED_VALUE"""),2912.8)</f>
        <v>2912.8</v>
      </c>
      <c r="D1380" s="3">
        <f>IFERROR(__xludf.DUMMYFUNCTION("""COMPUTED_VALUE"""),2870.8)</f>
        <v>2870.8</v>
      </c>
      <c r="E1380" s="3">
        <f>IFERROR(__xludf.DUMMYFUNCTION("""COMPUTED_VALUE"""),2900.95)</f>
        <v>2900.95</v>
      </c>
      <c r="F1380" s="3">
        <f>IFERROR(__xludf.DUMMYFUNCTION("""COMPUTED_VALUE"""),0.0)</f>
        <v>0</v>
      </c>
    </row>
    <row r="1381">
      <c r="A1381" s="7">
        <f>IFERROR(__xludf.DUMMYFUNCTION("""COMPUTED_VALUE"""),38740.645833333336)</f>
        <v>38740.64583</v>
      </c>
      <c r="B1381" s="3">
        <f>IFERROR(__xludf.DUMMYFUNCTION("""COMPUTED_VALUE"""),2900.3)</f>
        <v>2900.3</v>
      </c>
      <c r="C1381" s="3">
        <f>IFERROR(__xludf.DUMMYFUNCTION("""COMPUTED_VALUE"""),2900.3)</f>
        <v>2900.3</v>
      </c>
      <c r="D1381" s="3">
        <f>IFERROR(__xludf.DUMMYFUNCTION("""COMPUTED_VALUE"""),2870.95)</f>
        <v>2870.95</v>
      </c>
      <c r="E1381" s="3">
        <f>IFERROR(__xludf.DUMMYFUNCTION("""COMPUTED_VALUE"""),2884.05)</f>
        <v>2884.05</v>
      </c>
      <c r="F1381" s="3">
        <f>IFERROR(__xludf.DUMMYFUNCTION("""COMPUTED_VALUE"""),0.0)</f>
        <v>0</v>
      </c>
    </row>
    <row r="1382">
      <c r="A1382" s="7">
        <f>IFERROR(__xludf.DUMMYFUNCTION("""COMPUTED_VALUE"""),38741.645833333336)</f>
        <v>38741.64583</v>
      </c>
      <c r="B1382" s="3">
        <f>IFERROR(__xludf.DUMMYFUNCTION("""COMPUTED_VALUE"""),2886.35)</f>
        <v>2886.35</v>
      </c>
      <c r="C1382" s="3">
        <f>IFERROR(__xludf.DUMMYFUNCTION("""COMPUTED_VALUE"""),2914.25)</f>
        <v>2914.25</v>
      </c>
      <c r="D1382" s="3">
        <f>IFERROR(__xludf.DUMMYFUNCTION("""COMPUTED_VALUE"""),2885.75)</f>
        <v>2885.75</v>
      </c>
      <c r="E1382" s="3">
        <f>IFERROR(__xludf.DUMMYFUNCTION("""COMPUTED_VALUE"""),2908.0)</f>
        <v>2908</v>
      </c>
      <c r="F1382" s="3">
        <f>IFERROR(__xludf.DUMMYFUNCTION("""COMPUTED_VALUE"""),0.0)</f>
        <v>0</v>
      </c>
    </row>
    <row r="1383">
      <c r="A1383" s="7">
        <f>IFERROR(__xludf.DUMMYFUNCTION("""COMPUTED_VALUE"""),38742.645833333336)</f>
        <v>38742.64583</v>
      </c>
      <c r="B1383" s="3">
        <f>IFERROR(__xludf.DUMMYFUNCTION("""COMPUTED_VALUE"""),2908.75)</f>
        <v>2908.75</v>
      </c>
      <c r="C1383" s="3">
        <f>IFERROR(__xludf.DUMMYFUNCTION("""COMPUTED_VALUE"""),2949.1)</f>
        <v>2949.1</v>
      </c>
      <c r="D1383" s="3">
        <f>IFERROR(__xludf.DUMMYFUNCTION("""COMPUTED_VALUE"""),2871.25)</f>
        <v>2871.25</v>
      </c>
      <c r="E1383" s="3">
        <f>IFERROR(__xludf.DUMMYFUNCTION("""COMPUTED_VALUE"""),2940.35)</f>
        <v>2940.35</v>
      </c>
      <c r="F1383" s="3">
        <f>IFERROR(__xludf.DUMMYFUNCTION("""COMPUTED_VALUE"""),0.0)</f>
        <v>0</v>
      </c>
    </row>
    <row r="1384">
      <c r="A1384" s="7">
        <f>IFERROR(__xludf.DUMMYFUNCTION("""COMPUTED_VALUE"""),38744.645833333336)</f>
        <v>38744.64583</v>
      </c>
      <c r="B1384" s="3">
        <f>IFERROR(__xludf.DUMMYFUNCTION("""COMPUTED_VALUE"""),2941.9)</f>
        <v>2941.9</v>
      </c>
      <c r="C1384" s="3">
        <f>IFERROR(__xludf.DUMMYFUNCTION("""COMPUTED_VALUE"""),2989.7)</f>
        <v>2989.7</v>
      </c>
      <c r="D1384" s="3">
        <f>IFERROR(__xludf.DUMMYFUNCTION("""COMPUTED_VALUE"""),2941.9)</f>
        <v>2941.9</v>
      </c>
      <c r="E1384" s="3">
        <f>IFERROR(__xludf.DUMMYFUNCTION("""COMPUTED_VALUE"""),2982.75)</f>
        <v>2982.75</v>
      </c>
      <c r="F1384" s="3">
        <f>IFERROR(__xludf.DUMMYFUNCTION("""COMPUTED_VALUE"""),0.0)</f>
        <v>0</v>
      </c>
    </row>
    <row r="1385">
      <c r="A1385" s="7">
        <f>IFERROR(__xludf.DUMMYFUNCTION("""COMPUTED_VALUE"""),38747.645833333336)</f>
        <v>38747.64583</v>
      </c>
      <c r="B1385" s="3">
        <f>IFERROR(__xludf.DUMMYFUNCTION("""COMPUTED_VALUE"""),2983.3)</f>
        <v>2983.3</v>
      </c>
      <c r="C1385" s="3">
        <f>IFERROR(__xludf.DUMMYFUNCTION("""COMPUTED_VALUE"""),3002.2)</f>
        <v>3002.2</v>
      </c>
      <c r="D1385" s="3">
        <f>IFERROR(__xludf.DUMMYFUNCTION("""COMPUTED_VALUE"""),2963.65)</f>
        <v>2963.65</v>
      </c>
      <c r="E1385" s="3">
        <f>IFERROR(__xludf.DUMMYFUNCTION("""COMPUTED_VALUE"""),2974.5)</f>
        <v>2974.5</v>
      </c>
      <c r="F1385" s="3">
        <f>IFERROR(__xludf.DUMMYFUNCTION("""COMPUTED_VALUE"""),0.0)</f>
        <v>0</v>
      </c>
    </row>
    <row r="1386">
      <c r="A1386" s="7">
        <f>IFERROR(__xludf.DUMMYFUNCTION("""COMPUTED_VALUE"""),38748.645833333336)</f>
        <v>38748.64583</v>
      </c>
      <c r="B1386" s="3">
        <f>IFERROR(__xludf.DUMMYFUNCTION("""COMPUTED_VALUE"""),2968.95)</f>
        <v>2968.95</v>
      </c>
      <c r="C1386" s="3">
        <f>IFERROR(__xludf.DUMMYFUNCTION("""COMPUTED_VALUE"""),3005.1)</f>
        <v>3005.1</v>
      </c>
      <c r="D1386" s="3">
        <f>IFERROR(__xludf.DUMMYFUNCTION("""COMPUTED_VALUE"""),2968.85)</f>
        <v>2968.85</v>
      </c>
      <c r="E1386" s="3">
        <f>IFERROR(__xludf.DUMMYFUNCTION("""COMPUTED_VALUE"""),3001.1)</f>
        <v>3001.1</v>
      </c>
      <c r="F1386" s="3">
        <f>IFERROR(__xludf.DUMMYFUNCTION("""COMPUTED_VALUE"""),0.0)</f>
        <v>0</v>
      </c>
    </row>
    <row r="1387">
      <c r="A1387" s="7">
        <f>IFERROR(__xludf.DUMMYFUNCTION("""COMPUTED_VALUE"""),38749.645833333336)</f>
        <v>38749.64583</v>
      </c>
      <c r="B1387" s="3">
        <f>IFERROR(__xludf.DUMMYFUNCTION("""COMPUTED_VALUE"""),3001.3)</f>
        <v>3001.3</v>
      </c>
      <c r="C1387" s="3">
        <f>IFERROR(__xludf.DUMMYFUNCTION("""COMPUTED_VALUE"""),3011.05)</f>
        <v>3011.05</v>
      </c>
      <c r="D1387" s="3">
        <f>IFERROR(__xludf.DUMMYFUNCTION("""COMPUTED_VALUE"""),2960.9)</f>
        <v>2960.9</v>
      </c>
      <c r="E1387" s="3">
        <f>IFERROR(__xludf.DUMMYFUNCTION("""COMPUTED_VALUE"""),2971.55)</f>
        <v>2971.55</v>
      </c>
      <c r="F1387" s="3">
        <f>IFERROR(__xludf.DUMMYFUNCTION("""COMPUTED_VALUE"""),0.0)</f>
        <v>0</v>
      </c>
    </row>
    <row r="1388">
      <c r="A1388" s="7">
        <f>IFERROR(__xludf.DUMMYFUNCTION("""COMPUTED_VALUE"""),38750.645833333336)</f>
        <v>38750.64583</v>
      </c>
      <c r="B1388" s="3">
        <f>IFERROR(__xludf.DUMMYFUNCTION("""COMPUTED_VALUE"""),2972.2)</f>
        <v>2972.2</v>
      </c>
      <c r="C1388" s="3">
        <f>IFERROR(__xludf.DUMMYFUNCTION("""COMPUTED_VALUE"""),2997.25)</f>
        <v>2997.25</v>
      </c>
      <c r="D1388" s="3">
        <f>IFERROR(__xludf.DUMMYFUNCTION("""COMPUTED_VALUE"""),2957.55)</f>
        <v>2957.55</v>
      </c>
      <c r="E1388" s="3">
        <f>IFERROR(__xludf.DUMMYFUNCTION("""COMPUTED_VALUE"""),2967.45)</f>
        <v>2967.45</v>
      </c>
      <c r="F1388" s="3">
        <f>IFERROR(__xludf.DUMMYFUNCTION("""COMPUTED_VALUE"""),0.0)</f>
        <v>0</v>
      </c>
    </row>
    <row r="1389">
      <c r="A1389" s="7">
        <f>IFERROR(__xludf.DUMMYFUNCTION("""COMPUTED_VALUE"""),38751.645833333336)</f>
        <v>38751.64583</v>
      </c>
      <c r="B1389" s="3">
        <f>IFERROR(__xludf.DUMMYFUNCTION("""COMPUTED_VALUE"""),2968.1)</f>
        <v>2968.1</v>
      </c>
      <c r="C1389" s="3">
        <f>IFERROR(__xludf.DUMMYFUNCTION("""COMPUTED_VALUE"""),2973.9)</f>
        <v>2973.9</v>
      </c>
      <c r="D1389" s="3">
        <f>IFERROR(__xludf.DUMMYFUNCTION("""COMPUTED_VALUE"""),2931.85)</f>
        <v>2931.85</v>
      </c>
      <c r="E1389" s="3">
        <f>IFERROR(__xludf.DUMMYFUNCTION("""COMPUTED_VALUE"""),2940.6)</f>
        <v>2940.6</v>
      </c>
      <c r="F1389" s="3">
        <f>IFERROR(__xludf.DUMMYFUNCTION("""COMPUTED_VALUE"""),0.0)</f>
        <v>0</v>
      </c>
    </row>
    <row r="1390">
      <c r="A1390" s="7">
        <f>IFERROR(__xludf.DUMMYFUNCTION("""COMPUTED_VALUE"""),38754.645833333336)</f>
        <v>38754.64583</v>
      </c>
      <c r="B1390" s="3">
        <f>IFERROR(__xludf.DUMMYFUNCTION("""COMPUTED_VALUE"""),2940.95)</f>
        <v>2940.95</v>
      </c>
      <c r="C1390" s="3">
        <f>IFERROR(__xludf.DUMMYFUNCTION("""COMPUTED_VALUE"""),3009.45)</f>
        <v>3009.45</v>
      </c>
      <c r="D1390" s="3">
        <f>IFERROR(__xludf.DUMMYFUNCTION("""COMPUTED_VALUE"""),2928.1)</f>
        <v>2928.1</v>
      </c>
      <c r="E1390" s="3">
        <f>IFERROR(__xludf.DUMMYFUNCTION("""COMPUTED_VALUE"""),3000.45)</f>
        <v>3000.45</v>
      </c>
      <c r="F1390" s="3">
        <f>IFERROR(__xludf.DUMMYFUNCTION("""COMPUTED_VALUE"""),0.0)</f>
        <v>0</v>
      </c>
    </row>
    <row r="1391">
      <c r="A1391" s="7">
        <f>IFERROR(__xludf.DUMMYFUNCTION("""COMPUTED_VALUE"""),38755.645833333336)</f>
        <v>38755.64583</v>
      </c>
      <c r="B1391" s="3">
        <f>IFERROR(__xludf.DUMMYFUNCTION("""COMPUTED_VALUE"""),3001.15)</f>
        <v>3001.15</v>
      </c>
      <c r="C1391" s="3">
        <f>IFERROR(__xludf.DUMMYFUNCTION("""COMPUTED_VALUE"""),3025.1)</f>
        <v>3025.1</v>
      </c>
      <c r="D1391" s="3">
        <f>IFERROR(__xludf.DUMMYFUNCTION("""COMPUTED_VALUE"""),2991.25)</f>
        <v>2991.25</v>
      </c>
      <c r="E1391" s="3">
        <f>IFERROR(__xludf.DUMMYFUNCTION("""COMPUTED_VALUE"""),3020.1)</f>
        <v>3020.1</v>
      </c>
      <c r="F1391" s="3">
        <f>IFERROR(__xludf.DUMMYFUNCTION("""COMPUTED_VALUE"""),0.0)</f>
        <v>0</v>
      </c>
    </row>
    <row r="1392">
      <c r="A1392" s="7">
        <f>IFERROR(__xludf.DUMMYFUNCTION("""COMPUTED_VALUE"""),38756.645833333336)</f>
        <v>38756.64583</v>
      </c>
      <c r="B1392" s="3">
        <f>IFERROR(__xludf.DUMMYFUNCTION("""COMPUTED_VALUE"""),3018.2)</f>
        <v>3018.2</v>
      </c>
      <c r="C1392" s="3">
        <f>IFERROR(__xludf.DUMMYFUNCTION("""COMPUTED_VALUE"""),3021.25)</f>
        <v>3021.25</v>
      </c>
      <c r="D1392" s="3">
        <f>IFERROR(__xludf.DUMMYFUNCTION("""COMPUTED_VALUE"""),2984.9)</f>
        <v>2984.9</v>
      </c>
      <c r="E1392" s="3">
        <f>IFERROR(__xludf.DUMMYFUNCTION("""COMPUTED_VALUE"""),3008.95)</f>
        <v>3008.95</v>
      </c>
      <c r="F1392" s="3">
        <f>IFERROR(__xludf.DUMMYFUNCTION("""COMPUTED_VALUE"""),0.0)</f>
        <v>0</v>
      </c>
    </row>
    <row r="1393">
      <c r="A1393" s="7">
        <f>IFERROR(__xludf.DUMMYFUNCTION("""COMPUTED_VALUE"""),38758.645833333336)</f>
        <v>38758.64583</v>
      </c>
      <c r="B1393" s="3">
        <f>IFERROR(__xludf.DUMMYFUNCTION("""COMPUTED_VALUE"""),3009.15)</f>
        <v>3009.15</v>
      </c>
      <c r="C1393" s="3">
        <f>IFERROR(__xludf.DUMMYFUNCTION("""COMPUTED_VALUE"""),3031.75)</f>
        <v>3031.75</v>
      </c>
      <c r="D1393" s="3">
        <f>IFERROR(__xludf.DUMMYFUNCTION("""COMPUTED_VALUE"""),3009.1)</f>
        <v>3009.1</v>
      </c>
      <c r="E1393" s="3">
        <f>IFERROR(__xludf.DUMMYFUNCTION("""COMPUTED_VALUE"""),3027.55)</f>
        <v>3027.55</v>
      </c>
      <c r="F1393" s="3">
        <f>IFERROR(__xludf.DUMMYFUNCTION("""COMPUTED_VALUE"""),0.0)</f>
        <v>0</v>
      </c>
    </row>
    <row r="1394">
      <c r="A1394" s="7">
        <f>IFERROR(__xludf.DUMMYFUNCTION("""COMPUTED_VALUE"""),38761.645833333336)</f>
        <v>38761.64583</v>
      </c>
      <c r="B1394" s="3">
        <f>IFERROR(__xludf.DUMMYFUNCTION("""COMPUTED_VALUE"""),3026.15)</f>
        <v>3026.15</v>
      </c>
      <c r="C1394" s="3">
        <f>IFERROR(__xludf.DUMMYFUNCTION("""COMPUTED_VALUE"""),3042.75)</f>
        <v>3042.75</v>
      </c>
      <c r="D1394" s="3">
        <f>IFERROR(__xludf.DUMMYFUNCTION("""COMPUTED_VALUE"""),3018.5)</f>
        <v>3018.5</v>
      </c>
      <c r="E1394" s="3">
        <f>IFERROR(__xludf.DUMMYFUNCTION("""COMPUTED_VALUE"""),3041.15)</f>
        <v>3041.15</v>
      </c>
      <c r="F1394" s="3">
        <f>IFERROR(__xludf.DUMMYFUNCTION("""COMPUTED_VALUE"""),0.0)</f>
        <v>0</v>
      </c>
    </row>
    <row r="1395">
      <c r="A1395" s="7">
        <f>IFERROR(__xludf.DUMMYFUNCTION("""COMPUTED_VALUE"""),38762.645833333336)</f>
        <v>38762.64583</v>
      </c>
      <c r="B1395" s="3">
        <f>IFERROR(__xludf.DUMMYFUNCTION("""COMPUTED_VALUE"""),3040.25)</f>
        <v>3040.25</v>
      </c>
      <c r="C1395" s="3">
        <f>IFERROR(__xludf.DUMMYFUNCTION("""COMPUTED_VALUE"""),3051.7)</f>
        <v>3051.7</v>
      </c>
      <c r="D1395" s="3">
        <f>IFERROR(__xludf.DUMMYFUNCTION("""COMPUTED_VALUE"""),3009.9)</f>
        <v>3009.9</v>
      </c>
      <c r="E1395" s="3">
        <f>IFERROR(__xludf.DUMMYFUNCTION("""COMPUTED_VALUE"""),3017.55)</f>
        <v>3017.55</v>
      </c>
      <c r="F1395" s="3">
        <f>IFERROR(__xludf.DUMMYFUNCTION("""COMPUTED_VALUE"""),0.0)</f>
        <v>0</v>
      </c>
    </row>
    <row r="1396">
      <c r="A1396" s="7">
        <f>IFERROR(__xludf.DUMMYFUNCTION("""COMPUTED_VALUE"""),38763.645833333336)</f>
        <v>38763.64583</v>
      </c>
      <c r="B1396" s="3">
        <f>IFERROR(__xludf.DUMMYFUNCTION("""COMPUTED_VALUE"""),3001.4)</f>
        <v>3001.4</v>
      </c>
      <c r="C1396" s="3">
        <f>IFERROR(__xludf.DUMMYFUNCTION("""COMPUTED_VALUE"""),3048.8)</f>
        <v>3048.8</v>
      </c>
      <c r="D1396" s="3">
        <f>IFERROR(__xludf.DUMMYFUNCTION("""COMPUTED_VALUE"""),2995.3)</f>
        <v>2995.3</v>
      </c>
      <c r="E1396" s="3">
        <f>IFERROR(__xludf.DUMMYFUNCTION("""COMPUTED_VALUE"""),3022.2)</f>
        <v>3022.2</v>
      </c>
      <c r="F1396" s="3">
        <f>IFERROR(__xludf.DUMMYFUNCTION("""COMPUTED_VALUE"""),0.0)</f>
        <v>0</v>
      </c>
    </row>
    <row r="1397">
      <c r="A1397" s="7">
        <f>IFERROR(__xludf.DUMMYFUNCTION("""COMPUTED_VALUE"""),38764.645833333336)</f>
        <v>38764.64583</v>
      </c>
      <c r="B1397" s="3">
        <f>IFERROR(__xludf.DUMMYFUNCTION("""COMPUTED_VALUE"""),3023.1)</f>
        <v>3023.1</v>
      </c>
      <c r="C1397" s="3">
        <f>IFERROR(__xludf.DUMMYFUNCTION("""COMPUTED_VALUE"""),3036.65)</f>
        <v>3036.65</v>
      </c>
      <c r="D1397" s="3">
        <f>IFERROR(__xludf.DUMMYFUNCTION("""COMPUTED_VALUE"""),3013.7)</f>
        <v>3013.7</v>
      </c>
      <c r="E1397" s="3">
        <f>IFERROR(__xludf.DUMMYFUNCTION("""COMPUTED_VALUE"""),3021.6)</f>
        <v>3021.6</v>
      </c>
      <c r="F1397" s="3">
        <f>IFERROR(__xludf.DUMMYFUNCTION("""COMPUTED_VALUE"""),0.0)</f>
        <v>0</v>
      </c>
    </row>
    <row r="1398">
      <c r="A1398" s="7">
        <f>IFERROR(__xludf.DUMMYFUNCTION("""COMPUTED_VALUE"""),38765.645833333336)</f>
        <v>38765.64583</v>
      </c>
      <c r="B1398" s="3">
        <f>IFERROR(__xludf.DUMMYFUNCTION("""COMPUTED_VALUE"""),3021.65)</f>
        <v>3021.65</v>
      </c>
      <c r="C1398" s="3">
        <f>IFERROR(__xludf.DUMMYFUNCTION("""COMPUTED_VALUE"""),3038.8)</f>
        <v>3038.8</v>
      </c>
      <c r="D1398" s="3">
        <f>IFERROR(__xludf.DUMMYFUNCTION("""COMPUTED_VALUE"""),2976.7)</f>
        <v>2976.7</v>
      </c>
      <c r="E1398" s="3">
        <f>IFERROR(__xludf.DUMMYFUNCTION("""COMPUTED_VALUE"""),2981.5)</f>
        <v>2981.5</v>
      </c>
      <c r="F1398" s="3">
        <f>IFERROR(__xludf.DUMMYFUNCTION("""COMPUTED_VALUE"""),0.0)</f>
        <v>0</v>
      </c>
    </row>
    <row r="1399">
      <c r="A1399" s="7">
        <f>IFERROR(__xludf.DUMMYFUNCTION("""COMPUTED_VALUE"""),38768.645833333336)</f>
        <v>38768.64583</v>
      </c>
      <c r="B1399" s="3">
        <f>IFERROR(__xludf.DUMMYFUNCTION("""COMPUTED_VALUE"""),2982.35)</f>
        <v>2982.35</v>
      </c>
      <c r="C1399" s="3">
        <f>IFERROR(__xludf.DUMMYFUNCTION("""COMPUTED_VALUE"""),3010.65)</f>
        <v>3010.65</v>
      </c>
      <c r="D1399" s="3">
        <f>IFERROR(__xludf.DUMMYFUNCTION("""COMPUTED_VALUE"""),2955.85)</f>
        <v>2955.85</v>
      </c>
      <c r="E1399" s="3">
        <f>IFERROR(__xludf.DUMMYFUNCTION("""COMPUTED_VALUE"""),3005.85)</f>
        <v>3005.85</v>
      </c>
      <c r="F1399" s="3">
        <f>IFERROR(__xludf.DUMMYFUNCTION("""COMPUTED_VALUE"""),0.0)</f>
        <v>0</v>
      </c>
    </row>
    <row r="1400">
      <c r="A1400" s="7">
        <f>IFERROR(__xludf.DUMMYFUNCTION("""COMPUTED_VALUE"""),38769.645833333336)</f>
        <v>38769.64583</v>
      </c>
      <c r="B1400" s="3">
        <f>IFERROR(__xludf.DUMMYFUNCTION("""COMPUTED_VALUE"""),3008.55)</f>
        <v>3008.55</v>
      </c>
      <c r="C1400" s="3">
        <f>IFERROR(__xludf.DUMMYFUNCTION("""COMPUTED_VALUE"""),3042.05)</f>
        <v>3042.05</v>
      </c>
      <c r="D1400" s="3">
        <f>IFERROR(__xludf.DUMMYFUNCTION("""COMPUTED_VALUE"""),3008.55)</f>
        <v>3008.55</v>
      </c>
      <c r="E1400" s="3">
        <f>IFERROR(__xludf.DUMMYFUNCTION("""COMPUTED_VALUE"""),3035.5)</f>
        <v>3035.5</v>
      </c>
      <c r="F1400" s="3">
        <f>IFERROR(__xludf.DUMMYFUNCTION("""COMPUTED_VALUE"""),0.0)</f>
        <v>0</v>
      </c>
    </row>
    <row r="1401">
      <c r="A1401" s="7">
        <f>IFERROR(__xludf.DUMMYFUNCTION("""COMPUTED_VALUE"""),38770.645833333336)</f>
        <v>38770.64583</v>
      </c>
      <c r="B1401" s="3">
        <f>IFERROR(__xludf.DUMMYFUNCTION("""COMPUTED_VALUE"""),3035.65)</f>
        <v>3035.65</v>
      </c>
      <c r="C1401" s="3">
        <f>IFERROR(__xludf.DUMMYFUNCTION("""COMPUTED_VALUE"""),3055.65)</f>
        <v>3055.65</v>
      </c>
      <c r="D1401" s="3">
        <f>IFERROR(__xludf.DUMMYFUNCTION("""COMPUTED_VALUE"""),3032.5)</f>
        <v>3032.5</v>
      </c>
      <c r="E1401" s="3">
        <f>IFERROR(__xludf.DUMMYFUNCTION("""COMPUTED_VALUE"""),3050.8)</f>
        <v>3050.8</v>
      </c>
      <c r="F1401" s="3">
        <f>IFERROR(__xludf.DUMMYFUNCTION("""COMPUTED_VALUE"""),0.0)</f>
        <v>0</v>
      </c>
    </row>
    <row r="1402">
      <c r="A1402" s="7">
        <f>IFERROR(__xludf.DUMMYFUNCTION("""COMPUTED_VALUE"""),38771.645833333336)</f>
        <v>38771.64583</v>
      </c>
      <c r="B1402" s="3">
        <f>IFERROR(__xludf.DUMMYFUNCTION("""COMPUTED_VALUE"""),3050.85)</f>
        <v>3050.85</v>
      </c>
      <c r="C1402" s="3">
        <f>IFERROR(__xludf.DUMMYFUNCTION("""COMPUTED_VALUE"""),3078.4)</f>
        <v>3078.4</v>
      </c>
      <c r="D1402" s="3">
        <f>IFERROR(__xludf.DUMMYFUNCTION("""COMPUTED_VALUE"""),3050.85)</f>
        <v>3050.85</v>
      </c>
      <c r="E1402" s="3">
        <f>IFERROR(__xludf.DUMMYFUNCTION("""COMPUTED_VALUE"""),3062.1)</f>
        <v>3062.1</v>
      </c>
      <c r="F1402" s="3">
        <f>IFERROR(__xludf.DUMMYFUNCTION("""COMPUTED_VALUE"""),0.0)</f>
        <v>0</v>
      </c>
    </row>
    <row r="1403">
      <c r="A1403" s="7">
        <f>IFERROR(__xludf.DUMMYFUNCTION("""COMPUTED_VALUE"""),38772.645833333336)</f>
        <v>38772.64583</v>
      </c>
      <c r="B1403" s="3">
        <f>IFERROR(__xludf.DUMMYFUNCTION("""COMPUTED_VALUE"""),3061.7)</f>
        <v>3061.7</v>
      </c>
      <c r="C1403" s="3">
        <f>IFERROR(__xludf.DUMMYFUNCTION("""COMPUTED_VALUE"""),3072.0)</f>
        <v>3072</v>
      </c>
      <c r="D1403" s="3">
        <f>IFERROR(__xludf.DUMMYFUNCTION("""COMPUTED_VALUE"""),3041.6)</f>
        <v>3041.6</v>
      </c>
      <c r="E1403" s="3">
        <f>IFERROR(__xludf.DUMMYFUNCTION("""COMPUTED_VALUE"""),3050.05)</f>
        <v>3050.05</v>
      </c>
      <c r="F1403" s="3">
        <f>IFERROR(__xludf.DUMMYFUNCTION("""COMPUTED_VALUE"""),0.0)</f>
        <v>0</v>
      </c>
    </row>
    <row r="1404">
      <c r="A1404" s="7">
        <f>IFERROR(__xludf.DUMMYFUNCTION("""COMPUTED_VALUE"""),38775.645833333336)</f>
        <v>38775.64583</v>
      </c>
      <c r="B1404" s="3">
        <f>IFERROR(__xludf.DUMMYFUNCTION("""COMPUTED_VALUE"""),3050.3)</f>
        <v>3050.3</v>
      </c>
      <c r="C1404" s="3">
        <f>IFERROR(__xludf.DUMMYFUNCTION("""COMPUTED_VALUE"""),3070.35)</f>
        <v>3070.35</v>
      </c>
      <c r="D1404" s="3">
        <f>IFERROR(__xludf.DUMMYFUNCTION("""COMPUTED_VALUE"""),3050.3)</f>
        <v>3050.3</v>
      </c>
      <c r="E1404" s="3">
        <f>IFERROR(__xludf.DUMMYFUNCTION("""COMPUTED_VALUE"""),3067.45)</f>
        <v>3067.45</v>
      </c>
      <c r="F1404" s="3">
        <f>IFERROR(__xludf.DUMMYFUNCTION("""COMPUTED_VALUE"""),0.0)</f>
        <v>0</v>
      </c>
    </row>
    <row r="1405">
      <c r="A1405" s="7">
        <f>IFERROR(__xludf.DUMMYFUNCTION("""COMPUTED_VALUE"""),38776.645833333336)</f>
        <v>38776.64583</v>
      </c>
      <c r="B1405" s="3">
        <f>IFERROR(__xludf.DUMMYFUNCTION("""COMPUTED_VALUE"""),3067.9)</f>
        <v>3067.9</v>
      </c>
      <c r="C1405" s="3">
        <f>IFERROR(__xludf.DUMMYFUNCTION("""COMPUTED_VALUE"""),3090.3)</f>
        <v>3090.3</v>
      </c>
      <c r="D1405" s="3">
        <f>IFERROR(__xludf.DUMMYFUNCTION("""COMPUTED_VALUE"""),3031.8)</f>
        <v>3031.8</v>
      </c>
      <c r="E1405" s="3">
        <f>IFERROR(__xludf.DUMMYFUNCTION("""COMPUTED_VALUE"""),3074.7)</f>
        <v>3074.7</v>
      </c>
      <c r="F1405" s="3">
        <f>IFERROR(__xludf.DUMMYFUNCTION("""COMPUTED_VALUE"""),0.0)</f>
        <v>0</v>
      </c>
    </row>
    <row r="1406">
      <c r="A1406" s="7">
        <f>IFERROR(__xludf.DUMMYFUNCTION("""COMPUTED_VALUE"""),38777.645833333336)</f>
        <v>38777.64583</v>
      </c>
      <c r="B1406" s="3">
        <f>IFERROR(__xludf.DUMMYFUNCTION("""COMPUTED_VALUE"""),3074.6)</f>
        <v>3074.6</v>
      </c>
      <c r="C1406" s="3">
        <f>IFERROR(__xludf.DUMMYFUNCTION("""COMPUTED_VALUE"""),3127.25)</f>
        <v>3127.25</v>
      </c>
      <c r="D1406" s="3">
        <f>IFERROR(__xludf.DUMMYFUNCTION("""COMPUTED_VALUE"""),3064.0)</f>
        <v>3064</v>
      </c>
      <c r="E1406" s="3">
        <f>IFERROR(__xludf.DUMMYFUNCTION("""COMPUTED_VALUE"""),3123.1)</f>
        <v>3123.1</v>
      </c>
      <c r="F1406" s="3">
        <f>IFERROR(__xludf.DUMMYFUNCTION("""COMPUTED_VALUE"""),0.0)</f>
        <v>0</v>
      </c>
    </row>
    <row r="1407">
      <c r="A1407" s="7">
        <f>IFERROR(__xludf.DUMMYFUNCTION("""COMPUTED_VALUE"""),38778.645833333336)</f>
        <v>38778.64583</v>
      </c>
      <c r="B1407" s="3">
        <f>IFERROR(__xludf.DUMMYFUNCTION("""COMPUTED_VALUE"""),3124.25)</f>
        <v>3124.25</v>
      </c>
      <c r="C1407" s="3">
        <f>IFERROR(__xludf.DUMMYFUNCTION("""COMPUTED_VALUE"""),3170.35)</f>
        <v>3170.35</v>
      </c>
      <c r="D1407" s="3">
        <f>IFERROR(__xludf.DUMMYFUNCTION("""COMPUTED_VALUE"""),3124.25)</f>
        <v>3124.25</v>
      </c>
      <c r="E1407" s="3">
        <f>IFERROR(__xludf.DUMMYFUNCTION("""COMPUTED_VALUE"""),3150.7)</f>
        <v>3150.7</v>
      </c>
      <c r="F1407" s="3">
        <f>IFERROR(__xludf.DUMMYFUNCTION("""COMPUTED_VALUE"""),0.0)</f>
        <v>0</v>
      </c>
    </row>
    <row r="1408">
      <c r="A1408" s="7">
        <f>IFERROR(__xludf.DUMMYFUNCTION("""COMPUTED_VALUE"""),38779.645833333336)</f>
        <v>38779.64583</v>
      </c>
      <c r="B1408" s="3">
        <f>IFERROR(__xludf.DUMMYFUNCTION("""COMPUTED_VALUE"""),3151.3)</f>
        <v>3151.3</v>
      </c>
      <c r="C1408" s="3">
        <f>IFERROR(__xludf.DUMMYFUNCTION("""COMPUTED_VALUE"""),3167.2)</f>
        <v>3167.2</v>
      </c>
      <c r="D1408" s="3">
        <f>IFERROR(__xludf.DUMMYFUNCTION("""COMPUTED_VALUE"""),3132.6)</f>
        <v>3132.6</v>
      </c>
      <c r="E1408" s="3">
        <f>IFERROR(__xludf.DUMMYFUNCTION("""COMPUTED_VALUE"""),3147.35)</f>
        <v>3147.35</v>
      </c>
      <c r="F1408" s="3">
        <f>IFERROR(__xludf.DUMMYFUNCTION("""COMPUTED_VALUE"""),0.0)</f>
        <v>0</v>
      </c>
    </row>
    <row r="1409">
      <c r="A1409" s="7">
        <f>IFERROR(__xludf.DUMMYFUNCTION("""COMPUTED_VALUE"""),38782.645833333336)</f>
        <v>38782.64583</v>
      </c>
      <c r="B1409" s="3">
        <f>IFERROR(__xludf.DUMMYFUNCTION("""COMPUTED_VALUE"""),3147.25)</f>
        <v>3147.25</v>
      </c>
      <c r="C1409" s="3">
        <f>IFERROR(__xludf.DUMMYFUNCTION("""COMPUTED_VALUE"""),3194.0)</f>
        <v>3194</v>
      </c>
      <c r="D1409" s="3">
        <f>IFERROR(__xludf.DUMMYFUNCTION("""COMPUTED_VALUE"""),3147.2)</f>
        <v>3147.2</v>
      </c>
      <c r="E1409" s="3">
        <f>IFERROR(__xludf.DUMMYFUNCTION("""COMPUTED_VALUE"""),3190.4)</f>
        <v>3190.4</v>
      </c>
      <c r="F1409" s="3">
        <f>IFERROR(__xludf.DUMMYFUNCTION("""COMPUTED_VALUE"""),0.0)</f>
        <v>0</v>
      </c>
    </row>
    <row r="1410">
      <c r="A1410" s="7">
        <f>IFERROR(__xludf.DUMMYFUNCTION("""COMPUTED_VALUE"""),38783.645833333336)</f>
        <v>38783.64583</v>
      </c>
      <c r="B1410" s="3">
        <f>IFERROR(__xludf.DUMMYFUNCTION("""COMPUTED_VALUE"""),3190.45)</f>
        <v>3190.45</v>
      </c>
      <c r="C1410" s="3">
        <f>IFERROR(__xludf.DUMMYFUNCTION("""COMPUTED_VALUE"""),3192.95)</f>
        <v>3192.95</v>
      </c>
      <c r="D1410" s="3">
        <f>IFERROR(__xludf.DUMMYFUNCTION("""COMPUTED_VALUE"""),3166.75)</f>
        <v>3166.75</v>
      </c>
      <c r="E1410" s="3">
        <f>IFERROR(__xludf.DUMMYFUNCTION("""COMPUTED_VALUE"""),3182.8)</f>
        <v>3182.8</v>
      </c>
      <c r="F1410" s="3">
        <f>IFERROR(__xludf.DUMMYFUNCTION("""COMPUTED_VALUE"""),0.0)</f>
        <v>0</v>
      </c>
    </row>
    <row r="1411">
      <c r="A1411" s="7">
        <f>IFERROR(__xludf.DUMMYFUNCTION("""COMPUTED_VALUE"""),38784.645833333336)</f>
        <v>38784.64583</v>
      </c>
      <c r="B1411" s="3">
        <f>IFERROR(__xludf.DUMMYFUNCTION("""COMPUTED_VALUE"""),3183.45)</f>
        <v>3183.45</v>
      </c>
      <c r="C1411" s="3">
        <f>IFERROR(__xludf.DUMMYFUNCTION("""COMPUTED_VALUE"""),3187.5)</f>
        <v>3187.5</v>
      </c>
      <c r="D1411" s="3">
        <f>IFERROR(__xludf.DUMMYFUNCTION("""COMPUTED_VALUE"""),3107.9)</f>
        <v>3107.9</v>
      </c>
      <c r="E1411" s="3">
        <f>IFERROR(__xludf.DUMMYFUNCTION("""COMPUTED_VALUE"""),3116.7)</f>
        <v>3116.7</v>
      </c>
      <c r="F1411" s="3">
        <f>IFERROR(__xludf.DUMMYFUNCTION("""COMPUTED_VALUE"""),0.0)</f>
        <v>0</v>
      </c>
    </row>
    <row r="1412">
      <c r="A1412" s="7">
        <f>IFERROR(__xludf.DUMMYFUNCTION("""COMPUTED_VALUE"""),38785.645833333336)</f>
        <v>38785.64583</v>
      </c>
      <c r="B1412" s="3">
        <f>IFERROR(__xludf.DUMMYFUNCTION("""COMPUTED_VALUE"""),3116.75)</f>
        <v>3116.75</v>
      </c>
      <c r="C1412" s="3">
        <f>IFERROR(__xludf.DUMMYFUNCTION("""COMPUTED_VALUE"""),3132.65)</f>
        <v>3132.65</v>
      </c>
      <c r="D1412" s="3">
        <f>IFERROR(__xludf.DUMMYFUNCTION("""COMPUTED_VALUE"""),3069.85)</f>
        <v>3069.85</v>
      </c>
      <c r="E1412" s="3">
        <f>IFERROR(__xludf.DUMMYFUNCTION("""COMPUTED_VALUE"""),3129.1)</f>
        <v>3129.1</v>
      </c>
      <c r="F1412" s="3">
        <f>IFERROR(__xludf.DUMMYFUNCTION("""COMPUTED_VALUE"""),0.0)</f>
        <v>0</v>
      </c>
    </row>
    <row r="1413">
      <c r="A1413" s="7">
        <f>IFERROR(__xludf.DUMMYFUNCTION("""COMPUTED_VALUE"""),38786.645833333336)</f>
        <v>38786.64583</v>
      </c>
      <c r="B1413" s="3">
        <f>IFERROR(__xludf.DUMMYFUNCTION("""COMPUTED_VALUE"""),3129.05)</f>
        <v>3129.05</v>
      </c>
      <c r="C1413" s="3">
        <f>IFERROR(__xludf.DUMMYFUNCTION("""COMPUTED_VALUE"""),3189.35)</f>
        <v>3189.35</v>
      </c>
      <c r="D1413" s="3">
        <f>IFERROR(__xludf.DUMMYFUNCTION("""COMPUTED_VALUE"""),3128.6)</f>
        <v>3128.6</v>
      </c>
      <c r="E1413" s="3">
        <f>IFERROR(__xludf.DUMMYFUNCTION("""COMPUTED_VALUE"""),3183.9)</f>
        <v>3183.9</v>
      </c>
      <c r="F1413" s="3">
        <f>IFERROR(__xludf.DUMMYFUNCTION("""COMPUTED_VALUE"""),0.0)</f>
        <v>0</v>
      </c>
    </row>
    <row r="1414">
      <c r="A1414" s="7">
        <f>IFERROR(__xludf.DUMMYFUNCTION("""COMPUTED_VALUE"""),38789.645833333336)</f>
        <v>38789.64583</v>
      </c>
      <c r="B1414" s="3">
        <f>IFERROR(__xludf.DUMMYFUNCTION("""COMPUTED_VALUE"""),3184.1)</f>
        <v>3184.1</v>
      </c>
      <c r="C1414" s="3">
        <f>IFERROR(__xludf.DUMMYFUNCTION("""COMPUTED_VALUE"""),3221.3)</f>
        <v>3221.3</v>
      </c>
      <c r="D1414" s="3">
        <f>IFERROR(__xludf.DUMMYFUNCTION("""COMPUTED_VALUE"""),3174.05)</f>
        <v>3174.05</v>
      </c>
      <c r="E1414" s="3">
        <f>IFERROR(__xludf.DUMMYFUNCTION("""COMPUTED_VALUE"""),3202.65)</f>
        <v>3202.65</v>
      </c>
      <c r="F1414" s="3">
        <f>IFERROR(__xludf.DUMMYFUNCTION("""COMPUTED_VALUE"""),0.0)</f>
        <v>0</v>
      </c>
    </row>
    <row r="1415">
      <c r="A1415" s="7">
        <f>IFERROR(__xludf.DUMMYFUNCTION("""COMPUTED_VALUE"""),38790.645833333336)</f>
        <v>38790.64583</v>
      </c>
      <c r="B1415" s="3">
        <f>IFERROR(__xludf.DUMMYFUNCTION("""COMPUTED_VALUE"""),3197.2)</f>
        <v>3197.2</v>
      </c>
      <c r="C1415" s="3">
        <f>IFERROR(__xludf.DUMMYFUNCTION("""COMPUTED_VALUE"""),3223.45)</f>
        <v>3223.45</v>
      </c>
      <c r="D1415" s="3">
        <f>IFERROR(__xludf.DUMMYFUNCTION("""COMPUTED_VALUE"""),3184.05)</f>
        <v>3184.05</v>
      </c>
      <c r="E1415" s="3">
        <f>IFERROR(__xludf.DUMMYFUNCTION("""COMPUTED_VALUE"""),3195.35)</f>
        <v>3195.35</v>
      </c>
      <c r="F1415" s="3">
        <f>IFERROR(__xludf.DUMMYFUNCTION("""COMPUTED_VALUE"""),0.0)</f>
        <v>0</v>
      </c>
    </row>
    <row r="1416">
      <c r="A1416" s="7">
        <f>IFERROR(__xludf.DUMMYFUNCTION("""COMPUTED_VALUE"""),38792.645833333336)</f>
        <v>38792.64583</v>
      </c>
      <c r="B1416" s="3">
        <f>IFERROR(__xludf.DUMMYFUNCTION("""COMPUTED_VALUE"""),3197.3)</f>
        <v>3197.3</v>
      </c>
      <c r="C1416" s="3">
        <f>IFERROR(__xludf.DUMMYFUNCTION("""COMPUTED_VALUE"""),3230.4)</f>
        <v>3230.4</v>
      </c>
      <c r="D1416" s="3">
        <f>IFERROR(__xludf.DUMMYFUNCTION("""COMPUTED_VALUE"""),3196.95)</f>
        <v>3196.95</v>
      </c>
      <c r="E1416" s="3">
        <f>IFERROR(__xludf.DUMMYFUNCTION("""COMPUTED_VALUE"""),3226.6)</f>
        <v>3226.6</v>
      </c>
      <c r="F1416" s="3">
        <f>IFERROR(__xludf.DUMMYFUNCTION("""COMPUTED_VALUE"""),0.0)</f>
        <v>0</v>
      </c>
    </row>
    <row r="1417">
      <c r="A1417" s="7">
        <f>IFERROR(__xludf.DUMMYFUNCTION("""COMPUTED_VALUE"""),38793.645833333336)</f>
        <v>38793.64583</v>
      </c>
      <c r="B1417" s="3">
        <f>IFERROR(__xludf.DUMMYFUNCTION("""COMPUTED_VALUE"""),3226.9)</f>
        <v>3226.9</v>
      </c>
      <c r="C1417" s="3">
        <f>IFERROR(__xludf.DUMMYFUNCTION("""COMPUTED_VALUE"""),3258.3)</f>
        <v>3258.3</v>
      </c>
      <c r="D1417" s="3">
        <f>IFERROR(__xludf.DUMMYFUNCTION("""COMPUTED_VALUE"""),3226.9)</f>
        <v>3226.9</v>
      </c>
      <c r="E1417" s="3">
        <f>IFERROR(__xludf.DUMMYFUNCTION("""COMPUTED_VALUE"""),3234.05)</f>
        <v>3234.05</v>
      </c>
      <c r="F1417" s="3">
        <f>IFERROR(__xludf.DUMMYFUNCTION("""COMPUTED_VALUE"""),0.0)</f>
        <v>0</v>
      </c>
    </row>
    <row r="1418">
      <c r="A1418" s="7">
        <f>IFERROR(__xludf.DUMMYFUNCTION("""COMPUTED_VALUE"""),38796.645833333336)</f>
        <v>38796.64583</v>
      </c>
      <c r="B1418" s="3">
        <f>IFERROR(__xludf.DUMMYFUNCTION("""COMPUTED_VALUE"""),3234.2)</f>
        <v>3234.2</v>
      </c>
      <c r="C1418" s="3">
        <f>IFERROR(__xludf.DUMMYFUNCTION("""COMPUTED_VALUE"""),3268.25)</f>
        <v>3268.25</v>
      </c>
      <c r="D1418" s="3">
        <f>IFERROR(__xludf.DUMMYFUNCTION("""COMPUTED_VALUE"""),3234.2)</f>
        <v>3234.2</v>
      </c>
      <c r="E1418" s="3">
        <f>IFERROR(__xludf.DUMMYFUNCTION("""COMPUTED_VALUE"""),3265.65)</f>
        <v>3265.65</v>
      </c>
      <c r="F1418" s="3">
        <f>IFERROR(__xludf.DUMMYFUNCTION("""COMPUTED_VALUE"""),0.0)</f>
        <v>0</v>
      </c>
    </row>
    <row r="1419">
      <c r="A1419" s="7">
        <f>IFERROR(__xludf.DUMMYFUNCTION("""COMPUTED_VALUE"""),38797.645833333336)</f>
        <v>38797.64583</v>
      </c>
      <c r="B1419" s="3">
        <f>IFERROR(__xludf.DUMMYFUNCTION("""COMPUTED_VALUE"""),3264.65)</f>
        <v>3264.65</v>
      </c>
      <c r="C1419" s="3">
        <f>IFERROR(__xludf.DUMMYFUNCTION("""COMPUTED_VALUE"""),3292.15)</f>
        <v>3292.15</v>
      </c>
      <c r="D1419" s="3">
        <f>IFERROR(__xludf.DUMMYFUNCTION("""COMPUTED_VALUE"""),3247.25)</f>
        <v>3247.25</v>
      </c>
      <c r="E1419" s="3">
        <f>IFERROR(__xludf.DUMMYFUNCTION("""COMPUTED_VALUE"""),3262.3)</f>
        <v>3262.3</v>
      </c>
      <c r="F1419" s="3">
        <f>IFERROR(__xludf.DUMMYFUNCTION("""COMPUTED_VALUE"""),0.0)</f>
        <v>0</v>
      </c>
    </row>
    <row r="1420">
      <c r="A1420" s="7">
        <f>IFERROR(__xludf.DUMMYFUNCTION("""COMPUTED_VALUE"""),38798.645833333336)</f>
        <v>38798.64583</v>
      </c>
      <c r="B1420" s="3">
        <f>IFERROR(__xludf.DUMMYFUNCTION("""COMPUTED_VALUE"""),3263.35)</f>
        <v>3263.35</v>
      </c>
      <c r="C1420" s="3">
        <f>IFERROR(__xludf.DUMMYFUNCTION("""COMPUTED_VALUE"""),3267.95)</f>
        <v>3267.95</v>
      </c>
      <c r="D1420" s="3">
        <f>IFERROR(__xludf.DUMMYFUNCTION("""COMPUTED_VALUE"""),3221.95)</f>
        <v>3221.95</v>
      </c>
      <c r="E1420" s="3">
        <f>IFERROR(__xludf.DUMMYFUNCTION("""COMPUTED_VALUE"""),3240.15)</f>
        <v>3240.15</v>
      </c>
      <c r="F1420" s="3">
        <f>IFERROR(__xludf.DUMMYFUNCTION("""COMPUTED_VALUE"""),0.0)</f>
        <v>0</v>
      </c>
    </row>
    <row r="1421">
      <c r="A1421" s="7">
        <f>IFERROR(__xludf.DUMMYFUNCTION("""COMPUTED_VALUE"""),38799.645833333336)</f>
        <v>38799.64583</v>
      </c>
      <c r="B1421" s="3">
        <f>IFERROR(__xludf.DUMMYFUNCTION("""COMPUTED_VALUE"""),3240.85)</f>
        <v>3240.85</v>
      </c>
      <c r="C1421" s="3">
        <f>IFERROR(__xludf.DUMMYFUNCTION("""COMPUTED_VALUE"""),3265.6)</f>
        <v>3265.6</v>
      </c>
      <c r="D1421" s="3">
        <f>IFERROR(__xludf.DUMMYFUNCTION("""COMPUTED_VALUE"""),3225.2)</f>
        <v>3225.2</v>
      </c>
      <c r="E1421" s="3">
        <f>IFERROR(__xludf.DUMMYFUNCTION("""COMPUTED_VALUE"""),3247.15)</f>
        <v>3247.15</v>
      </c>
      <c r="F1421" s="3">
        <f>IFERROR(__xludf.DUMMYFUNCTION("""COMPUTED_VALUE"""),0.0)</f>
        <v>0</v>
      </c>
    </row>
    <row r="1422">
      <c r="A1422" s="7">
        <f>IFERROR(__xludf.DUMMYFUNCTION("""COMPUTED_VALUE"""),38800.645833333336)</f>
        <v>38800.64583</v>
      </c>
      <c r="B1422" s="3">
        <f>IFERROR(__xludf.DUMMYFUNCTION("""COMPUTED_VALUE"""),3247.15)</f>
        <v>3247.15</v>
      </c>
      <c r="C1422" s="3">
        <f>IFERROR(__xludf.DUMMYFUNCTION("""COMPUTED_VALUE"""),3286.2)</f>
        <v>3286.2</v>
      </c>
      <c r="D1422" s="3">
        <f>IFERROR(__xludf.DUMMYFUNCTION("""COMPUTED_VALUE"""),3242.6)</f>
        <v>3242.6</v>
      </c>
      <c r="E1422" s="3">
        <f>IFERROR(__xludf.DUMMYFUNCTION("""COMPUTED_VALUE"""),3279.8)</f>
        <v>3279.8</v>
      </c>
      <c r="F1422" s="3">
        <f>IFERROR(__xludf.DUMMYFUNCTION("""COMPUTED_VALUE"""),0.0)</f>
        <v>0</v>
      </c>
    </row>
    <row r="1423">
      <c r="A1423" s="7">
        <f>IFERROR(__xludf.DUMMYFUNCTION("""COMPUTED_VALUE"""),38803.645833333336)</f>
        <v>38803.64583</v>
      </c>
      <c r="B1423" s="3">
        <f>IFERROR(__xludf.DUMMYFUNCTION("""COMPUTED_VALUE"""),3283.4)</f>
        <v>3283.4</v>
      </c>
      <c r="C1423" s="3">
        <f>IFERROR(__xludf.DUMMYFUNCTION("""COMPUTED_VALUE"""),3327.05)</f>
        <v>3327.05</v>
      </c>
      <c r="D1423" s="3">
        <f>IFERROR(__xludf.DUMMYFUNCTION("""COMPUTED_VALUE"""),3280.8)</f>
        <v>3280.8</v>
      </c>
      <c r="E1423" s="3">
        <f>IFERROR(__xludf.DUMMYFUNCTION("""COMPUTED_VALUE"""),3321.65)</f>
        <v>3321.65</v>
      </c>
      <c r="F1423" s="3">
        <f>IFERROR(__xludf.DUMMYFUNCTION("""COMPUTED_VALUE"""),0.0)</f>
        <v>0</v>
      </c>
    </row>
    <row r="1424">
      <c r="A1424" s="7">
        <f>IFERROR(__xludf.DUMMYFUNCTION("""COMPUTED_VALUE"""),38804.645833333336)</f>
        <v>38804.64583</v>
      </c>
      <c r="B1424" s="3">
        <f>IFERROR(__xludf.DUMMYFUNCTION("""COMPUTED_VALUE"""),3321.45)</f>
        <v>3321.45</v>
      </c>
      <c r="C1424" s="3">
        <f>IFERROR(__xludf.DUMMYFUNCTION("""COMPUTED_VALUE"""),3344.5)</f>
        <v>3344.5</v>
      </c>
      <c r="D1424" s="3">
        <f>IFERROR(__xludf.DUMMYFUNCTION("""COMPUTED_VALUE"""),3311.85)</f>
        <v>3311.85</v>
      </c>
      <c r="E1424" s="3">
        <f>IFERROR(__xludf.DUMMYFUNCTION("""COMPUTED_VALUE"""),3325.0)</f>
        <v>3325</v>
      </c>
      <c r="F1424" s="3">
        <f>IFERROR(__xludf.DUMMYFUNCTION("""COMPUTED_VALUE"""),0.0)</f>
        <v>0</v>
      </c>
    </row>
    <row r="1425">
      <c r="A1425" s="7">
        <f>IFERROR(__xludf.DUMMYFUNCTION("""COMPUTED_VALUE"""),38805.645833333336)</f>
        <v>38805.64583</v>
      </c>
      <c r="B1425" s="3">
        <f>IFERROR(__xludf.DUMMYFUNCTION("""COMPUTED_VALUE"""),3324.85)</f>
        <v>3324.85</v>
      </c>
      <c r="C1425" s="3">
        <f>IFERROR(__xludf.DUMMYFUNCTION("""COMPUTED_VALUE"""),3359.8)</f>
        <v>3359.8</v>
      </c>
      <c r="D1425" s="3">
        <f>IFERROR(__xludf.DUMMYFUNCTION("""COMPUTED_VALUE"""),3324.8)</f>
        <v>3324.8</v>
      </c>
      <c r="E1425" s="3">
        <f>IFERROR(__xludf.DUMMYFUNCTION("""COMPUTED_VALUE"""),3354.2)</f>
        <v>3354.2</v>
      </c>
      <c r="F1425" s="3">
        <f>IFERROR(__xludf.DUMMYFUNCTION("""COMPUTED_VALUE"""),0.0)</f>
        <v>0</v>
      </c>
    </row>
    <row r="1426">
      <c r="A1426" s="7">
        <f>IFERROR(__xludf.DUMMYFUNCTION("""COMPUTED_VALUE"""),38806.645833333336)</f>
        <v>38806.64583</v>
      </c>
      <c r="B1426" s="3">
        <f>IFERROR(__xludf.DUMMYFUNCTION("""COMPUTED_VALUE"""),3354.25)</f>
        <v>3354.25</v>
      </c>
      <c r="C1426" s="3">
        <f>IFERROR(__xludf.DUMMYFUNCTION("""COMPUTED_VALUE"""),3433.85)</f>
        <v>3433.85</v>
      </c>
      <c r="D1426" s="3">
        <f>IFERROR(__xludf.DUMMYFUNCTION("""COMPUTED_VALUE"""),3354.25)</f>
        <v>3354.25</v>
      </c>
      <c r="E1426" s="3">
        <f>IFERROR(__xludf.DUMMYFUNCTION("""COMPUTED_VALUE"""),3418.95)</f>
        <v>3418.95</v>
      </c>
      <c r="F1426" s="3">
        <f>IFERROR(__xludf.DUMMYFUNCTION("""COMPUTED_VALUE"""),0.0)</f>
        <v>0</v>
      </c>
    </row>
    <row r="1427">
      <c r="A1427" s="7">
        <f>IFERROR(__xludf.DUMMYFUNCTION("""COMPUTED_VALUE"""),38807.645833333336)</f>
        <v>38807.64583</v>
      </c>
      <c r="B1427" s="3">
        <f>IFERROR(__xludf.DUMMYFUNCTION("""COMPUTED_VALUE"""),3420.55)</f>
        <v>3420.55</v>
      </c>
      <c r="C1427" s="3">
        <f>IFERROR(__xludf.DUMMYFUNCTION("""COMPUTED_VALUE"""),3425.45)</f>
        <v>3425.45</v>
      </c>
      <c r="D1427" s="3">
        <f>IFERROR(__xludf.DUMMYFUNCTION("""COMPUTED_VALUE"""),3381.9)</f>
        <v>3381.9</v>
      </c>
      <c r="E1427" s="3">
        <f>IFERROR(__xludf.DUMMYFUNCTION("""COMPUTED_VALUE"""),3402.55)</f>
        <v>3402.55</v>
      </c>
      <c r="F1427" s="3">
        <f>IFERROR(__xludf.DUMMYFUNCTION("""COMPUTED_VALUE"""),0.0)</f>
        <v>0</v>
      </c>
    </row>
    <row r="1428">
      <c r="A1428" s="7">
        <f>IFERROR(__xludf.DUMMYFUNCTION("""COMPUTED_VALUE"""),38810.645833333336)</f>
        <v>38810.64583</v>
      </c>
      <c r="B1428" s="3">
        <f>IFERROR(__xludf.DUMMYFUNCTION("""COMPUTED_VALUE"""),3403.15)</f>
        <v>3403.15</v>
      </c>
      <c r="C1428" s="3">
        <f>IFERROR(__xludf.DUMMYFUNCTION("""COMPUTED_VALUE"""),3478.25)</f>
        <v>3478.25</v>
      </c>
      <c r="D1428" s="3">
        <f>IFERROR(__xludf.DUMMYFUNCTION("""COMPUTED_VALUE"""),3402.45)</f>
        <v>3402.45</v>
      </c>
      <c r="E1428" s="3">
        <f>IFERROR(__xludf.DUMMYFUNCTION("""COMPUTED_VALUE"""),3473.3)</f>
        <v>3473.3</v>
      </c>
      <c r="F1428" s="3">
        <f>IFERROR(__xludf.DUMMYFUNCTION("""COMPUTED_VALUE"""),0.0)</f>
        <v>0</v>
      </c>
    </row>
    <row r="1429">
      <c r="A1429" s="7">
        <f>IFERROR(__xludf.DUMMYFUNCTION("""COMPUTED_VALUE"""),38811.645833333336)</f>
        <v>38811.64583</v>
      </c>
      <c r="B1429" s="3">
        <f>IFERROR(__xludf.DUMMYFUNCTION("""COMPUTED_VALUE"""),3473.1)</f>
        <v>3473.1</v>
      </c>
      <c r="C1429" s="3">
        <f>IFERROR(__xludf.DUMMYFUNCTION("""COMPUTED_VALUE"""),3508.25)</f>
        <v>3508.25</v>
      </c>
      <c r="D1429" s="3">
        <f>IFERROR(__xludf.DUMMYFUNCTION("""COMPUTED_VALUE"""),3463.85)</f>
        <v>3463.85</v>
      </c>
      <c r="E1429" s="3">
        <f>IFERROR(__xludf.DUMMYFUNCTION("""COMPUTED_VALUE"""),3483.15)</f>
        <v>3483.15</v>
      </c>
      <c r="F1429" s="3">
        <f>IFERROR(__xludf.DUMMYFUNCTION("""COMPUTED_VALUE"""),0.0)</f>
        <v>0</v>
      </c>
    </row>
    <row r="1430">
      <c r="A1430" s="7">
        <f>IFERROR(__xludf.DUMMYFUNCTION("""COMPUTED_VALUE"""),38812.645833333336)</f>
        <v>38812.64583</v>
      </c>
      <c r="B1430" s="3">
        <f>IFERROR(__xludf.DUMMYFUNCTION("""COMPUTED_VALUE"""),3483.15)</f>
        <v>3483.15</v>
      </c>
      <c r="C1430" s="3">
        <f>IFERROR(__xludf.DUMMYFUNCTION("""COMPUTED_VALUE"""),3513.95)</f>
        <v>3513.95</v>
      </c>
      <c r="D1430" s="3">
        <f>IFERROR(__xludf.DUMMYFUNCTION("""COMPUTED_VALUE"""),3483.15)</f>
        <v>3483.15</v>
      </c>
      <c r="E1430" s="3">
        <f>IFERROR(__xludf.DUMMYFUNCTION("""COMPUTED_VALUE"""),3510.9)</f>
        <v>3510.9</v>
      </c>
      <c r="F1430" s="3">
        <f>IFERROR(__xludf.DUMMYFUNCTION("""COMPUTED_VALUE"""),0.0)</f>
        <v>0</v>
      </c>
    </row>
    <row r="1431">
      <c r="A1431" s="7">
        <f>IFERROR(__xludf.DUMMYFUNCTION("""COMPUTED_VALUE"""),38814.645833333336)</f>
        <v>38814.64583</v>
      </c>
      <c r="B1431" s="3">
        <f>IFERROR(__xludf.DUMMYFUNCTION("""COMPUTED_VALUE"""),3525.6)</f>
        <v>3525.6</v>
      </c>
      <c r="C1431" s="3">
        <f>IFERROR(__xludf.DUMMYFUNCTION("""COMPUTED_VALUE"""),3555.5)</f>
        <v>3555.5</v>
      </c>
      <c r="D1431" s="3">
        <f>IFERROR(__xludf.DUMMYFUNCTION("""COMPUTED_VALUE"""),3445.9)</f>
        <v>3445.9</v>
      </c>
      <c r="E1431" s="3">
        <f>IFERROR(__xludf.DUMMYFUNCTION("""COMPUTED_VALUE"""),3454.8)</f>
        <v>3454.8</v>
      </c>
      <c r="F1431" s="3">
        <f>IFERROR(__xludf.DUMMYFUNCTION("""COMPUTED_VALUE"""),0.0)</f>
        <v>0</v>
      </c>
    </row>
    <row r="1432">
      <c r="A1432" s="7">
        <f>IFERROR(__xludf.DUMMYFUNCTION("""COMPUTED_VALUE"""),38817.645833333336)</f>
        <v>38817.64583</v>
      </c>
      <c r="B1432" s="3">
        <f>IFERROR(__xludf.DUMMYFUNCTION("""COMPUTED_VALUE"""),3455.0)</f>
        <v>3455</v>
      </c>
      <c r="C1432" s="3">
        <f>IFERROR(__xludf.DUMMYFUNCTION("""COMPUTED_VALUE"""),3489.05)</f>
        <v>3489.05</v>
      </c>
      <c r="D1432" s="3">
        <f>IFERROR(__xludf.DUMMYFUNCTION("""COMPUTED_VALUE"""),3430.4)</f>
        <v>3430.4</v>
      </c>
      <c r="E1432" s="3">
        <f>IFERROR(__xludf.DUMMYFUNCTION("""COMPUTED_VALUE"""),3478.45)</f>
        <v>3478.45</v>
      </c>
      <c r="F1432" s="3">
        <f>IFERROR(__xludf.DUMMYFUNCTION("""COMPUTED_VALUE"""),0.0)</f>
        <v>0</v>
      </c>
    </row>
    <row r="1433">
      <c r="A1433" s="7">
        <f>IFERROR(__xludf.DUMMYFUNCTION("""COMPUTED_VALUE"""),38819.645833333336)</f>
        <v>38819.64583</v>
      </c>
      <c r="B1433" s="3">
        <f>IFERROR(__xludf.DUMMYFUNCTION("""COMPUTED_VALUE"""),3479.1)</f>
        <v>3479.1</v>
      </c>
      <c r="C1433" s="3">
        <f>IFERROR(__xludf.DUMMYFUNCTION("""COMPUTED_VALUE"""),3484.65)</f>
        <v>3484.65</v>
      </c>
      <c r="D1433" s="3">
        <f>IFERROR(__xludf.DUMMYFUNCTION("""COMPUTED_VALUE"""),3366.75)</f>
        <v>3366.75</v>
      </c>
      <c r="E1433" s="3">
        <f>IFERROR(__xludf.DUMMYFUNCTION("""COMPUTED_VALUE"""),3380.0)</f>
        <v>3380</v>
      </c>
      <c r="F1433" s="3">
        <f>IFERROR(__xludf.DUMMYFUNCTION("""COMPUTED_VALUE"""),0.0)</f>
        <v>0</v>
      </c>
    </row>
    <row r="1434">
      <c r="A1434" s="7">
        <f>IFERROR(__xludf.DUMMYFUNCTION("""COMPUTED_VALUE"""),38820.645833333336)</f>
        <v>38820.64583</v>
      </c>
      <c r="B1434" s="3">
        <f>IFERROR(__xludf.DUMMYFUNCTION("""COMPUTED_VALUE"""),3380.4)</f>
        <v>3380.4</v>
      </c>
      <c r="C1434" s="3">
        <f>IFERROR(__xludf.DUMMYFUNCTION("""COMPUTED_VALUE"""),3391.05)</f>
        <v>3391.05</v>
      </c>
      <c r="D1434" s="3">
        <f>IFERROR(__xludf.DUMMYFUNCTION("""COMPUTED_VALUE"""),3290.35)</f>
        <v>3290.35</v>
      </c>
      <c r="E1434" s="3">
        <f>IFERROR(__xludf.DUMMYFUNCTION("""COMPUTED_VALUE"""),3345.5)</f>
        <v>3345.5</v>
      </c>
      <c r="F1434" s="3">
        <f>IFERROR(__xludf.DUMMYFUNCTION("""COMPUTED_VALUE"""),0.0)</f>
        <v>0</v>
      </c>
    </row>
    <row r="1435">
      <c r="A1435" s="7">
        <f>IFERROR(__xludf.DUMMYFUNCTION("""COMPUTED_VALUE"""),38824.645833333336)</f>
        <v>38824.64583</v>
      </c>
      <c r="B1435" s="3">
        <f>IFERROR(__xludf.DUMMYFUNCTION("""COMPUTED_VALUE"""),3342.15)</f>
        <v>3342.15</v>
      </c>
      <c r="C1435" s="3">
        <f>IFERROR(__xludf.DUMMYFUNCTION("""COMPUTED_VALUE"""),3433.65)</f>
        <v>3433.65</v>
      </c>
      <c r="D1435" s="3">
        <f>IFERROR(__xludf.DUMMYFUNCTION("""COMPUTED_VALUE"""),3342.15)</f>
        <v>3342.15</v>
      </c>
      <c r="E1435" s="3">
        <f>IFERROR(__xludf.DUMMYFUNCTION("""COMPUTED_VALUE"""),3425.15)</f>
        <v>3425.15</v>
      </c>
      <c r="F1435" s="3">
        <f>IFERROR(__xludf.DUMMYFUNCTION("""COMPUTED_VALUE"""),0.0)</f>
        <v>0</v>
      </c>
    </row>
    <row r="1436">
      <c r="A1436" s="7">
        <f>IFERROR(__xludf.DUMMYFUNCTION("""COMPUTED_VALUE"""),38825.645833333336)</f>
        <v>38825.64583</v>
      </c>
      <c r="B1436" s="3">
        <f>IFERROR(__xludf.DUMMYFUNCTION("""COMPUTED_VALUE"""),3429.0)</f>
        <v>3429</v>
      </c>
      <c r="C1436" s="3">
        <f>IFERROR(__xludf.DUMMYFUNCTION("""COMPUTED_VALUE"""),3521.95)</f>
        <v>3521.95</v>
      </c>
      <c r="D1436" s="3">
        <f>IFERROR(__xludf.DUMMYFUNCTION("""COMPUTED_VALUE"""),3429.0)</f>
        <v>3429</v>
      </c>
      <c r="E1436" s="3">
        <f>IFERROR(__xludf.DUMMYFUNCTION("""COMPUTED_VALUE"""),3518.1)</f>
        <v>3518.1</v>
      </c>
      <c r="F1436" s="3">
        <f>IFERROR(__xludf.DUMMYFUNCTION("""COMPUTED_VALUE"""),0.0)</f>
        <v>0</v>
      </c>
    </row>
    <row r="1437">
      <c r="A1437" s="7">
        <f>IFERROR(__xludf.DUMMYFUNCTION("""COMPUTED_VALUE"""),38826.645833333336)</f>
        <v>38826.64583</v>
      </c>
      <c r="B1437" s="3">
        <f>IFERROR(__xludf.DUMMYFUNCTION("""COMPUTED_VALUE"""),3523.65)</f>
        <v>3523.65</v>
      </c>
      <c r="C1437" s="3">
        <f>IFERROR(__xludf.DUMMYFUNCTION("""COMPUTED_VALUE"""),3570.5)</f>
        <v>3570.5</v>
      </c>
      <c r="D1437" s="3">
        <f>IFERROR(__xludf.DUMMYFUNCTION("""COMPUTED_VALUE"""),3502.75)</f>
        <v>3502.75</v>
      </c>
      <c r="E1437" s="3">
        <f>IFERROR(__xludf.DUMMYFUNCTION("""COMPUTED_VALUE"""),3535.85)</f>
        <v>3535.85</v>
      </c>
      <c r="F1437" s="3">
        <f>IFERROR(__xludf.DUMMYFUNCTION("""COMPUTED_VALUE"""),0.0)</f>
        <v>0</v>
      </c>
    </row>
    <row r="1438">
      <c r="A1438" s="7">
        <f>IFERROR(__xludf.DUMMYFUNCTION("""COMPUTED_VALUE"""),38827.645833333336)</f>
        <v>38827.64583</v>
      </c>
      <c r="B1438" s="3">
        <f>IFERROR(__xludf.DUMMYFUNCTION("""COMPUTED_VALUE"""),3539.8)</f>
        <v>3539.8</v>
      </c>
      <c r="C1438" s="3">
        <f>IFERROR(__xludf.DUMMYFUNCTION("""COMPUTED_VALUE"""),3578.35)</f>
        <v>3578.35</v>
      </c>
      <c r="D1438" s="3">
        <f>IFERROR(__xludf.DUMMYFUNCTION("""COMPUTED_VALUE"""),3527.25)</f>
        <v>3527.25</v>
      </c>
      <c r="E1438" s="3">
        <f>IFERROR(__xludf.DUMMYFUNCTION("""COMPUTED_VALUE"""),3573.5)</f>
        <v>3573.5</v>
      </c>
      <c r="F1438" s="3">
        <f>IFERROR(__xludf.DUMMYFUNCTION("""COMPUTED_VALUE"""),0.0)</f>
        <v>0</v>
      </c>
    </row>
    <row r="1439">
      <c r="A1439" s="7">
        <f>IFERROR(__xludf.DUMMYFUNCTION("""COMPUTED_VALUE"""),38828.645833333336)</f>
        <v>38828.64583</v>
      </c>
      <c r="B1439" s="3">
        <f>IFERROR(__xludf.DUMMYFUNCTION("""COMPUTED_VALUE"""),3576.75)</f>
        <v>3576.75</v>
      </c>
      <c r="C1439" s="3">
        <f>IFERROR(__xludf.DUMMYFUNCTION("""COMPUTED_VALUE"""),3592.75)</f>
        <v>3592.75</v>
      </c>
      <c r="D1439" s="3">
        <f>IFERROR(__xludf.DUMMYFUNCTION("""COMPUTED_VALUE"""),3517.1)</f>
        <v>3517.1</v>
      </c>
      <c r="E1439" s="3">
        <f>IFERROR(__xludf.DUMMYFUNCTION("""COMPUTED_VALUE"""),3573.05)</f>
        <v>3573.05</v>
      </c>
      <c r="F1439" s="3">
        <f>IFERROR(__xludf.DUMMYFUNCTION("""COMPUTED_VALUE"""),0.0)</f>
        <v>0</v>
      </c>
    </row>
    <row r="1440">
      <c r="A1440" s="7">
        <f>IFERROR(__xludf.DUMMYFUNCTION("""COMPUTED_VALUE"""),38831.645833333336)</f>
        <v>38831.64583</v>
      </c>
      <c r="B1440" s="3">
        <f>IFERROR(__xludf.DUMMYFUNCTION("""COMPUTED_VALUE"""),3572.8)</f>
        <v>3572.8</v>
      </c>
      <c r="C1440" s="3">
        <f>IFERROR(__xludf.DUMMYFUNCTION("""COMPUTED_VALUE"""),3585.35)</f>
        <v>3585.35</v>
      </c>
      <c r="D1440" s="3">
        <f>IFERROR(__xludf.DUMMYFUNCTION("""COMPUTED_VALUE"""),3536.3)</f>
        <v>3536.3</v>
      </c>
      <c r="E1440" s="3">
        <f>IFERROR(__xludf.DUMMYFUNCTION("""COMPUTED_VALUE"""),3548.9)</f>
        <v>3548.9</v>
      </c>
      <c r="F1440" s="3">
        <f>IFERROR(__xludf.DUMMYFUNCTION("""COMPUTED_VALUE"""),0.0)</f>
        <v>0</v>
      </c>
    </row>
    <row r="1441">
      <c r="A1441" s="7">
        <f>IFERROR(__xludf.DUMMYFUNCTION("""COMPUTED_VALUE"""),38832.645833333336)</f>
        <v>38832.64583</v>
      </c>
      <c r="B1441" s="3">
        <f>IFERROR(__xludf.DUMMYFUNCTION("""COMPUTED_VALUE"""),3548.8)</f>
        <v>3548.8</v>
      </c>
      <c r="C1441" s="3">
        <f>IFERROR(__xludf.DUMMYFUNCTION("""COMPUTED_VALUE"""),3552.65)</f>
        <v>3552.65</v>
      </c>
      <c r="D1441" s="3">
        <f>IFERROR(__xludf.DUMMYFUNCTION("""COMPUTED_VALUE"""),3433.55)</f>
        <v>3433.55</v>
      </c>
      <c r="E1441" s="3">
        <f>IFERROR(__xludf.DUMMYFUNCTION("""COMPUTED_VALUE"""),3462.65)</f>
        <v>3462.65</v>
      </c>
      <c r="F1441" s="3">
        <f>IFERROR(__xludf.DUMMYFUNCTION("""COMPUTED_VALUE"""),0.0)</f>
        <v>0</v>
      </c>
    </row>
    <row r="1442">
      <c r="A1442" s="7">
        <f>IFERROR(__xludf.DUMMYFUNCTION("""COMPUTED_VALUE"""),38833.645833333336)</f>
        <v>38833.64583</v>
      </c>
      <c r="B1442" s="3">
        <f>IFERROR(__xludf.DUMMYFUNCTION("""COMPUTED_VALUE"""),3462.65)</f>
        <v>3462.65</v>
      </c>
      <c r="C1442" s="3">
        <f>IFERROR(__xludf.DUMMYFUNCTION("""COMPUTED_VALUE"""),3562.3)</f>
        <v>3562.3</v>
      </c>
      <c r="D1442" s="3">
        <f>IFERROR(__xludf.DUMMYFUNCTION("""COMPUTED_VALUE"""),3454.1)</f>
        <v>3454.1</v>
      </c>
      <c r="E1442" s="3">
        <f>IFERROR(__xludf.DUMMYFUNCTION("""COMPUTED_VALUE"""),3555.75)</f>
        <v>3555.75</v>
      </c>
      <c r="F1442" s="3">
        <f>IFERROR(__xludf.DUMMYFUNCTION("""COMPUTED_VALUE"""),0.0)</f>
        <v>0</v>
      </c>
    </row>
    <row r="1443">
      <c r="A1443" s="7">
        <f>IFERROR(__xludf.DUMMYFUNCTION("""COMPUTED_VALUE"""),38834.645833333336)</f>
        <v>38834.64583</v>
      </c>
      <c r="B1443" s="3">
        <f>IFERROR(__xludf.DUMMYFUNCTION("""COMPUTED_VALUE"""),3554.7)</f>
        <v>3554.7</v>
      </c>
      <c r="C1443" s="3">
        <f>IFERROR(__xludf.DUMMYFUNCTION("""COMPUTED_VALUE"""),3598.95)</f>
        <v>3598.95</v>
      </c>
      <c r="D1443" s="3">
        <f>IFERROR(__xludf.DUMMYFUNCTION("""COMPUTED_VALUE"""),3492.75)</f>
        <v>3492.75</v>
      </c>
      <c r="E1443" s="3">
        <f>IFERROR(__xludf.DUMMYFUNCTION("""COMPUTED_VALUE"""),3508.1)</f>
        <v>3508.1</v>
      </c>
      <c r="F1443" s="3">
        <f>IFERROR(__xludf.DUMMYFUNCTION("""COMPUTED_VALUE"""),0.0)</f>
        <v>0</v>
      </c>
    </row>
    <row r="1444">
      <c r="A1444" s="7">
        <f>IFERROR(__xludf.DUMMYFUNCTION("""COMPUTED_VALUE"""),38835.645833333336)</f>
        <v>38835.64583</v>
      </c>
      <c r="B1444" s="3">
        <f>IFERROR(__xludf.DUMMYFUNCTION("""COMPUTED_VALUE"""),3507.45)</f>
        <v>3507.45</v>
      </c>
      <c r="C1444" s="3">
        <f>IFERROR(__xludf.DUMMYFUNCTION("""COMPUTED_VALUE"""),3517.65)</f>
        <v>3517.65</v>
      </c>
      <c r="D1444" s="3">
        <f>IFERROR(__xludf.DUMMYFUNCTION("""COMPUTED_VALUE"""),3342.85)</f>
        <v>3342.85</v>
      </c>
      <c r="E1444" s="3">
        <f>IFERROR(__xludf.DUMMYFUNCTION("""COMPUTED_VALUE"""),3508.35)</f>
        <v>3508.35</v>
      </c>
      <c r="F1444" s="3">
        <f>IFERROR(__xludf.DUMMYFUNCTION("""COMPUTED_VALUE"""),0.0)</f>
        <v>0</v>
      </c>
    </row>
    <row r="1445">
      <c r="A1445" s="7">
        <f>IFERROR(__xludf.DUMMYFUNCTION("""COMPUTED_VALUE"""),38839.645833333336)</f>
        <v>38839.64583</v>
      </c>
      <c r="B1445" s="3">
        <f>IFERROR(__xludf.DUMMYFUNCTION("""COMPUTED_VALUE"""),3557.55)</f>
        <v>3557.55</v>
      </c>
      <c r="C1445" s="3">
        <f>IFERROR(__xludf.DUMMYFUNCTION("""COMPUTED_VALUE"""),3622.05)</f>
        <v>3622.05</v>
      </c>
      <c r="D1445" s="3">
        <f>IFERROR(__xludf.DUMMYFUNCTION("""COMPUTED_VALUE"""),3556.9)</f>
        <v>3556.9</v>
      </c>
      <c r="E1445" s="3">
        <f>IFERROR(__xludf.DUMMYFUNCTION("""COMPUTED_VALUE"""),3605.45)</f>
        <v>3605.45</v>
      </c>
      <c r="F1445" s="3">
        <f>IFERROR(__xludf.DUMMYFUNCTION("""COMPUTED_VALUE"""),0.0)</f>
        <v>0</v>
      </c>
    </row>
    <row r="1446">
      <c r="A1446" s="7">
        <f>IFERROR(__xludf.DUMMYFUNCTION("""COMPUTED_VALUE"""),38840.645833333336)</f>
        <v>38840.64583</v>
      </c>
      <c r="B1446" s="3">
        <f>IFERROR(__xludf.DUMMYFUNCTION("""COMPUTED_VALUE"""),3604.4)</f>
        <v>3604.4</v>
      </c>
      <c r="C1446" s="3">
        <f>IFERROR(__xludf.DUMMYFUNCTION("""COMPUTED_VALUE"""),3640.8)</f>
        <v>3640.8</v>
      </c>
      <c r="D1446" s="3">
        <f>IFERROR(__xludf.DUMMYFUNCTION("""COMPUTED_VALUE"""),3581.4)</f>
        <v>3581.4</v>
      </c>
      <c r="E1446" s="3">
        <f>IFERROR(__xludf.DUMMYFUNCTION("""COMPUTED_VALUE"""),3634.25)</f>
        <v>3634.25</v>
      </c>
      <c r="F1446" s="3">
        <f>IFERROR(__xludf.DUMMYFUNCTION("""COMPUTED_VALUE"""),0.0)</f>
        <v>0</v>
      </c>
    </row>
    <row r="1447">
      <c r="A1447" s="7">
        <f>IFERROR(__xludf.DUMMYFUNCTION("""COMPUTED_VALUE"""),38841.645833333336)</f>
        <v>38841.64583</v>
      </c>
      <c r="B1447" s="3">
        <f>IFERROR(__xludf.DUMMYFUNCTION("""COMPUTED_VALUE"""),3630.65)</f>
        <v>3630.65</v>
      </c>
      <c r="C1447" s="3">
        <f>IFERROR(__xludf.DUMMYFUNCTION("""COMPUTED_VALUE"""),3674.5)</f>
        <v>3674.5</v>
      </c>
      <c r="D1447" s="3">
        <f>IFERROR(__xludf.DUMMYFUNCTION("""COMPUTED_VALUE"""),3621.55)</f>
        <v>3621.55</v>
      </c>
      <c r="E1447" s="3">
        <f>IFERROR(__xludf.DUMMYFUNCTION("""COMPUTED_VALUE"""),3648.4)</f>
        <v>3648.4</v>
      </c>
      <c r="F1447" s="3">
        <f>IFERROR(__xludf.DUMMYFUNCTION("""COMPUTED_VALUE"""),0.0)</f>
        <v>0</v>
      </c>
    </row>
    <row r="1448">
      <c r="A1448" s="7">
        <f>IFERROR(__xludf.DUMMYFUNCTION("""COMPUTED_VALUE"""),38842.645833333336)</f>
        <v>38842.64583</v>
      </c>
      <c r="B1448" s="3">
        <f>IFERROR(__xludf.DUMMYFUNCTION("""COMPUTED_VALUE"""),3649.45)</f>
        <v>3649.45</v>
      </c>
      <c r="C1448" s="3">
        <f>IFERROR(__xludf.DUMMYFUNCTION("""COMPUTED_VALUE"""),3676.55)</f>
        <v>3676.55</v>
      </c>
      <c r="D1448" s="3">
        <f>IFERROR(__xludf.DUMMYFUNCTION("""COMPUTED_VALUE"""),3639.55)</f>
        <v>3639.55</v>
      </c>
      <c r="E1448" s="3">
        <f>IFERROR(__xludf.DUMMYFUNCTION("""COMPUTED_VALUE"""),3663.95)</f>
        <v>3663.95</v>
      </c>
      <c r="F1448" s="3">
        <f>IFERROR(__xludf.DUMMYFUNCTION("""COMPUTED_VALUE"""),0.0)</f>
        <v>0</v>
      </c>
    </row>
    <row r="1449">
      <c r="A1449" s="7">
        <f>IFERROR(__xludf.DUMMYFUNCTION("""COMPUTED_VALUE"""),38845.645833333336)</f>
        <v>38845.64583</v>
      </c>
      <c r="B1449" s="3">
        <f>IFERROR(__xludf.DUMMYFUNCTION("""COMPUTED_VALUE"""),3668.65)</f>
        <v>3668.65</v>
      </c>
      <c r="C1449" s="3">
        <f>IFERROR(__xludf.DUMMYFUNCTION("""COMPUTED_VALUE"""),3708.55)</f>
        <v>3708.55</v>
      </c>
      <c r="D1449" s="3">
        <f>IFERROR(__xludf.DUMMYFUNCTION("""COMPUTED_VALUE"""),3668.65)</f>
        <v>3668.65</v>
      </c>
      <c r="E1449" s="3">
        <f>IFERROR(__xludf.DUMMYFUNCTION("""COMPUTED_VALUE"""),3693.15)</f>
        <v>3693.15</v>
      </c>
      <c r="F1449" s="3">
        <f>IFERROR(__xludf.DUMMYFUNCTION("""COMPUTED_VALUE"""),0.0)</f>
        <v>0</v>
      </c>
    </row>
    <row r="1450">
      <c r="A1450" s="7">
        <f>IFERROR(__xludf.DUMMYFUNCTION("""COMPUTED_VALUE"""),38846.645833333336)</f>
        <v>38846.64583</v>
      </c>
      <c r="B1450" s="3">
        <f>IFERROR(__xludf.DUMMYFUNCTION("""COMPUTED_VALUE"""),3694.65)</f>
        <v>3694.65</v>
      </c>
      <c r="C1450" s="3">
        <f>IFERROR(__xludf.DUMMYFUNCTION("""COMPUTED_VALUE"""),3725.4)</f>
        <v>3725.4</v>
      </c>
      <c r="D1450" s="3">
        <f>IFERROR(__xludf.DUMMYFUNCTION("""COMPUTED_VALUE"""),3655.65)</f>
        <v>3655.65</v>
      </c>
      <c r="E1450" s="3">
        <f>IFERROR(__xludf.DUMMYFUNCTION("""COMPUTED_VALUE"""),3720.55)</f>
        <v>3720.55</v>
      </c>
      <c r="F1450" s="3">
        <f>IFERROR(__xludf.DUMMYFUNCTION("""COMPUTED_VALUE"""),0.0)</f>
        <v>0</v>
      </c>
    </row>
    <row r="1451">
      <c r="A1451" s="7">
        <f>IFERROR(__xludf.DUMMYFUNCTION("""COMPUTED_VALUE"""),38847.645833333336)</f>
        <v>38847.64583</v>
      </c>
      <c r="B1451" s="3">
        <f>IFERROR(__xludf.DUMMYFUNCTION("""COMPUTED_VALUE"""),3720.75)</f>
        <v>3720.75</v>
      </c>
      <c r="C1451" s="3">
        <f>IFERROR(__xludf.DUMMYFUNCTION("""COMPUTED_VALUE"""),3758.05)</f>
        <v>3758.05</v>
      </c>
      <c r="D1451" s="3">
        <f>IFERROR(__xludf.DUMMYFUNCTION("""COMPUTED_VALUE"""),3717.25)</f>
        <v>3717.25</v>
      </c>
      <c r="E1451" s="3">
        <f>IFERROR(__xludf.DUMMYFUNCTION("""COMPUTED_VALUE"""),3754.25)</f>
        <v>3754.25</v>
      </c>
      <c r="F1451" s="3">
        <f>IFERROR(__xludf.DUMMYFUNCTION("""COMPUTED_VALUE"""),0.0)</f>
        <v>0</v>
      </c>
    </row>
    <row r="1452">
      <c r="A1452" s="7">
        <f>IFERROR(__xludf.DUMMYFUNCTION("""COMPUTED_VALUE"""),38848.645833333336)</f>
        <v>38848.64583</v>
      </c>
      <c r="B1452" s="3">
        <f>IFERROR(__xludf.DUMMYFUNCTION("""COMPUTED_VALUE"""),3755.8)</f>
        <v>3755.8</v>
      </c>
      <c r="C1452" s="3">
        <f>IFERROR(__xludf.DUMMYFUNCTION("""COMPUTED_VALUE"""),3774.15)</f>
        <v>3774.15</v>
      </c>
      <c r="D1452" s="3">
        <f>IFERROR(__xludf.DUMMYFUNCTION("""COMPUTED_VALUE"""),3687.9)</f>
        <v>3687.9</v>
      </c>
      <c r="E1452" s="3">
        <f>IFERROR(__xludf.DUMMYFUNCTION("""COMPUTED_VALUE"""),3701.05)</f>
        <v>3701.05</v>
      </c>
      <c r="F1452" s="3">
        <f>IFERROR(__xludf.DUMMYFUNCTION("""COMPUTED_VALUE"""),0.0)</f>
        <v>0</v>
      </c>
    </row>
    <row r="1453">
      <c r="A1453" s="7">
        <f>IFERROR(__xludf.DUMMYFUNCTION("""COMPUTED_VALUE"""),38849.645833333336)</f>
        <v>38849.64583</v>
      </c>
      <c r="B1453" s="3">
        <f>IFERROR(__xludf.DUMMYFUNCTION("""COMPUTED_VALUE"""),3704.15)</f>
        <v>3704.15</v>
      </c>
      <c r="C1453" s="3">
        <f>IFERROR(__xludf.DUMMYFUNCTION("""COMPUTED_VALUE"""),3704.15)</f>
        <v>3704.15</v>
      </c>
      <c r="D1453" s="3">
        <f>IFERROR(__xludf.DUMMYFUNCTION("""COMPUTED_VALUE"""),3633.85)</f>
        <v>3633.85</v>
      </c>
      <c r="E1453" s="3">
        <f>IFERROR(__xludf.DUMMYFUNCTION("""COMPUTED_VALUE"""),3650.05)</f>
        <v>3650.05</v>
      </c>
      <c r="F1453" s="3">
        <f>IFERROR(__xludf.DUMMYFUNCTION("""COMPUTED_VALUE"""),0.0)</f>
        <v>0</v>
      </c>
    </row>
    <row r="1454">
      <c r="A1454" s="7">
        <f>IFERROR(__xludf.DUMMYFUNCTION("""COMPUTED_VALUE"""),38852.645833333336)</f>
        <v>38852.64583</v>
      </c>
      <c r="B1454" s="3">
        <f>IFERROR(__xludf.DUMMYFUNCTION("""COMPUTED_VALUE"""),3651.0)</f>
        <v>3651</v>
      </c>
      <c r="C1454" s="3">
        <f>IFERROR(__xludf.DUMMYFUNCTION("""COMPUTED_VALUE"""),3653.0)</f>
        <v>3653</v>
      </c>
      <c r="D1454" s="3">
        <f>IFERROR(__xludf.DUMMYFUNCTION("""COMPUTED_VALUE"""),3482.85)</f>
        <v>3482.85</v>
      </c>
      <c r="E1454" s="3">
        <f>IFERROR(__xludf.DUMMYFUNCTION("""COMPUTED_VALUE"""),3502.95)</f>
        <v>3502.95</v>
      </c>
      <c r="F1454" s="3">
        <f>IFERROR(__xludf.DUMMYFUNCTION("""COMPUTED_VALUE"""),0.0)</f>
        <v>0</v>
      </c>
    </row>
    <row r="1455">
      <c r="A1455" s="7">
        <f>IFERROR(__xludf.DUMMYFUNCTION("""COMPUTED_VALUE"""),38853.645833333336)</f>
        <v>38853.64583</v>
      </c>
      <c r="B1455" s="3">
        <f>IFERROR(__xludf.DUMMYFUNCTION("""COMPUTED_VALUE"""),3502.95)</f>
        <v>3502.95</v>
      </c>
      <c r="C1455" s="3">
        <f>IFERROR(__xludf.DUMMYFUNCTION("""COMPUTED_VALUE"""),3543.5)</f>
        <v>3543.5</v>
      </c>
      <c r="D1455" s="3">
        <f>IFERROR(__xludf.DUMMYFUNCTION("""COMPUTED_VALUE"""),3382.4)</f>
        <v>3382.4</v>
      </c>
      <c r="E1455" s="3">
        <f>IFERROR(__xludf.DUMMYFUNCTION("""COMPUTED_VALUE"""),3523.3)</f>
        <v>3523.3</v>
      </c>
      <c r="F1455" s="3">
        <f>IFERROR(__xludf.DUMMYFUNCTION("""COMPUTED_VALUE"""),0.0)</f>
        <v>0</v>
      </c>
    </row>
    <row r="1456">
      <c r="A1456" s="7">
        <f>IFERROR(__xludf.DUMMYFUNCTION("""COMPUTED_VALUE"""),38854.645833333336)</f>
        <v>38854.64583</v>
      </c>
      <c r="B1456" s="3">
        <f>IFERROR(__xludf.DUMMYFUNCTION("""COMPUTED_VALUE"""),3525.05)</f>
        <v>3525.05</v>
      </c>
      <c r="C1456" s="3">
        <f>IFERROR(__xludf.DUMMYFUNCTION("""COMPUTED_VALUE"""),3641.85)</f>
        <v>3641.85</v>
      </c>
      <c r="D1456" s="3">
        <f>IFERROR(__xludf.DUMMYFUNCTION("""COMPUTED_VALUE"""),3525.05)</f>
        <v>3525.05</v>
      </c>
      <c r="E1456" s="3">
        <f>IFERROR(__xludf.DUMMYFUNCTION("""COMPUTED_VALUE"""),3635.1)</f>
        <v>3635.1</v>
      </c>
      <c r="F1456" s="3">
        <f>IFERROR(__xludf.DUMMYFUNCTION("""COMPUTED_VALUE"""),0.0)</f>
        <v>0</v>
      </c>
    </row>
    <row r="1457">
      <c r="A1457" s="7">
        <f>IFERROR(__xludf.DUMMYFUNCTION("""COMPUTED_VALUE"""),38855.645833333336)</f>
        <v>38855.64583</v>
      </c>
      <c r="B1457" s="3">
        <f>IFERROR(__xludf.DUMMYFUNCTION("""COMPUTED_VALUE"""),3636.45)</f>
        <v>3636.45</v>
      </c>
      <c r="C1457" s="3">
        <f>IFERROR(__xludf.DUMMYFUNCTION("""COMPUTED_VALUE"""),3636.45)</f>
        <v>3636.45</v>
      </c>
      <c r="D1457" s="3">
        <f>IFERROR(__xludf.DUMMYFUNCTION("""COMPUTED_VALUE"""),3365.9)</f>
        <v>3365.9</v>
      </c>
      <c r="E1457" s="3">
        <f>IFERROR(__xludf.DUMMYFUNCTION("""COMPUTED_VALUE"""),3388.9)</f>
        <v>3388.9</v>
      </c>
      <c r="F1457" s="3">
        <f>IFERROR(__xludf.DUMMYFUNCTION("""COMPUTED_VALUE"""),0.0)</f>
        <v>0</v>
      </c>
    </row>
    <row r="1458">
      <c r="A1458" s="7">
        <f>IFERROR(__xludf.DUMMYFUNCTION("""COMPUTED_VALUE"""),38856.645833333336)</f>
        <v>38856.64583</v>
      </c>
      <c r="B1458" s="3">
        <f>IFERROR(__xludf.DUMMYFUNCTION("""COMPUTED_VALUE"""),3391.85)</f>
        <v>3391.85</v>
      </c>
      <c r="C1458" s="3">
        <f>IFERROR(__xludf.DUMMYFUNCTION("""COMPUTED_VALUE"""),3493.05)</f>
        <v>3493.05</v>
      </c>
      <c r="D1458" s="3">
        <f>IFERROR(__xludf.DUMMYFUNCTION("""COMPUTED_VALUE"""),3205.25)</f>
        <v>3205.25</v>
      </c>
      <c r="E1458" s="3">
        <f>IFERROR(__xludf.DUMMYFUNCTION("""COMPUTED_VALUE"""),3246.9)</f>
        <v>3246.9</v>
      </c>
      <c r="F1458" s="3">
        <f>IFERROR(__xludf.DUMMYFUNCTION("""COMPUTED_VALUE"""),0.0)</f>
        <v>0</v>
      </c>
    </row>
    <row r="1459">
      <c r="A1459" s="7">
        <f>IFERROR(__xludf.DUMMYFUNCTION("""COMPUTED_VALUE"""),38859.645833333336)</f>
        <v>38859.64583</v>
      </c>
      <c r="B1459" s="3">
        <f>IFERROR(__xludf.DUMMYFUNCTION("""COMPUTED_VALUE"""),3254.3)</f>
        <v>3254.3</v>
      </c>
      <c r="C1459" s="3">
        <f>IFERROR(__xludf.DUMMYFUNCTION("""COMPUTED_VALUE"""),3313.9)</f>
        <v>3313.9</v>
      </c>
      <c r="D1459" s="3">
        <f>IFERROR(__xludf.DUMMYFUNCTION("""COMPUTED_VALUE"""),2896.4)</f>
        <v>2896.4</v>
      </c>
      <c r="E1459" s="3">
        <f>IFERROR(__xludf.DUMMYFUNCTION("""COMPUTED_VALUE"""),3081.35)</f>
        <v>3081.35</v>
      </c>
      <c r="F1459" s="3">
        <f>IFERROR(__xludf.DUMMYFUNCTION("""COMPUTED_VALUE"""),0.0)</f>
        <v>0</v>
      </c>
    </row>
    <row r="1460">
      <c r="A1460" s="7">
        <f>IFERROR(__xludf.DUMMYFUNCTION("""COMPUTED_VALUE"""),38860.645833333336)</f>
        <v>38860.64583</v>
      </c>
      <c r="B1460" s="3">
        <f>IFERROR(__xludf.DUMMYFUNCTION("""COMPUTED_VALUE"""),3068.6)</f>
        <v>3068.6</v>
      </c>
      <c r="C1460" s="3">
        <f>IFERROR(__xludf.DUMMYFUNCTION("""COMPUTED_VALUE"""),3221.05)</f>
        <v>3221.05</v>
      </c>
      <c r="D1460" s="3">
        <f>IFERROR(__xludf.DUMMYFUNCTION("""COMPUTED_VALUE"""),2997.35)</f>
        <v>2997.35</v>
      </c>
      <c r="E1460" s="3">
        <f>IFERROR(__xludf.DUMMYFUNCTION("""COMPUTED_VALUE"""),3199.35)</f>
        <v>3199.35</v>
      </c>
      <c r="F1460" s="3">
        <f>IFERROR(__xludf.DUMMYFUNCTION("""COMPUTED_VALUE"""),0.0)</f>
        <v>0</v>
      </c>
    </row>
    <row r="1461">
      <c r="A1461" s="7">
        <f>IFERROR(__xludf.DUMMYFUNCTION("""COMPUTED_VALUE"""),38861.645833333336)</f>
        <v>38861.64583</v>
      </c>
      <c r="B1461" s="3">
        <f>IFERROR(__xludf.DUMMYFUNCTION("""COMPUTED_VALUE"""),3203.5)</f>
        <v>3203.5</v>
      </c>
      <c r="C1461" s="3">
        <f>IFERROR(__xludf.DUMMYFUNCTION("""COMPUTED_VALUE"""),3249.75)</f>
        <v>3249.75</v>
      </c>
      <c r="D1461" s="3">
        <f>IFERROR(__xludf.DUMMYFUNCTION("""COMPUTED_VALUE"""),3091.6)</f>
        <v>3091.6</v>
      </c>
      <c r="E1461" s="3">
        <f>IFERROR(__xludf.DUMMYFUNCTION("""COMPUTED_VALUE"""),3115.55)</f>
        <v>3115.55</v>
      </c>
      <c r="F1461" s="3">
        <f>IFERROR(__xludf.DUMMYFUNCTION("""COMPUTED_VALUE"""),0.0)</f>
        <v>0</v>
      </c>
    </row>
    <row r="1462">
      <c r="A1462" s="7">
        <f>IFERROR(__xludf.DUMMYFUNCTION("""COMPUTED_VALUE"""),38862.645833333336)</f>
        <v>38862.64583</v>
      </c>
      <c r="B1462" s="3">
        <f>IFERROR(__xludf.DUMMYFUNCTION("""COMPUTED_VALUE"""),3114.7)</f>
        <v>3114.7</v>
      </c>
      <c r="C1462" s="3">
        <f>IFERROR(__xludf.DUMMYFUNCTION("""COMPUTED_VALUE"""),3198.35)</f>
        <v>3198.35</v>
      </c>
      <c r="D1462" s="3">
        <f>IFERROR(__xludf.DUMMYFUNCTION("""COMPUTED_VALUE"""),3012.95)</f>
        <v>3012.95</v>
      </c>
      <c r="E1462" s="3">
        <f>IFERROR(__xludf.DUMMYFUNCTION("""COMPUTED_VALUE"""),3177.7)</f>
        <v>3177.7</v>
      </c>
      <c r="F1462" s="3">
        <f>IFERROR(__xludf.DUMMYFUNCTION("""COMPUTED_VALUE"""),0.0)</f>
        <v>0</v>
      </c>
    </row>
    <row r="1463">
      <c r="A1463" s="7">
        <f>IFERROR(__xludf.DUMMYFUNCTION("""COMPUTED_VALUE"""),38863.645833333336)</f>
        <v>38863.64583</v>
      </c>
      <c r="B1463" s="3">
        <f>IFERROR(__xludf.DUMMYFUNCTION("""COMPUTED_VALUE"""),3177.7)</f>
        <v>3177.7</v>
      </c>
      <c r="C1463" s="3">
        <f>IFERROR(__xludf.DUMMYFUNCTION("""COMPUTED_VALUE"""),3277.95)</f>
        <v>3277.95</v>
      </c>
      <c r="D1463" s="3">
        <f>IFERROR(__xludf.DUMMYFUNCTION("""COMPUTED_VALUE"""),3177.7)</f>
        <v>3177.7</v>
      </c>
      <c r="E1463" s="3">
        <f>IFERROR(__xludf.DUMMYFUNCTION("""COMPUTED_VALUE"""),3209.6)</f>
        <v>3209.6</v>
      </c>
      <c r="F1463" s="3">
        <f>IFERROR(__xludf.DUMMYFUNCTION("""COMPUTED_VALUE"""),0.0)</f>
        <v>0</v>
      </c>
    </row>
    <row r="1464">
      <c r="A1464" s="7">
        <f>IFERROR(__xludf.DUMMYFUNCTION("""COMPUTED_VALUE"""),38866.645833333336)</f>
        <v>38866.64583</v>
      </c>
      <c r="B1464" s="3">
        <f>IFERROR(__xludf.DUMMYFUNCTION("""COMPUTED_VALUE"""),3207.25)</f>
        <v>3207.25</v>
      </c>
      <c r="C1464" s="3">
        <f>IFERROR(__xludf.DUMMYFUNCTION("""COMPUTED_VALUE"""),3255.25)</f>
        <v>3255.25</v>
      </c>
      <c r="D1464" s="3">
        <f>IFERROR(__xludf.DUMMYFUNCTION("""COMPUTED_VALUE"""),3193.15)</f>
        <v>3193.15</v>
      </c>
      <c r="E1464" s="3">
        <f>IFERROR(__xludf.DUMMYFUNCTION("""COMPUTED_VALUE"""),3214.9)</f>
        <v>3214.9</v>
      </c>
      <c r="F1464" s="3">
        <f>IFERROR(__xludf.DUMMYFUNCTION("""COMPUTED_VALUE"""),0.0)</f>
        <v>0</v>
      </c>
    </row>
    <row r="1465">
      <c r="A1465" s="7">
        <f>IFERROR(__xludf.DUMMYFUNCTION("""COMPUTED_VALUE"""),38867.645833333336)</f>
        <v>38867.64583</v>
      </c>
      <c r="B1465" s="3">
        <f>IFERROR(__xludf.DUMMYFUNCTION("""COMPUTED_VALUE"""),3215.5)</f>
        <v>3215.5</v>
      </c>
      <c r="C1465" s="3">
        <f>IFERROR(__xludf.DUMMYFUNCTION("""COMPUTED_VALUE"""),3252.1)</f>
        <v>3252.1</v>
      </c>
      <c r="D1465" s="3">
        <f>IFERROR(__xludf.DUMMYFUNCTION("""COMPUTED_VALUE"""),3167.05)</f>
        <v>3167.05</v>
      </c>
      <c r="E1465" s="3">
        <f>IFERROR(__xludf.DUMMYFUNCTION("""COMPUTED_VALUE"""),3185.3)</f>
        <v>3185.3</v>
      </c>
      <c r="F1465" s="3">
        <f>IFERROR(__xludf.DUMMYFUNCTION("""COMPUTED_VALUE"""),0.0)</f>
        <v>0</v>
      </c>
    </row>
    <row r="1466">
      <c r="A1466" s="7">
        <f>IFERROR(__xludf.DUMMYFUNCTION("""COMPUTED_VALUE"""),38868.645833333336)</f>
        <v>38868.64583</v>
      </c>
      <c r="B1466" s="3">
        <f>IFERROR(__xludf.DUMMYFUNCTION("""COMPUTED_VALUE"""),3181.95)</f>
        <v>3181.95</v>
      </c>
      <c r="C1466" s="3">
        <f>IFERROR(__xludf.DUMMYFUNCTION("""COMPUTED_VALUE"""),3181.95)</f>
        <v>3181.95</v>
      </c>
      <c r="D1466" s="3">
        <f>IFERROR(__xludf.DUMMYFUNCTION("""COMPUTED_VALUE"""),2972.9)</f>
        <v>2972.9</v>
      </c>
      <c r="E1466" s="3">
        <f>IFERROR(__xludf.DUMMYFUNCTION("""COMPUTED_VALUE"""),3071.05)</f>
        <v>3071.05</v>
      </c>
      <c r="F1466" s="3">
        <f>IFERROR(__xludf.DUMMYFUNCTION("""COMPUTED_VALUE"""),0.0)</f>
        <v>0</v>
      </c>
    </row>
    <row r="1467">
      <c r="A1467" s="7">
        <f>IFERROR(__xludf.DUMMYFUNCTION("""COMPUTED_VALUE"""),38869.645833333336)</f>
        <v>38869.64583</v>
      </c>
      <c r="B1467" s="3">
        <f>IFERROR(__xludf.DUMMYFUNCTION("""COMPUTED_VALUE"""),3072.55)</f>
        <v>3072.55</v>
      </c>
      <c r="C1467" s="3">
        <f>IFERROR(__xludf.DUMMYFUNCTION("""COMPUTED_VALUE"""),3130.0)</f>
        <v>3130</v>
      </c>
      <c r="D1467" s="3">
        <f>IFERROR(__xludf.DUMMYFUNCTION("""COMPUTED_VALUE"""),2936.6)</f>
        <v>2936.6</v>
      </c>
      <c r="E1467" s="3">
        <f>IFERROR(__xludf.DUMMYFUNCTION("""COMPUTED_VALUE"""),2962.25)</f>
        <v>2962.25</v>
      </c>
      <c r="F1467" s="3">
        <f>IFERROR(__xludf.DUMMYFUNCTION("""COMPUTED_VALUE"""),0.0)</f>
        <v>0</v>
      </c>
    </row>
    <row r="1468">
      <c r="A1468" s="7">
        <f>IFERROR(__xludf.DUMMYFUNCTION("""COMPUTED_VALUE"""),38870.645833333336)</f>
        <v>38870.64583</v>
      </c>
      <c r="B1468" s="3">
        <f>IFERROR(__xludf.DUMMYFUNCTION("""COMPUTED_VALUE"""),2961.5)</f>
        <v>2961.5</v>
      </c>
      <c r="C1468" s="3">
        <f>IFERROR(__xludf.DUMMYFUNCTION("""COMPUTED_VALUE"""),3099.35)</f>
        <v>3099.35</v>
      </c>
      <c r="D1468" s="3">
        <f>IFERROR(__xludf.DUMMYFUNCTION("""COMPUTED_VALUE"""),2940.2)</f>
        <v>2940.2</v>
      </c>
      <c r="E1468" s="3">
        <f>IFERROR(__xludf.DUMMYFUNCTION("""COMPUTED_VALUE"""),3091.35)</f>
        <v>3091.35</v>
      </c>
      <c r="F1468" s="3">
        <f>IFERROR(__xludf.DUMMYFUNCTION("""COMPUTED_VALUE"""),0.0)</f>
        <v>0</v>
      </c>
    </row>
    <row r="1469">
      <c r="A1469" s="7">
        <f>IFERROR(__xludf.DUMMYFUNCTION("""COMPUTED_VALUE"""),38873.645833333336)</f>
        <v>38873.64583</v>
      </c>
      <c r="B1469" s="3">
        <f>IFERROR(__xludf.DUMMYFUNCTION("""COMPUTED_VALUE"""),3092.6)</f>
        <v>3092.6</v>
      </c>
      <c r="C1469" s="3">
        <f>IFERROR(__xludf.DUMMYFUNCTION("""COMPUTED_VALUE"""),3125.4)</f>
        <v>3125.4</v>
      </c>
      <c r="D1469" s="3">
        <f>IFERROR(__xludf.DUMMYFUNCTION("""COMPUTED_VALUE"""),3006.4)</f>
        <v>3006.4</v>
      </c>
      <c r="E1469" s="3">
        <f>IFERROR(__xludf.DUMMYFUNCTION("""COMPUTED_VALUE"""),3016.65)</f>
        <v>3016.65</v>
      </c>
      <c r="F1469" s="3">
        <f>IFERROR(__xludf.DUMMYFUNCTION("""COMPUTED_VALUE"""),0.0)</f>
        <v>0</v>
      </c>
    </row>
    <row r="1470">
      <c r="A1470" s="7">
        <f>IFERROR(__xludf.DUMMYFUNCTION("""COMPUTED_VALUE"""),38874.645833333336)</f>
        <v>38874.64583</v>
      </c>
      <c r="B1470" s="3">
        <f>IFERROR(__xludf.DUMMYFUNCTION("""COMPUTED_VALUE"""),3015.05)</f>
        <v>3015.05</v>
      </c>
      <c r="C1470" s="3">
        <f>IFERROR(__xludf.DUMMYFUNCTION("""COMPUTED_VALUE"""),3015.05)</f>
        <v>3015.05</v>
      </c>
      <c r="D1470" s="3">
        <f>IFERROR(__xludf.DUMMYFUNCTION("""COMPUTED_VALUE"""),2910.3)</f>
        <v>2910.3</v>
      </c>
      <c r="E1470" s="3">
        <f>IFERROR(__xludf.DUMMYFUNCTION("""COMPUTED_VALUE"""),2937.3)</f>
        <v>2937.3</v>
      </c>
      <c r="F1470" s="3">
        <f>IFERROR(__xludf.DUMMYFUNCTION("""COMPUTED_VALUE"""),0.0)</f>
        <v>0</v>
      </c>
    </row>
    <row r="1471">
      <c r="A1471" s="7">
        <f>IFERROR(__xludf.DUMMYFUNCTION("""COMPUTED_VALUE"""),38875.645833333336)</f>
        <v>38875.64583</v>
      </c>
      <c r="B1471" s="3">
        <f>IFERROR(__xludf.DUMMYFUNCTION("""COMPUTED_VALUE"""),2935.25)</f>
        <v>2935.25</v>
      </c>
      <c r="C1471" s="3">
        <f>IFERROR(__xludf.DUMMYFUNCTION("""COMPUTED_VALUE"""),2956.9)</f>
        <v>2956.9</v>
      </c>
      <c r="D1471" s="3">
        <f>IFERROR(__xludf.DUMMYFUNCTION("""COMPUTED_VALUE"""),2819.45)</f>
        <v>2819.45</v>
      </c>
      <c r="E1471" s="3">
        <f>IFERROR(__xludf.DUMMYFUNCTION("""COMPUTED_VALUE"""),2860.45)</f>
        <v>2860.45</v>
      </c>
      <c r="F1471" s="3">
        <f>IFERROR(__xludf.DUMMYFUNCTION("""COMPUTED_VALUE"""),0.0)</f>
        <v>0</v>
      </c>
    </row>
    <row r="1472">
      <c r="A1472" s="7">
        <f>IFERROR(__xludf.DUMMYFUNCTION("""COMPUTED_VALUE"""),38876.645833333336)</f>
        <v>38876.64583</v>
      </c>
      <c r="B1472" s="3">
        <f>IFERROR(__xludf.DUMMYFUNCTION("""COMPUTED_VALUE"""),2856.9)</f>
        <v>2856.9</v>
      </c>
      <c r="C1472" s="3">
        <f>IFERROR(__xludf.DUMMYFUNCTION("""COMPUTED_VALUE"""),2859.4)</f>
        <v>2859.4</v>
      </c>
      <c r="D1472" s="3">
        <f>IFERROR(__xludf.DUMMYFUNCTION("""COMPUTED_VALUE"""),2683.2)</f>
        <v>2683.2</v>
      </c>
      <c r="E1472" s="3">
        <f>IFERROR(__xludf.DUMMYFUNCTION("""COMPUTED_VALUE"""),2724.35)</f>
        <v>2724.35</v>
      </c>
      <c r="F1472" s="3">
        <f>IFERROR(__xludf.DUMMYFUNCTION("""COMPUTED_VALUE"""),0.0)</f>
        <v>0</v>
      </c>
    </row>
    <row r="1473">
      <c r="A1473" s="7">
        <f>IFERROR(__xludf.DUMMYFUNCTION("""COMPUTED_VALUE"""),38877.645833333336)</f>
        <v>38877.64583</v>
      </c>
      <c r="B1473" s="3">
        <f>IFERROR(__xludf.DUMMYFUNCTION("""COMPUTED_VALUE"""),2721.2)</f>
        <v>2721.2</v>
      </c>
      <c r="C1473" s="3">
        <f>IFERROR(__xludf.DUMMYFUNCTION("""COMPUTED_VALUE"""),2875.75)</f>
        <v>2875.75</v>
      </c>
      <c r="D1473" s="3">
        <f>IFERROR(__xludf.DUMMYFUNCTION("""COMPUTED_VALUE"""),2707.85)</f>
        <v>2707.85</v>
      </c>
      <c r="E1473" s="3">
        <f>IFERROR(__xludf.DUMMYFUNCTION("""COMPUTED_VALUE"""),2866.3)</f>
        <v>2866.3</v>
      </c>
      <c r="F1473" s="3">
        <f>IFERROR(__xludf.DUMMYFUNCTION("""COMPUTED_VALUE"""),0.0)</f>
        <v>0</v>
      </c>
    </row>
    <row r="1474">
      <c r="A1474" s="7">
        <f>IFERROR(__xludf.DUMMYFUNCTION("""COMPUTED_VALUE"""),38880.645833333336)</f>
        <v>38880.64583</v>
      </c>
      <c r="B1474" s="3">
        <f>IFERROR(__xludf.DUMMYFUNCTION("""COMPUTED_VALUE"""),2867.65)</f>
        <v>2867.65</v>
      </c>
      <c r="C1474" s="3">
        <f>IFERROR(__xludf.DUMMYFUNCTION("""COMPUTED_VALUE"""),2877.8)</f>
        <v>2877.8</v>
      </c>
      <c r="D1474" s="3">
        <f>IFERROR(__xludf.DUMMYFUNCTION("""COMPUTED_VALUE"""),2761.85)</f>
        <v>2761.85</v>
      </c>
      <c r="E1474" s="3">
        <f>IFERROR(__xludf.DUMMYFUNCTION("""COMPUTED_VALUE"""),2776.85)</f>
        <v>2776.85</v>
      </c>
      <c r="F1474" s="3">
        <f>IFERROR(__xludf.DUMMYFUNCTION("""COMPUTED_VALUE"""),0.0)</f>
        <v>0</v>
      </c>
    </row>
    <row r="1475">
      <c r="A1475" s="7">
        <f>IFERROR(__xludf.DUMMYFUNCTION("""COMPUTED_VALUE"""),38881.645833333336)</f>
        <v>38881.64583</v>
      </c>
      <c r="B1475" s="3">
        <f>IFERROR(__xludf.DUMMYFUNCTION("""COMPUTED_VALUE"""),2773.6)</f>
        <v>2773.6</v>
      </c>
      <c r="C1475" s="3">
        <f>IFERROR(__xludf.DUMMYFUNCTION("""COMPUTED_VALUE"""),2773.6)</f>
        <v>2773.6</v>
      </c>
      <c r="D1475" s="3">
        <f>IFERROR(__xludf.DUMMYFUNCTION("""COMPUTED_VALUE"""),2638.1)</f>
        <v>2638.1</v>
      </c>
      <c r="E1475" s="3">
        <f>IFERROR(__xludf.DUMMYFUNCTION("""COMPUTED_VALUE"""),2663.3)</f>
        <v>2663.3</v>
      </c>
      <c r="F1475" s="3">
        <f>IFERROR(__xludf.DUMMYFUNCTION("""COMPUTED_VALUE"""),0.0)</f>
        <v>0</v>
      </c>
    </row>
    <row r="1476">
      <c r="A1476" s="7">
        <f>IFERROR(__xludf.DUMMYFUNCTION("""COMPUTED_VALUE"""),38882.645833333336)</f>
        <v>38882.64583</v>
      </c>
      <c r="B1476" s="3">
        <f>IFERROR(__xludf.DUMMYFUNCTION("""COMPUTED_VALUE"""),2665.05)</f>
        <v>2665.05</v>
      </c>
      <c r="C1476" s="3">
        <f>IFERROR(__xludf.DUMMYFUNCTION("""COMPUTED_VALUE"""),2767.75)</f>
        <v>2767.75</v>
      </c>
      <c r="D1476" s="3">
        <f>IFERROR(__xludf.DUMMYFUNCTION("""COMPUTED_VALUE"""),2595.65)</f>
        <v>2595.65</v>
      </c>
      <c r="E1476" s="3">
        <f>IFERROR(__xludf.DUMMYFUNCTION("""COMPUTED_VALUE"""),2632.8)</f>
        <v>2632.8</v>
      </c>
      <c r="F1476" s="3">
        <f>IFERROR(__xludf.DUMMYFUNCTION("""COMPUTED_VALUE"""),0.0)</f>
        <v>0</v>
      </c>
    </row>
    <row r="1477">
      <c r="A1477" s="7">
        <f>IFERROR(__xludf.DUMMYFUNCTION("""COMPUTED_VALUE"""),38883.645833333336)</f>
        <v>38883.64583</v>
      </c>
      <c r="B1477" s="3">
        <f>IFERROR(__xludf.DUMMYFUNCTION("""COMPUTED_VALUE"""),2634.1)</f>
        <v>2634.1</v>
      </c>
      <c r="C1477" s="3">
        <f>IFERROR(__xludf.DUMMYFUNCTION("""COMPUTED_VALUE"""),2814.15)</f>
        <v>2814.15</v>
      </c>
      <c r="D1477" s="3">
        <f>IFERROR(__xludf.DUMMYFUNCTION("""COMPUTED_VALUE"""),2634.1)</f>
        <v>2634.1</v>
      </c>
      <c r="E1477" s="3">
        <f>IFERROR(__xludf.DUMMYFUNCTION("""COMPUTED_VALUE"""),2798.8)</f>
        <v>2798.8</v>
      </c>
      <c r="F1477" s="3">
        <f>IFERROR(__xludf.DUMMYFUNCTION("""COMPUTED_VALUE"""),0.0)</f>
        <v>0</v>
      </c>
    </row>
    <row r="1478">
      <c r="A1478" s="7">
        <f>IFERROR(__xludf.DUMMYFUNCTION("""COMPUTED_VALUE"""),38884.645833333336)</f>
        <v>38884.64583</v>
      </c>
      <c r="B1478" s="3">
        <f>IFERROR(__xludf.DUMMYFUNCTION("""COMPUTED_VALUE"""),2799.85)</f>
        <v>2799.85</v>
      </c>
      <c r="C1478" s="3">
        <f>IFERROR(__xludf.DUMMYFUNCTION("""COMPUTED_VALUE"""),2960.15)</f>
        <v>2960.15</v>
      </c>
      <c r="D1478" s="3">
        <f>IFERROR(__xludf.DUMMYFUNCTION("""COMPUTED_VALUE"""),2799.85)</f>
        <v>2799.85</v>
      </c>
      <c r="E1478" s="3">
        <f>IFERROR(__xludf.DUMMYFUNCTION("""COMPUTED_VALUE"""),2890.35)</f>
        <v>2890.35</v>
      </c>
      <c r="F1478" s="3">
        <f>IFERROR(__xludf.DUMMYFUNCTION("""COMPUTED_VALUE"""),0.0)</f>
        <v>0</v>
      </c>
    </row>
    <row r="1479">
      <c r="A1479" s="7">
        <f>IFERROR(__xludf.DUMMYFUNCTION("""COMPUTED_VALUE"""),38887.645833333336)</f>
        <v>38887.64583</v>
      </c>
      <c r="B1479" s="3">
        <f>IFERROR(__xludf.DUMMYFUNCTION("""COMPUTED_VALUE"""),2892.0)</f>
        <v>2892</v>
      </c>
      <c r="C1479" s="3">
        <f>IFERROR(__xludf.DUMMYFUNCTION("""COMPUTED_VALUE"""),2932.9)</f>
        <v>2932.9</v>
      </c>
      <c r="D1479" s="3">
        <f>IFERROR(__xludf.DUMMYFUNCTION("""COMPUTED_VALUE"""),2846.5)</f>
        <v>2846.5</v>
      </c>
      <c r="E1479" s="3">
        <f>IFERROR(__xludf.DUMMYFUNCTION("""COMPUTED_VALUE"""),2916.9)</f>
        <v>2916.9</v>
      </c>
      <c r="F1479" s="3">
        <f>IFERROR(__xludf.DUMMYFUNCTION("""COMPUTED_VALUE"""),0.0)</f>
        <v>0</v>
      </c>
    </row>
    <row r="1480">
      <c r="A1480" s="7">
        <f>IFERROR(__xludf.DUMMYFUNCTION("""COMPUTED_VALUE"""),38888.645833333336)</f>
        <v>38888.64583</v>
      </c>
      <c r="B1480" s="3">
        <f>IFERROR(__xludf.DUMMYFUNCTION("""COMPUTED_VALUE"""),2919.0)</f>
        <v>2919</v>
      </c>
      <c r="C1480" s="3">
        <f>IFERROR(__xludf.DUMMYFUNCTION("""COMPUTED_VALUE"""),2919.0)</f>
        <v>2919</v>
      </c>
      <c r="D1480" s="3">
        <f>IFERROR(__xludf.DUMMYFUNCTION("""COMPUTED_VALUE"""),2837.45)</f>
        <v>2837.45</v>
      </c>
      <c r="E1480" s="3">
        <f>IFERROR(__xludf.DUMMYFUNCTION("""COMPUTED_VALUE"""),2861.3)</f>
        <v>2861.3</v>
      </c>
      <c r="F1480" s="3">
        <f>IFERROR(__xludf.DUMMYFUNCTION("""COMPUTED_VALUE"""),0.0)</f>
        <v>0</v>
      </c>
    </row>
    <row r="1481">
      <c r="A1481" s="7">
        <f>IFERROR(__xludf.DUMMYFUNCTION("""COMPUTED_VALUE"""),38889.645833333336)</f>
        <v>38889.64583</v>
      </c>
      <c r="B1481" s="3">
        <f>IFERROR(__xludf.DUMMYFUNCTION("""COMPUTED_VALUE"""),2861.4)</f>
        <v>2861.4</v>
      </c>
      <c r="C1481" s="3">
        <f>IFERROR(__xludf.DUMMYFUNCTION("""COMPUTED_VALUE"""),2930.8)</f>
        <v>2930.8</v>
      </c>
      <c r="D1481" s="3">
        <f>IFERROR(__xludf.DUMMYFUNCTION("""COMPUTED_VALUE"""),2836.4)</f>
        <v>2836.4</v>
      </c>
      <c r="E1481" s="3">
        <f>IFERROR(__xludf.DUMMYFUNCTION("""COMPUTED_VALUE"""),2923.45)</f>
        <v>2923.45</v>
      </c>
      <c r="F1481" s="3">
        <f>IFERROR(__xludf.DUMMYFUNCTION("""COMPUTED_VALUE"""),0.0)</f>
        <v>0</v>
      </c>
    </row>
    <row r="1482">
      <c r="A1482" s="7">
        <f>IFERROR(__xludf.DUMMYFUNCTION("""COMPUTED_VALUE"""),38890.645833333336)</f>
        <v>38890.64583</v>
      </c>
      <c r="B1482" s="3">
        <f>IFERROR(__xludf.DUMMYFUNCTION("""COMPUTED_VALUE"""),2923.75)</f>
        <v>2923.75</v>
      </c>
      <c r="C1482" s="3">
        <f>IFERROR(__xludf.DUMMYFUNCTION("""COMPUTED_VALUE"""),3017.65)</f>
        <v>3017.65</v>
      </c>
      <c r="D1482" s="3">
        <f>IFERROR(__xludf.DUMMYFUNCTION("""COMPUTED_VALUE"""),2923.75)</f>
        <v>2923.75</v>
      </c>
      <c r="E1482" s="3">
        <f>IFERROR(__xludf.DUMMYFUNCTION("""COMPUTED_VALUE"""),2994.75)</f>
        <v>2994.75</v>
      </c>
      <c r="F1482" s="3">
        <f>IFERROR(__xludf.DUMMYFUNCTION("""COMPUTED_VALUE"""),0.0)</f>
        <v>0</v>
      </c>
    </row>
    <row r="1483">
      <c r="A1483" s="7">
        <f>IFERROR(__xludf.DUMMYFUNCTION("""COMPUTED_VALUE"""),38891.645833333336)</f>
        <v>38891.64583</v>
      </c>
      <c r="B1483" s="3">
        <f>IFERROR(__xludf.DUMMYFUNCTION("""COMPUTED_VALUE"""),2993.55)</f>
        <v>2993.55</v>
      </c>
      <c r="C1483" s="3">
        <f>IFERROR(__xludf.DUMMYFUNCTION("""COMPUTED_VALUE"""),3063.2)</f>
        <v>3063.2</v>
      </c>
      <c r="D1483" s="3">
        <f>IFERROR(__xludf.DUMMYFUNCTION("""COMPUTED_VALUE"""),2920.2)</f>
        <v>2920.2</v>
      </c>
      <c r="E1483" s="3">
        <f>IFERROR(__xludf.DUMMYFUNCTION("""COMPUTED_VALUE"""),3042.7)</f>
        <v>3042.7</v>
      </c>
      <c r="F1483" s="3">
        <f>IFERROR(__xludf.DUMMYFUNCTION("""COMPUTED_VALUE"""),0.0)</f>
        <v>0</v>
      </c>
    </row>
    <row r="1484">
      <c r="A1484" s="7">
        <f>IFERROR(__xludf.DUMMYFUNCTION("""COMPUTED_VALUE"""),38894.645833333336)</f>
        <v>38894.64583</v>
      </c>
      <c r="B1484" s="3">
        <f>IFERROR(__xludf.DUMMYFUNCTION("""COMPUTED_VALUE"""),3051.8)</f>
        <v>3051.8</v>
      </c>
      <c r="C1484" s="3">
        <f>IFERROR(__xludf.DUMMYFUNCTION("""COMPUTED_VALUE"""),3059.85)</f>
        <v>3059.85</v>
      </c>
      <c r="D1484" s="3">
        <f>IFERROR(__xludf.DUMMYFUNCTION("""COMPUTED_VALUE"""),2928.0)</f>
        <v>2928</v>
      </c>
      <c r="E1484" s="3">
        <f>IFERROR(__xludf.DUMMYFUNCTION("""COMPUTED_VALUE"""),2943.2)</f>
        <v>2943.2</v>
      </c>
      <c r="F1484" s="3">
        <f>IFERROR(__xludf.DUMMYFUNCTION("""COMPUTED_VALUE"""),0.0)</f>
        <v>0</v>
      </c>
    </row>
    <row r="1485">
      <c r="A1485" s="7">
        <f>IFERROR(__xludf.DUMMYFUNCTION("""COMPUTED_VALUE"""),38895.645833333336)</f>
        <v>38895.64583</v>
      </c>
      <c r="B1485" s="3">
        <f>IFERROR(__xludf.DUMMYFUNCTION("""COMPUTED_VALUE"""),2943.6)</f>
        <v>2943.6</v>
      </c>
      <c r="C1485" s="3">
        <f>IFERROR(__xludf.DUMMYFUNCTION("""COMPUTED_VALUE"""),3004.15)</f>
        <v>3004.15</v>
      </c>
      <c r="D1485" s="3">
        <f>IFERROR(__xludf.DUMMYFUNCTION("""COMPUTED_VALUE"""),2899.25)</f>
        <v>2899.25</v>
      </c>
      <c r="E1485" s="3">
        <f>IFERROR(__xludf.DUMMYFUNCTION("""COMPUTED_VALUE"""),2982.45)</f>
        <v>2982.45</v>
      </c>
      <c r="F1485" s="3">
        <f>IFERROR(__xludf.DUMMYFUNCTION("""COMPUTED_VALUE"""),0.0)</f>
        <v>0</v>
      </c>
    </row>
    <row r="1486">
      <c r="A1486" s="7">
        <f>IFERROR(__xludf.DUMMYFUNCTION("""COMPUTED_VALUE"""),38896.645833333336)</f>
        <v>38896.64583</v>
      </c>
      <c r="B1486" s="3">
        <f>IFERROR(__xludf.DUMMYFUNCTION("""COMPUTED_VALUE"""),2982.2)</f>
        <v>2982.2</v>
      </c>
      <c r="C1486" s="3">
        <f>IFERROR(__xludf.DUMMYFUNCTION("""COMPUTED_VALUE"""),3003.65)</f>
        <v>3003.65</v>
      </c>
      <c r="D1486" s="3">
        <f>IFERROR(__xludf.DUMMYFUNCTION("""COMPUTED_VALUE"""),2909.6)</f>
        <v>2909.6</v>
      </c>
      <c r="E1486" s="3">
        <f>IFERROR(__xludf.DUMMYFUNCTION("""COMPUTED_VALUE"""),2981.1)</f>
        <v>2981.1</v>
      </c>
      <c r="F1486" s="3">
        <f>IFERROR(__xludf.DUMMYFUNCTION("""COMPUTED_VALUE"""),0.0)</f>
        <v>0</v>
      </c>
    </row>
    <row r="1487">
      <c r="A1487" s="7">
        <f>IFERROR(__xludf.DUMMYFUNCTION("""COMPUTED_VALUE"""),38897.645833333336)</f>
        <v>38897.64583</v>
      </c>
      <c r="B1487" s="3">
        <f>IFERROR(__xludf.DUMMYFUNCTION("""COMPUTED_VALUE"""),2982.9)</f>
        <v>2982.9</v>
      </c>
      <c r="C1487" s="3">
        <f>IFERROR(__xludf.DUMMYFUNCTION("""COMPUTED_VALUE"""),3049.25)</f>
        <v>3049.25</v>
      </c>
      <c r="D1487" s="3">
        <f>IFERROR(__xludf.DUMMYFUNCTION("""COMPUTED_VALUE"""),2982.9)</f>
        <v>2982.9</v>
      </c>
      <c r="E1487" s="3">
        <f>IFERROR(__xludf.DUMMYFUNCTION("""COMPUTED_VALUE"""),2997.9)</f>
        <v>2997.9</v>
      </c>
      <c r="F1487" s="3">
        <f>IFERROR(__xludf.DUMMYFUNCTION("""COMPUTED_VALUE"""),0.0)</f>
        <v>0</v>
      </c>
    </row>
    <row r="1488">
      <c r="A1488" s="7">
        <f>IFERROR(__xludf.DUMMYFUNCTION("""COMPUTED_VALUE"""),38898.645833333336)</f>
        <v>38898.64583</v>
      </c>
      <c r="B1488" s="3">
        <f>IFERROR(__xludf.DUMMYFUNCTION("""COMPUTED_VALUE"""),2993.5)</f>
        <v>2993.5</v>
      </c>
      <c r="C1488" s="3">
        <f>IFERROR(__xludf.DUMMYFUNCTION("""COMPUTED_VALUE"""),3134.15)</f>
        <v>3134.15</v>
      </c>
      <c r="D1488" s="3">
        <f>IFERROR(__xludf.DUMMYFUNCTION("""COMPUTED_VALUE"""),2993.5)</f>
        <v>2993.5</v>
      </c>
      <c r="E1488" s="3">
        <f>IFERROR(__xludf.DUMMYFUNCTION("""COMPUTED_VALUE"""),3128.2)</f>
        <v>3128.2</v>
      </c>
      <c r="F1488" s="3">
        <f>IFERROR(__xludf.DUMMYFUNCTION("""COMPUTED_VALUE"""),0.0)</f>
        <v>0</v>
      </c>
    </row>
    <row r="1489">
      <c r="A1489" s="7">
        <f>IFERROR(__xludf.DUMMYFUNCTION("""COMPUTED_VALUE"""),38901.645833333336)</f>
        <v>38901.64583</v>
      </c>
      <c r="B1489" s="3">
        <f>IFERROR(__xludf.DUMMYFUNCTION("""COMPUTED_VALUE"""),3128.75)</f>
        <v>3128.75</v>
      </c>
      <c r="C1489" s="3">
        <f>IFERROR(__xludf.DUMMYFUNCTION("""COMPUTED_VALUE"""),3160.35)</f>
        <v>3160.35</v>
      </c>
      <c r="D1489" s="3">
        <f>IFERROR(__xludf.DUMMYFUNCTION("""COMPUTED_VALUE"""),3114.85)</f>
        <v>3114.85</v>
      </c>
      <c r="E1489" s="3">
        <f>IFERROR(__xludf.DUMMYFUNCTION("""COMPUTED_VALUE"""),3150.95)</f>
        <v>3150.95</v>
      </c>
      <c r="F1489" s="3">
        <f>IFERROR(__xludf.DUMMYFUNCTION("""COMPUTED_VALUE"""),0.0)</f>
        <v>0</v>
      </c>
    </row>
    <row r="1490">
      <c r="A1490" s="7">
        <f>IFERROR(__xludf.DUMMYFUNCTION("""COMPUTED_VALUE"""),38902.645833333336)</f>
        <v>38902.64583</v>
      </c>
      <c r="B1490" s="3">
        <f>IFERROR(__xludf.DUMMYFUNCTION("""COMPUTED_VALUE"""),3151.05)</f>
        <v>3151.05</v>
      </c>
      <c r="C1490" s="3">
        <f>IFERROR(__xludf.DUMMYFUNCTION("""COMPUTED_VALUE"""),3177.4)</f>
        <v>3177.4</v>
      </c>
      <c r="D1490" s="3">
        <f>IFERROR(__xludf.DUMMYFUNCTION("""COMPUTED_VALUE"""),3130.3)</f>
        <v>3130.3</v>
      </c>
      <c r="E1490" s="3">
        <f>IFERROR(__xludf.DUMMYFUNCTION("""COMPUTED_VALUE"""),3138.65)</f>
        <v>3138.65</v>
      </c>
      <c r="F1490" s="3">
        <f>IFERROR(__xludf.DUMMYFUNCTION("""COMPUTED_VALUE"""),0.0)</f>
        <v>0</v>
      </c>
    </row>
    <row r="1491">
      <c r="A1491" s="7">
        <f>IFERROR(__xludf.DUMMYFUNCTION("""COMPUTED_VALUE"""),38903.645833333336)</f>
        <v>38903.64583</v>
      </c>
      <c r="B1491" s="3">
        <f>IFERROR(__xludf.DUMMYFUNCTION("""COMPUTED_VALUE"""),3136.95)</f>
        <v>3136.95</v>
      </c>
      <c r="C1491" s="3">
        <f>IFERROR(__xludf.DUMMYFUNCTION("""COMPUTED_VALUE"""),3201.2)</f>
        <v>3201.2</v>
      </c>
      <c r="D1491" s="3">
        <f>IFERROR(__xludf.DUMMYFUNCTION("""COMPUTED_VALUE"""),3121.8)</f>
        <v>3121.8</v>
      </c>
      <c r="E1491" s="3">
        <f>IFERROR(__xludf.DUMMYFUNCTION("""COMPUTED_VALUE"""),3197.1)</f>
        <v>3197.1</v>
      </c>
      <c r="F1491" s="3">
        <f>IFERROR(__xludf.DUMMYFUNCTION("""COMPUTED_VALUE"""),0.0)</f>
        <v>0</v>
      </c>
    </row>
    <row r="1492">
      <c r="A1492" s="7">
        <f>IFERROR(__xludf.DUMMYFUNCTION("""COMPUTED_VALUE"""),38904.645833333336)</f>
        <v>38904.64583</v>
      </c>
      <c r="B1492" s="3">
        <f>IFERROR(__xludf.DUMMYFUNCTION("""COMPUTED_VALUE"""),3197.5)</f>
        <v>3197.5</v>
      </c>
      <c r="C1492" s="3">
        <f>IFERROR(__xludf.DUMMYFUNCTION("""COMPUTED_VALUE"""),3197.5)</f>
        <v>3197.5</v>
      </c>
      <c r="D1492" s="3">
        <f>IFERROR(__xludf.DUMMYFUNCTION("""COMPUTED_VALUE"""),3138.4)</f>
        <v>3138.4</v>
      </c>
      <c r="E1492" s="3">
        <f>IFERROR(__xludf.DUMMYFUNCTION("""COMPUTED_VALUE"""),3156.4)</f>
        <v>3156.4</v>
      </c>
      <c r="F1492" s="3">
        <f>IFERROR(__xludf.DUMMYFUNCTION("""COMPUTED_VALUE"""),0.0)</f>
        <v>0</v>
      </c>
    </row>
    <row r="1493">
      <c r="A1493" s="7">
        <f>IFERROR(__xludf.DUMMYFUNCTION("""COMPUTED_VALUE"""),38905.645833333336)</f>
        <v>38905.64583</v>
      </c>
      <c r="B1493" s="3">
        <f>IFERROR(__xludf.DUMMYFUNCTION("""COMPUTED_VALUE"""),3157.95)</f>
        <v>3157.95</v>
      </c>
      <c r="C1493" s="3">
        <f>IFERROR(__xludf.DUMMYFUNCTION("""COMPUTED_VALUE"""),3193.1)</f>
        <v>3193.1</v>
      </c>
      <c r="D1493" s="3">
        <f>IFERROR(__xludf.DUMMYFUNCTION("""COMPUTED_VALUE"""),3056.3)</f>
        <v>3056.3</v>
      </c>
      <c r="E1493" s="3">
        <f>IFERROR(__xludf.DUMMYFUNCTION("""COMPUTED_VALUE"""),3075.85)</f>
        <v>3075.85</v>
      </c>
      <c r="F1493" s="3">
        <f>IFERROR(__xludf.DUMMYFUNCTION("""COMPUTED_VALUE"""),0.0)</f>
        <v>0</v>
      </c>
    </row>
    <row r="1494">
      <c r="A1494" s="7">
        <f>IFERROR(__xludf.DUMMYFUNCTION("""COMPUTED_VALUE"""),38908.645833333336)</f>
        <v>38908.64583</v>
      </c>
      <c r="B1494" s="3">
        <f>IFERROR(__xludf.DUMMYFUNCTION("""COMPUTED_VALUE"""),3077.1)</f>
        <v>3077.1</v>
      </c>
      <c r="C1494" s="3">
        <f>IFERROR(__xludf.DUMMYFUNCTION("""COMPUTED_VALUE"""),3147.7)</f>
        <v>3147.7</v>
      </c>
      <c r="D1494" s="3">
        <f>IFERROR(__xludf.DUMMYFUNCTION("""COMPUTED_VALUE"""),3064.1)</f>
        <v>3064.1</v>
      </c>
      <c r="E1494" s="3">
        <f>IFERROR(__xludf.DUMMYFUNCTION("""COMPUTED_VALUE"""),3142.0)</f>
        <v>3142</v>
      </c>
      <c r="F1494" s="3">
        <f>IFERROR(__xludf.DUMMYFUNCTION("""COMPUTED_VALUE"""),0.0)</f>
        <v>0</v>
      </c>
    </row>
    <row r="1495">
      <c r="A1495" s="7">
        <f>IFERROR(__xludf.DUMMYFUNCTION("""COMPUTED_VALUE"""),38909.645833333336)</f>
        <v>38909.64583</v>
      </c>
      <c r="B1495" s="3">
        <f>IFERROR(__xludf.DUMMYFUNCTION("""COMPUTED_VALUE"""),3145.3)</f>
        <v>3145.3</v>
      </c>
      <c r="C1495" s="3">
        <f>IFERROR(__xludf.DUMMYFUNCTION("""COMPUTED_VALUE"""),3146.0)</f>
        <v>3146</v>
      </c>
      <c r="D1495" s="3">
        <f>IFERROR(__xludf.DUMMYFUNCTION("""COMPUTED_VALUE"""),3100.4)</f>
        <v>3100.4</v>
      </c>
      <c r="E1495" s="3">
        <f>IFERROR(__xludf.DUMMYFUNCTION("""COMPUTED_VALUE"""),3116.15)</f>
        <v>3116.15</v>
      </c>
      <c r="F1495" s="3">
        <f>IFERROR(__xludf.DUMMYFUNCTION("""COMPUTED_VALUE"""),0.0)</f>
        <v>0</v>
      </c>
    </row>
    <row r="1496">
      <c r="A1496" s="7">
        <f>IFERROR(__xludf.DUMMYFUNCTION("""COMPUTED_VALUE"""),38910.645833333336)</f>
        <v>38910.64583</v>
      </c>
      <c r="B1496" s="3">
        <f>IFERROR(__xludf.DUMMYFUNCTION("""COMPUTED_VALUE"""),3124.95)</f>
        <v>3124.95</v>
      </c>
      <c r="C1496" s="3">
        <f>IFERROR(__xludf.DUMMYFUNCTION("""COMPUTED_VALUE"""),3201.35)</f>
        <v>3201.35</v>
      </c>
      <c r="D1496" s="3">
        <f>IFERROR(__xludf.DUMMYFUNCTION("""COMPUTED_VALUE"""),3078.25)</f>
        <v>3078.25</v>
      </c>
      <c r="E1496" s="3">
        <f>IFERROR(__xludf.DUMMYFUNCTION("""COMPUTED_VALUE"""),3195.9)</f>
        <v>3195.9</v>
      </c>
      <c r="F1496" s="3">
        <f>IFERROR(__xludf.DUMMYFUNCTION("""COMPUTED_VALUE"""),0.0)</f>
        <v>0</v>
      </c>
    </row>
    <row r="1497">
      <c r="A1497" s="7">
        <f>IFERROR(__xludf.DUMMYFUNCTION("""COMPUTED_VALUE"""),38911.645833333336)</f>
        <v>38911.64583</v>
      </c>
      <c r="B1497" s="3">
        <f>IFERROR(__xludf.DUMMYFUNCTION("""COMPUTED_VALUE"""),3196.3)</f>
        <v>3196.3</v>
      </c>
      <c r="C1497" s="3">
        <f>IFERROR(__xludf.DUMMYFUNCTION("""COMPUTED_VALUE"""),3208.85)</f>
        <v>3208.85</v>
      </c>
      <c r="D1497" s="3">
        <f>IFERROR(__xludf.DUMMYFUNCTION("""COMPUTED_VALUE"""),3148.95)</f>
        <v>3148.95</v>
      </c>
      <c r="E1497" s="3">
        <f>IFERROR(__xludf.DUMMYFUNCTION("""COMPUTED_VALUE"""),3169.3)</f>
        <v>3169.3</v>
      </c>
      <c r="F1497" s="3">
        <f>IFERROR(__xludf.DUMMYFUNCTION("""COMPUTED_VALUE"""),0.0)</f>
        <v>0</v>
      </c>
    </row>
    <row r="1498">
      <c r="A1498" s="7">
        <f>IFERROR(__xludf.DUMMYFUNCTION("""COMPUTED_VALUE"""),38912.645833333336)</f>
        <v>38912.64583</v>
      </c>
      <c r="B1498" s="3">
        <f>IFERROR(__xludf.DUMMYFUNCTION("""COMPUTED_VALUE"""),3166.25)</f>
        <v>3166.25</v>
      </c>
      <c r="C1498" s="3">
        <f>IFERROR(__xludf.DUMMYFUNCTION("""COMPUTED_VALUE"""),3166.25)</f>
        <v>3166.25</v>
      </c>
      <c r="D1498" s="3">
        <f>IFERROR(__xludf.DUMMYFUNCTION("""COMPUTED_VALUE"""),3089.55)</f>
        <v>3089.55</v>
      </c>
      <c r="E1498" s="3">
        <f>IFERROR(__xludf.DUMMYFUNCTION("""COMPUTED_VALUE"""),3123.35)</f>
        <v>3123.35</v>
      </c>
      <c r="F1498" s="3">
        <f>IFERROR(__xludf.DUMMYFUNCTION("""COMPUTED_VALUE"""),0.0)</f>
        <v>0</v>
      </c>
    </row>
    <row r="1499">
      <c r="A1499" s="7">
        <f>IFERROR(__xludf.DUMMYFUNCTION("""COMPUTED_VALUE"""),38915.645833333336)</f>
        <v>38915.64583</v>
      </c>
      <c r="B1499" s="3">
        <f>IFERROR(__xludf.DUMMYFUNCTION("""COMPUTED_VALUE"""),3123.65)</f>
        <v>3123.65</v>
      </c>
      <c r="C1499" s="3">
        <f>IFERROR(__xludf.DUMMYFUNCTION("""COMPUTED_VALUE"""),3125.1)</f>
        <v>3125.1</v>
      </c>
      <c r="D1499" s="3">
        <f>IFERROR(__xludf.DUMMYFUNCTION("""COMPUTED_VALUE"""),2999.35)</f>
        <v>2999.35</v>
      </c>
      <c r="E1499" s="3">
        <f>IFERROR(__xludf.DUMMYFUNCTION("""COMPUTED_VALUE"""),3007.55)</f>
        <v>3007.55</v>
      </c>
      <c r="F1499" s="3">
        <f>IFERROR(__xludf.DUMMYFUNCTION("""COMPUTED_VALUE"""),0.0)</f>
        <v>0</v>
      </c>
    </row>
    <row r="1500">
      <c r="A1500" s="7">
        <f>IFERROR(__xludf.DUMMYFUNCTION("""COMPUTED_VALUE"""),38916.645833333336)</f>
        <v>38916.64583</v>
      </c>
      <c r="B1500" s="3">
        <f>IFERROR(__xludf.DUMMYFUNCTION("""COMPUTED_VALUE"""),3007.15)</f>
        <v>3007.15</v>
      </c>
      <c r="C1500" s="3">
        <f>IFERROR(__xludf.DUMMYFUNCTION("""COMPUTED_VALUE"""),3038.25)</f>
        <v>3038.25</v>
      </c>
      <c r="D1500" s="3">
        <f>IFERROR(__xludf.DUMMYFUNCTION("""COMPUTED_VALUE"""),2967.95)</f>
        <v>2967.95</v>
      </c>
      <c r="E1500" s="3">
        <f>IFERROR(__xludf.DUMMYFUNCTION("""COMPUTED_VALUE"""),2993.65)</f>
        <v>2993.65</v>
      </c>
      <c r="F1500" s="3">
        <f>IFERROR(__xludf.DUMMYFUNCTION("""COMPUTED_VALUE"""),0.0)</f>
        <v>0</v>
      </c>
    </row>
    <row r="1501">
      <c r="A1501" s="7">
        <f>IFERROR(__xludf.DUMMYFUNCTION("""COMPUTED_VALUE"""),38917.645833333336)</f>
        <v>38917.64583</v>
      </c>
      <c r="B1501" s="3">
        <f>IFERROR(__xludf.DUMMYFUNCTION("""COMPUTED_VALUE"""),2995.85)</f>
        <v>2995.85</v>
      </c>
      <c r="C1501" s="3">
        <f>IFERROR(__xludf.DUMMYFUNCTION("""COMPUTED_VALUE"""),3045.35)</f>
        <v>3045.35</v>
      </c>
      <c r="D1501" s="3">
        <f>IFERROR(__xludf.DUMMYFUNCTION("""COMPUTED_VALUE"""),2919.95)</f>
        <v>2919.95</v>
      </c>
      <c r="E1501" s="3">
        <f>IFERROR(__xludf.DUMMYFUNCTION("""COMPUTED_VALUE"""),2932.75)</f>
        <v>2932.75</v>
      </c>
      <c r="F1501" s="3">
        <f>IFERROR(__xludf.DUMMYFUNCTION("""COMPUTED_VALUE"""),0.0)</f>
        <v>0</v>
      </c>
    </row>
    <row r="1502">
      <c r="A1502" s="7">
        <f>IFERROR(__xludf.DUMMYFUNCTION("""COMPUTED_VALUE"""),38918.645833333336)</f>
        <v>38918.64583</v>
      </c>
      <c r="B1502" s="3">
        <f>IFERROR(__xludf.DUMMYFUNCTION("""COMPUTED_VALUE"""),2943.65)</f>
        <v>2943.65</v>
      </c>
      <c r="C1502" s="3">
        <f>IFERROR(__xludf.DUMMYFUNCTION("""COMPUTED_VALUE"""),3041.25)</f>
        <v>3041.25</v>
      </c>
      <c r="D1502" s="3">
        <f>IFERROR(__xludf.DUMMYFUNCTION("""COMPUTED_VALUE"""),2943.65)</f>
        <v>2943.65</v>
      </c>
      <c r="E1502" s="3">
        <f>IFERROR(__xludf.DUMMYFUNCTION("""COMPUTED_VALUE"""),3023.05)</f>
        <v>3023.05</v>
      </c>
      <c r="F1502" s="3">
        <f>IFERROR(__xludf.DUMMYFUNCTION("""COMPUTED_VALUE"""),0.0)</f>
        <v>0</v>
      </c>
    </row>
    <row r="1503">
      <c r="A1503" s="7">
        <f>IFERROR(__xludf.DUMMYFUNCTION("""COMPUTED_VALUE"""),38919.645833333336)</f>
        <v>38919.64583</v>
      </c>
      <c r="B1503" s="3">
        <f>IFERROR(__xludf.DUMMYFUNCTION("""COMPUTED_VALUE"""),3025.1)</f>
        <v>3025.1</v>
      </c>
      <c r="C1503" s="3">
        <f>IFERROR(__xludf.DUMMYFUNCTION("""COMPUTED_VALUE"""),3029.1)</f>
        <v>3029.1</v>
      </c>
      <c r="D1503" s="3">
        <f>IFERROR(__xludf.DUMMYFUNCTION("""COMPUTED_VALUE"""),2930.15)</f>
        <v>2930.15</v>
      </c>
      <c r="E1503" s="3">
        <f>IFERROR(__xludf.DUMMYFUNCTION("""COMPUTED_VALUE"""),2945.0)</f>
        <v>2945</v>
      </c>
      <c r="F1503" s="3">
        <f>IFERROR(__xludf.DUMMYFUNCTION("""COMPUTED_VALUE"""),0.0)</f>
        <v>0</v>
      </c>
    </row>
    <row r="1504">
      <c r="A1504" s="7">
        <f>IFERROR(__xludf.DUMMYFUNCTION("""COMPUTED_VALUE"""),38922.645833333336)</f>
        <v>38922.64583</v>
      </c>
      <c r="B1504" s="3">
        <f>IFERROR(__xludf.DUMMYFUNCTION("""COMPUTED_VALUE"""),2944.9)</f>
        <v>2944.9</v>
      </c>
      <c r="C1504" s="3">
        <f>IFERROR(__xludf.DUMMYFUNCTION("""COMPUTED_VALUE"""),2996.65)</f>
        <v>2996.65</v>
      </c>
      <c r="D1504" s="3">
        <f>IFERROR(__xludf.DUMMYFUNCTION("""COMPUTED_VALUE"""),2878.25)</f>
        <v>2878.25</v>
      </c>
      <c r="E1504" s="3">
        <f>IFERROR(__xludf.DUMMYFUNCTION("""COMPUTED_VALUE"""),2985.85)</f>
        <v>2985.85</v>
      </c>
      <c r="F1504" s="3">
        <f>IFERROR(__xludf.DUMMYFUNCTION("""COMPUTED_VALUE"""),0.0)</f>
        <v>0</v>
      </c>
    </row>
    <row r="1505">
      <c r="A1505" s="7">
        <f>IFERROR(__xludf.DUMMYFUNCTION("""COMPUTED_VALUE"""),38923.645833333336)</f>
        <v>38923.64583</v>
      </c>
      <c r="B1505" s="3">
        <f>IFERROR(__xludf.DUMMYFUNCTION("""COMPUTED_VALUE"""),2989.5)</f>
        <v>2989.5</v>
      </c>
      <c r="C1505" s="3">
        <f>IFERROR(__xludf.DUMMYFUNCTION("""COMPUTED_VALUE"""),3046.95)</f>
        <v>3046.95</v>
      </c>
      <c r="D1505" s="3">
        <f>IFERROR(__xludf.DUMMYFUNCTION("""COMPUTED_VALUE"""),2987.15)</f>
        <v>2987.15</v>
      </c>
      <c r="E1505" s="3">
        <f>IFERROR(__xludf.DUMMYFUNCTION("""COMPUTED_VALUE"""),3040.5)</f>
        <v>3040.5</v>
      </c>
      <c r="F1505" s="3">
        <f>IFERROR(__xludf.DUMMYFUNCTION("""COMPUTED_VALUE"""),0.0)</f>
        <v>0</v>
      </c>
    </row>
    <row r="1506">
      <c r="A1506" s="7">
        <f>IFERROR(__xludf.DUMMYFUNCTION("""COMPUTED_VALUE"""),38924.645833333336)</f>
        <v>38924.64583</v>
      </c>
      <c r="B1506" s="3">
        <f>IFERROR(__xludf.DUMMYFUNCTION("""COMPUTED_VALUE"""),3040.45)</f>
        <v>3040.45</v>
      </c>
      <c r="C1506" s="3">
        <f>IFERROR(__xludf.DUMMYFUNCTION("""COMPUTED_VALUE"""),3121.4)</f>
        <v>3121.4</v>
      </c>
      <c r="D1506" s="3">
        <f>IFERROR(__xludf.DUMMYFUNCTION("""COMPUTED_VALUE"""),3022.7)</f>
        <v>3022.7</v>
      </c>
      <c r="E1506" s="3">
        <f>IFERROR(__xludf.DUMMYFUNCTION("""COMPUTED_VALUE"""),3110.15)</f>
        <v>3110.15</v>
      </c>
      <c r="F1506" s="3">
        <f>IFERROR(__xludf.DUMMYFUNCTION("""COMPUTED_VALUE"""),0.0)</f>
        <v>0</v>
      </c>
    </row>
    <row r="1507">
      <c r="A1507" s="7">
        <f>IFERROR(__xludf.DUMMYFUNCTION("""COMPUTED_VALUE"""),38925.645833333336)</f>
        <v>38925.64583</v>
      </c>
      <c r="B1507" s="3">
        <f>IFERROR(__xludf.DUMMYFUNCTION("""COMPUTED_VALUE"""),3109.85)</f>
        <v>3109.85</v>
      </c>
      <c r="C1507" s="3">
        <f>IFERROR(__xludf.DUMMYFUNCTION("""COMPUTED_VALUE"""),3167.1)</f>
        <v>3167.1</v>
      </c>
      <c r="D1507" s="3">
        <f>IFERROR(__xludf.DUMMYFUNCTION("""COMPUTED_VALUE"""),3109.85)</f>
        <v>3109.85</v>
      </c>
      <c r="E1507" s="3">
        <f>IFERROR(__xludf.DUMMYFUNCTION("""COMPUTED_VALUE"""),3156.15)</f>
        <v>3156.15</v>
      </c>
      <c r="F1507" s="3">
        <f>IFERROR(__xludf.DUMMYFUNCTION("""COMPUTED_VALUE"""),0.0)</f>
        <v>0</v>
      </c>
    </row>
    <row r="1508">
      <c r="A1508" s="7">
        <f>IFERROR(__xludf.DUMMYFUNCTION("""COMPUTED_VALUE"""),38926.645833333336)</f>
        <v>38926.64583</v>
      </c>
      <c r="B1508" s="3">
        <f>IFERROR(__xludf.DUMMYFUNCTION("""COMPUTED_VALUE"""),3158.0)</f>
        <v>3158</v>
      </c>
      <c r="C1508" s="3">
        <f>IFERROR(__xludf.DUMMYFUNCTION("""COMPUTED_VALUE"""),3168.5)</f>
        <v>3168.5</v>
      </c>
      <c r="D1508" s="3">
        <f>IFERROR(__xludf.DUMMYFUNCTION("""COMPUTED_VALUE"""),3109.45)</f>
        <v>3109.45</v>
      </c>
      <c r="E1508" s="3">
        <f>IFERROR(__xludf.DUMMYFUNCTION("""COMPUTED_VALUE"""),3130.8)</f>
        <v>3130.8</v>
      </c>
      <c r="F1508" s="3">
        <f>IFERROR(__xludf.DUMMYFUNCTION("""COMPUTED_VALUE"""),0.0)</f>
        <v>0</v>
      </c>
    </row>
    <row r="1509">
      <c r="A1509" s="7">
        <f>IFERROR(__xludf.DUMMYFUNCTION("""COMPUTED_VALUE"""),38929.645833333336)</f>
        <v>38929.64583</v>
      </c>
      <c r="B1509" s="3">
        <f>IFERROR(__xludf.DUMMYFUNCTION("""COMPUTED_VALUE"""),3131.35)</f>
        <v>3131.35</v>
      </c>
      <c r="C1509" s="3">
        <f>IFERROR(__xludf.DUMMYFUNCTION("""COMPUTED_VALUE"""),3179.7)</f>
        <v>3179.7</v>
      </c>
      <c r="D1509" s="3">
        <f>IFERROR(__xludf.DUMMYFUNCTION("""COMPUTED_VALUE"""),3110.6)</f>
        <v>3110.6</v>
      </c>
      <c r="E1509" s="3">
        <f>IFERROR(__xludf.DUMMYFUNCTION("""COMPUTED_VALUE"""),3143.2)</f>
        <v>3143.2</v>
      </c>
      <c r="F1509" s="3">
        <f>IFERROR(__xludf.DUMMYFUNCTION("""COMPUTED_VALUE"""),0.0)</f>
        <v>0</v>
      </c>
    </row>
    <row r="1510">
      <c r="A1510" s="7">
        <f>IFERROR(__xludf.DUMMYFUNCTION("""COMPUTED_VALUE"""),38930.645833333336)</f>
        <v>38930.64583</v>
      </c>
      <c r="B1510" s="3">
        <f>IFERROR(__xludf.DUMMYFUNCTION("""COMPUTED_VALUE"""),3128.2)</f>
        <v>3128.2</v>
      </c>
      <c r="C1510" s="3">
        <f>IFERROR(__xludf.DUMMYFUNCTION("""COMPUTED_VALUE"""),3154.7)</f>
        <v>3154.7</v>
      </c>
      <c r="D1510" s="3">
        <f>IFERROR(__xludf.DUMMYFUNCTION("""COMPUTED_VALUE"""),3113.6)</f>
        <v>3113.6</v>
      </c>
      <c r="E1510" s="3">
        <f>IFERROR(__xludf.DUMMYFUNCTION("""COMPUTED_VALUE"""),3147.8)</f>
        <v>3147.8</v>
      </c>
      <c r="F1510" s="3">
        <f>IFERROR(__xludf.DUMMYFUNCTION("""COMPUTED_VALUE"""),0.0)</f>
        <v>0</v>
      </c>
    </row>
    <row r="1511">
      <c r="A1511" s="7">
        <f>IFERROR(__xludf.DUMMYFUNCTION("""COMPUTED_VALUE"""),38931.645833333336)</f>
        <v>38931.64583</v>
      </c>
      <c r="B1511" s="3">
        <f>IFERROR(__xludf.DUMMYFUNCTION("""COMPUTED_VALUE"""),3129.45)</f>
        <v>3129.45</v>
      </c>
      <c r="C1511" s="3">
        <f>IFERROR(__xludf.DUMMYFUNCTION("""COMPUTED_VALUE"""),3187.85)</f>
        <v>3187.85</v>
      </c>
      <c r="D1511" s="3">
        <f>IFERROR(__xludf.DUMMYFUNCTION("""COMPUTED_VALUE"""),3127.9)</f>
        <v>3127.9</v>
      </c>
      <c r="E1511" s="3">
        <f>IFERROR(__xludf.DUMMYFUNCTION("""COMPUTED_VALUE"""),3182.1)</f>
        <v>3182.1</v>
      </c>
      <c r="F1511" s="3">
        <f>IFERROR(__xludf.DUMMYFUNCTION("""COMPUTED_VALUE"""),0.0)</f>
        <v>0</v>
      </c>
    </row>
    <row r="1512">
      <c r="A1512" s="7">
        <f>IFERROR(__xludf.DUMMYFUNCTION("""COMPUTED_VALUE"""),38932.645833333336)</f>
        <v>38932.64583</v>
      </c>
      <c r="B1512" s="3">
        <f>IFERROR(__xludf.DUMMYFUNCTION("""COMPUTED_VALUE"""),3182.55)</f>
        <v>3182.55</v>
      </c>
      <c r="C1512" s="3">
        <f>IFERROR(__xludf.DUMMYFUNCTION("""COMPUTED_VALUE"""),3234.25)</f>
        <v>3234.25</v>
      </c>
      <c r="D1512" s="3">
        <f>IFERROR(__xludf.DUMMYFUNCTION("""COMPUTED_VALUE"""),3175.15)</f>
        <v>3175.15</v>
      </c>
      <c r="E1512" s="3">
        <f>IFERROR(__xludf.DUMMYFUNCTION("""COMPUTED_VALUE"""),3190.0)</f>
        <v>3190</v>
      </c>
      <c r="F1512" s="3">
        <f>IFERROR(__xludf.DUMMYFUNCTION("""COMPUTED_VALUE"""),0.0)</f>
        <v>0</v>
      </c>
    </row>
    <row r="1513">
      <c r="A1513" s="7">
        <f>IFERROR(__xludf.DUMMYFUNCTION("""COMPUTED_VALUE"""),38933.645833333336)</f>
        <v>38933.64583</v>
      </c>
      <c r="B1513" s="3">
        <f>IFERROR(__xludf.DUMMYFUNCTION("""COMPUTED_VALUE"""),3189.7)</f>
        <v>3189.7</v>
      </c>
      <c r="C1513" s="3">
        <f>IFERROR(__xludf.DUMMYFUNCTION("""COMPUTED_VALUE"""),3228.15)</f>
        <v>3228.15</v>
      </c>
      <c r="D1513" s="3">
        <f>IFERROR(__xludf.DUMMYFUNCTION("""COMPUTED_VALUE"""),3161.8)</f>
        <v>3161.8</v>
      </c>
      <c r="E1513" s="3">
        <f>IFERROR(__xludf.DUMMYFUNCTION("""COMPUTED_VALUE"""),3176.75)</f>
        <v>3176.75</v>
      </c>
      <c r="F1513" s="3">
        <f>IFERROR(__xludf.DUMMYFUNCTION("""COMPUTED_VALUE"""),0.0)</f>
        <v>0</v>
      </c>
    </row>
    <row r="1514">
      <c r="A1514" s="7">
        <f>IFERROR(__xludf.DUMMYFUNCTION("""COMPUTED_VALUE"""),38936.645833333336)</f>
        <v>38936.64583</v>
      </c>
      <c r="B1514" s="3">
        <f>IFERROR(__xludf.DUMMYFUNCTION("""COMPUTED_VALUE"""),3176.7)</f>
        <v>3176.7</v>
      </c>
      <c r="C1514" s="3">
        <f>IFERROR(__xludf.DUMMYFUNCTION("""COMPUTED_VALUE"""),3178.5)</f>
        <v>3178.5</v>
      </c>
      <c r="D1514" s="3">
        <f>IFERROR(__xludf.DUMMYFUNCTION("""COMPUTED_VALUE"""),3142.55)</f>
        <v>3142.55</v>
      </c>
      <c r="E1514" s="3">
        <f>IFERROR(__xludf.DUMMYFUNCTION("""COMPUTED_VALUE"""),3151.1)</f>
        <v>3151.1</v>
      </c>
      <c r="F1514" s="3">
        <f>IFERROR(__xludf.DUMMYFUNCTION("""COMPUTED_VALUE"""),0.0)</f>
        <v>0</v>
      </c>
    </row>
    <row r="1515">
      <c r="A1515" s="7">
        <f>IFERROR(__xludf.DUMMYFUNCTION("""COMPUTED_VALUE"""),38937.645833333336)</f>
        <v>38937.64583</v>
      </c>
      <c r="B1515" s="3">
        <f>IFERROR(__xludf.DUMMYFUNCTION("""COMPUTED_VALUE"""),3151.55)</f>
        <v>3151.55</v>
      </c>
      <c r="C1515" s="3">
        <f>IFERROR(__xludf.DUMMYFUNCTION("""COMPUTED_VALUE"""),3216.75)</f>
        <v>3216.75</v>
      </c>
      <c r="D1515" s="3">
        <f>IFERROR(__xludf.DUMMYFUNCTION("""COMPUTED_VALUE"""),3151.55)</f>
        <v>3151.55</v>
      </c>
      <c r="E1515" s="3">
        <f>IFERROR(__xludf.DUMMYFUNCTION("""COMPUTED_VALUE"""),3212.4)</f>
        <v>3212.4</v>
      </c>
      <c r="F1515" s="3">
        <f>IFERROR(__xludf.DUMMYFUNCTION("""COMPUTED_VALUE"""),0.0)</f>
        <v>0</v>
      </c>
    </row>
    <row r="1516">
      <c r="A1516" s="7">
        <f>IFERROR(__xludf.DUMMYFUNCTION("""COMPUTED_VALUE"""),38938.645833333336)</f>
        <v>38938.64583</v>
      </c>
      <c r="B1516" s="3">
        <f>IFERROR(__xludf.DUMMYFUNCTION("""COMPUTED_VALUE"""),3211.55)</f>
        <v>3211.55</v>
      </c>
      <c r="C1516" s="3">
        <f>IFERROR(__xludf.DUMMYFUNCTION("""COMPUTED_VALUE"""),3267.2)</f>
        <v>3267.2</v>
      </c>
      <c r="D1516" s="3">
        <f>IFERROR(__xludf.DUMMYFUNCTION("""COMPUTED_VALUE"""),3187.85)</f>
        <v>3187.85</v>
      </c>
      <c r="E1516" s="3">
        <f>IFERROR(__xludf.DUMMYFUNCTION("""COMPUTED_VALUE"""),3254.6)</f>
        <v>3254.6</v>
      </c>
      <c r="F1516" s="3">
        <f>IFERROR(__xludf.DUMMYFUNCTION("""COMPUTED_VALUE"""),0.0)</f>
        <v>0</v>
      </c>
    </row>
    <row r="1517">
      <c r="A1517" s="7">
        <f>IFERROR(__xludf.DUMMYFUNCTION("""COMPUTED_VALUE"""),38939.645833333336)</f>
        <v>38939.64583</v>
      </c>
      <c r="B1517" s="3">
        <f>IFERROR(__xludf.DUMMYFUNCTION("""COMPUTED_VALUE"""),3254.6)</f>
        <v>3254.6</v>
      </c>
      <c r="C1517" s="3">
        <f>IFERROR(__xludf.DUMMYFUNCTION("""COMPUTED_VALUE"""),3274.75)</f>
        <v>3274.75</v>
      </c>
      <c r="D1517" s="3">
        <f>IFERROR(__xludf.DUMMYFUNCTION("""COMPUTED_VALUE"""),3229.45)</f>
        <v>3229.45</v>
      </c>
      <c r="E1517" s="3">
        <f>IFERROR(__xludf.DUMMYFUNCTION("""COMPUTED_VALUE"""),3260.1)</f>
        <v>3260.1</v>
      </c>
      <c r="F1517" s="3">
        <f>IFERROR(__xludf.DUMMYFUNCTION("""COMPUTED_VALUE"""),0.0)</f>
        <v>0</v>
      </c>
    </row>
    <row r="1518">
      <c r="A1518" s="7">
        <f>IFERROR(__xludf.DUMMYFUNCTION("""COMPUTED_VALUE"""),38940.645833333336)</f>
        <v>38940.64583</v>
      </c>
      <c r="B1518" s="3">
        <f>IFERROR(__xludf.DUMMYFUNCTION("""COMPUTED_VALUE"""),3260.05)</f>
        <v>3260.05</v>
      </c>
      <c r="C1518" s="3">
        <f>IFERROR(__xludf.DUMMYFUNCTION("""COMPUTED_VALUE"""),3286.5)</f>
        <v>3286.5</v>
      </c>
      <c r="D1518" s="3">
        <f>IFERROR(__xludf.DUMMYFUNCTION("""COMPUTED_VALUE"""),3236.95)</f>
        <v>3236.95</v>
      </c>
      <c r="E1518" s="3">
        <f>IFERROR(__xludf.DUMMYFUNCTION("""COMPUTED_VALUE"""),3274.35)</f>
        <v>3274.35</v>
      </c>
      <c r="F1518" s="3">
        <f>IFERROR(__xludf.DUMMYFUNCTION("""COMPUTED_VALUE"""),0.0)</f>
        <v>0</v>
      </c>
    </row>
    <row r="1519">
      <c r="A1519" s="7">
        <f>IFERROR(__xludf.DUMMYFUNCTION("""COMPUTED_VALUE"""),38943.645833333336)</f>
        <v>38943.64583</v>
      </c>
      <c r="B1519" s="3">
        <f>IFERROR(__xludf.DUMMYFUNCTION("""COMPUTED_VALUE"""),3274.95)</f>
        <v>3274.95</v>
      </c>
      <c r="C1519" s="3">
        <f>IFERROR(__xludf.DUMMYFUNCTION("""COMPUTED_VALUE"""),3317.8)</f>
        <v>3317.8</v>
      </c>
      <c r="D1519" s="3">
        <f>IFERROR(__xludf.DUMMYFUNCTION("""COMPUTED_VALUE"""),3269.15)</f>
        <v>3269.15</v>
      </c>
      <c r="E1519" s="3">
        <f>IFERROR(__xludf.DUMMYFUNCTION("""COMPUTED_VALUE"""),3313.1)</f>
        <v>3313.1</v>
      </c>
      <c r="F1519" s="3">
        <f>IFERROR(__xludf.DUMMYFUNCTION("""COMPUTED_VALUE"""),0.0)</f>
        <v>0</v>
      </c>
    </row>
    <row r="1520">
      <c r="A1520" s="7">
        <f>IFERROR(__xludf.DUMMYFUNCTION("""COMPUTED_VALUE"""),38945.645833333336)</f>
        <v>38945.64583</v>
      </c>
      <c r="B1520" s="3">
        <f>IFERROR(__xludf.DUMMYFUNCTION("""COMPUTED_VALUE"""),3314.75)</f>
        <v>3314.75</v>
      </c>
      <c r="C1520" s="3">
        <f>IFERROR(__xludf.DUMMYFUNCTION("""COMPUTED_VALUE"""),3377.1)</f>
        <v>3377.1</v>
      </c>
      <c r="D1520" s="3">
        <f>IFERROR(__xludf.DUMMYFUNCTION("""COMPUTED_VALUE"""),3314.75)</f>
        <v>3314.75</v>
      </c>
      <c r="E1520" s="3">
        <f>IFERROR(__xludf.DUMMYFUNCTION("""COMPUTED_VALUE"""),3356.05)</f>
        <v>3356.05</v>
      </c>
      <c r="F1520" s="3">
        <f>IFERROR(__xludf.DUMMYFUNCTION("""COMPUTED_VALUE"""),0.0)</f>
        <v>0</v>
      </c>
    </row>
    <row r="1521">
      <c r="A1521" s="7">
        <f>IFERROR(__xludf.DUMMYFUNCTION("""COMPUTED_VALUE"""),38946.645833333336)</f>
        <v>38946.64583</v>
      </c>
      <c r="B1521" s="3">
        <f>IFERROR(__xludf.DUMMYFUNCTION("""COMPUTED_VALUE"""),3359.7)</f>
        <v>3359.7</v>
      </c>
      <c r="C1521" s="3">
        <f>IFERROR(__xludf.DUMMYFUNCTION("""COMPUTED_VALUE"""),3385.15)</f>
        <v>3385.15</v>
      </c>
      <c r="D1521" s="3">
        <f>IFERROR(__xludf.DUMMYFUNCTION("""COMPUTED_VALUE"""),3328.6)</f>
        <v>3328.6</v>
      </c>
      <c r="E1521" s="3">
        <f>IFERROR(__xludf.DUMMYFUNCTION("""COMPUTED_VALUE"""),3353.9)</f>
        <v>3353.9</v>
      </c>
      <c r="F1521" s="3">
        <f>IFERROR(__xludf.DUMMYFUNCTION("""COMPUTED_VALUE"""),0.0)</f>
        <v>0</v>
      </c>
    </row>
    <row r="1522">
      <c r="A1522" s="7">
        <f>IFERROR(__xludf.DUMMYFUNCTION("""COMPUTED_VALUE"""),38947.645833333336)</f>
        <v>38947.64583</v>
      </c>
      <c r="B1522" s="3">
        <f>IFERROR(__xludf.DUMMYFUNCTION("""COMPUTED_VALUE"""),3354.5)</f>
        <v>3354.5</v>
      </c>
      <c r="C1522" s="3">
        <f>IFERROR(__xludf.DUMMYFUNCTION("""COMPUTED_VALUE"""),3366.25)</f>
        <v>3366.25</v>
      </c>
      <c r="D1522" s="3">
        <f>IFERROR(__xludf.DUMMYFUNCTION("""COMPUTED_VALUE"""),3332.2)</f>
        <v>3332.2</v>
      </c>
      <c r="E1522" s="3">
        <f>IFERROR(__xludf.DUMMYFUNCTION("""COMPUTED_VALUE"""),3356.75)</f>
        <v>3356.75</v>
      </c>
      <c r="F1522" s="3">
        <f>IFERROR(__xludf.DUMMYFUNCTION("""COMPUTED_VALUE"""),0.0)</f>
        <v>0</v>
      </c>
    </row>
    <row r="1523">
      <c r="A1523" s="7">
        <f>IFERROR(__xludf.DUMMYFUNCTION("""COMPUTED_VALUE"""),38950.645833333336)</f>
        <v>38950.64583</v>
      </c>
      <c r="B1523" s="3">
        <f>IFERROR(__xludf.DUMMYFUNCTION("""COMPUTED_VALUE"""),3356.8)</f>
        <v>3356.8</v>
      </c>
      <c r="C1523" s="3">
        <f>IFERROR(__xludf.DUMMYFUNCTION("""COMPUTED_VALUE"""),3374.9)</f>
        <v>3374.9</v>
      </c>
      <c r="D1523" s="3">
        <f>IFERROR(__xludf.DUMMYFUNCTION("""COMPUTED_VALUE"""),3332.9)</f>
        <v>3332.9</v>
      </c>
      <c r="E1523" s="3">
        <f>IFERROR(__xludf.DUMMYFUNCTION("""COMPUTED_VALUE"""),3366.0)</f>
        <v>3366</v>
      </c>
      <c r="F1523" s="3">
        <f>IFERROR(__xludf.DUMMYFUNCTION("""COMPUTED_VALUE"""),0.0)</f>
        <v>0</v>
      </c>
    </row>
    <row r="1524">
      <c r="A1524" s="7">
        <f>IFERROR(__xludf.DUMMYFUNCTION("""COMPUTED_VALUE"""),38951.645833333336)</f>
        <v>38951.64583</v>
      </c>
      <c r="B1524" s="3">
        <f>IFERROR(__xludf.DUMMYFUNCTION("""COMPUTED_VALUE"""),3369.6)</f>
        <v>3369.6</v>
      </c>
      <c r="C1524" s="3">
        <f>IFERROR(__xludf.DUMMYFUNCTION("""COMPUTED_VALUE"""),3398.35)</f>
        <v>3398.35</v>
      </c>
      <c r="D1524" s="3">
        <f>IFERROR(__xludf.DUMMYFUNCTION("""COMPUTED_VALUE"""),3351.5)</f>
        <v>3351.5</v>
      </c>
      <c r="E1524" s="3">
        <f>IFERROR(__xludf.DUMMYFUNCTION("""COMPUTED_VALUE"""),3364.6)</f>
        <v>3364.6</v>
      </c>
      <c r="F1524" s="3">
        <f>IFERROR(__xludf.DUMMYFUNCTION("""COMPUTED_VALUE"""),0.0)</f>
        <v>0</v>
      </c>
    </row>
    <row r="1525">
      <c r="A1525" s="7">
        <f>IFERROR(__xludf.DUMMYFUNCTION("""COMPUTED_VALUE"""),38952.645833333336)</f>
        <v>38952.64583</v>
      </c>
      <c r="B1525" s="3">
        <f>IFERROR(__xludf.DUMMYFUNCTION("""COMPUTED_VALUE"""),3363.6)</f>
        <v>3363.6</v>
      </c>
      <c r="C1525" s="3">
        <f>IFERROR(__xludf.DUMMYFUNCTION("""COMPUTED_VALUE"""),3369.65)</f>
        <v>3369.65</v>
      </c>
      <c r="D1525" s="3">
        <f>IFERROR(__xludf.DUMMYFUNCTION("""COMPUTED_VALUE"""),3325.1)</f>
        <v>3325.1</v>
      </c>
      <c r="E1525" s="3">
        <f>IFERROR(__xludf.DUMMYFUNCTION("""COMPUTED_VALUE"""),3335.8)</f>
        <v>3335.8</v>
      </c>
      <c r="F1525" s="3">
        <f>IFERROR(__xludf.DUMMYFUNCTION("""COMPUTED_VALUE"""),0.0)</f>
        <v>0</v>
      </c>
    </row>
    <row r="1526">
      <c r="A1526" s="7">
        <f>IFERROR(__xludf.DUMMYFUNCTION("""COMPUTED_VALUE"""),38953.645833333336)</f>
        <v>38953.64583</v>
      </c>
      <c r="B1526" s="3">
        <f>IFERROR(__xludf.DUMMYFUNCTION("""COMPUTED_VALUE"""),3336.65)</f>
        <v>3336.65</v>
      </c>
      <c r="C1526" s="3">
        <f>IFERROR(__xludf.DUMMYFUNCTION("""COMPUTED_VALUE"""),3379.55)</f>
        <v>3379.55</v>
      </c>
      <c r="D1526" s="3">
        <f>IFERROR(__xludf.DUMMYFUNCTION("""COMPUTED_VALUE"""),3304.85)</f>
        <v>3304.85</v>
      </c>
      <c r="E1526" s="3">
        <f>IFERROR(__xludf.DUMMYFUNCTION("""COMPUTED_VALUE"""),3370.4)</f>
        <v>3370.4</v>
      </c>
      <c r="F1526" s="3">
        <f>IFERROR(__xludf.DUMMYFUNCTION("""COMPUTED_VALUE"""),0.0)</f>
        <v>0</v>
      </c>
    </row>
    <row r="1527">
      <c r="A1527" s="7">
        <f>IFERROR(__xludf.DUMMYFUNCTION("""COMPUTED_VALUE"""),38954.645833333336)</f>
        <v>38954.64583</v>
      </c>
      <c r="B1527" s="3">
        <f>IFERROR(__xludf.DUMMYFUNCTION("""COMPUTED_VALUE"""),3368.55)</f>
        <v>3368.55</v>
      </c>
      <c r="C1527" s="3">
        <f>IFERROR(__xludf.DUMMYFUNCTION("""COMPUTED_VALUE"""),3402.7)</f>
        <v>3402.7</v>
      </c>
      <c r="D1527" s="3">
        <f>IFERROR(__xludf.DUMMYFUNCTION("""COMPUTED_VALUE"""),3368.55)</f>
        <v>3368.55</v>
      </c>
      <c r="E1527" s="3">
        <f>IFERROR(__xludf.DUMMYFUNCTION("""COMPUTED_VALUE"""),3385.95)</f>
        <v>3385.95</v>
      </c>
      <c r="F1527" s="3">
        <f>IFERROR(__xludf.DUMMYFUNCTION("""COMPUTED_VALUE"""),0.0)</f>
        <v>0</v>
      </c>
    </row>
    <row r="1528">
      <c r="A1528" s="7">
        <f>IFERROR(__xludf.DUMMYFUNCTION("""COMPUTED_VALUE"""),38957.645833333336)</f>
        <v>38957.64583</v>
      </c>
      <c r="B1528" s="3">
        <f>IFERROR(__xludf.DUMMYFUNCTION("""COMPUTED_VALUE"""),3386.0)</f>
        <v>3386</v>
      </c>
      <c r="C1528" s="3">
        <f>IFERROR(__xludf.DUMMYFUNCTION("""COMPUTED_VALUE"""),3405.3)</f>
        <v>3405.3</v>
      </c>
      <c r="D1528" s="3">
        <f>IFERROR(__xludf.DUMMYFUNCTION("""COMPUTED_VALUE"""),3377.75)</f>
        <v>3377.75</v>
      </c>
      <c r="E1528" s="3">
        <f>IFERROR(__xludf.DUMMYFUNCTION("""COMPUTED_VALUE"""),3401.1)</f>
        <v>3401.1</v>
      </c>
      <c r="F1528" s="3">
        <f>IFERROR(__xludf.DUMMYFUNCTION("""COMPUTED_VALUE"""),0.0)</f>
        <v>0</v>
      </c>
    </row>
    <row r="1529">
      <c r="A1529" s="7">
        <f>IFERROR(__xludf.DUMMYFUNCTION("""COMPUTED_VALUE"""),38958.645833333336)</f>
        <v>38958.64583</v>
      </c>
      <c r="B1529" s="3">
        <f>IFERROR(__xludf.DUMMYFUNCTION("""COMPUTED_VALUE"""),3405.05)</f>
        <v>3405.05</v>
      </c>
      <c r="C1529" s="3">
        <f>IFERROR(__xludf.DUMMYFUNCTION("""COMPUTED_VALUE"""),3434.95)</f>
        <v>3434.95</v>
      </c>
      <c r="D1529" s="3">
        <f>IFERROR(__xludf.DUMMYFUNCTION("""COMPUTED_VALUE"""),3396.1)</f>
        <v>3396.1</v>
      </c>
      <c r="E1529" s="3">
        <f>IFERROR(__xludf.DUMMYFUNCTION("""COMPUTED_VALUE"""),3425.7)</f>
        <v>3425.7</v>
      </c>
      <c r="F1529" s="3">
        <f>IFERROR(__xludf.DUMMYFUNCTION("""COMPUTED_VALUE"""),0.0)</f>
        <v>0</v>
      </c>
    </row>
    <row r="1530">
      <c r="A1530" s="7">
        <f>IFERROR(__xludf.DUMMYFUNCTION("""COMPUTED_VALUE"""),38959.645833333336)</f>
        <v>38959.64583</v>
      </c>
      <c r="B1530" s="3">
        <f>IFERROR(__xludf.DUMMYFUNCTION("""COMPUTED_VALUE"""),3425.8)</f>
        <v>3425.8</v>
      </c>
      <c r="C1530" s="3">
        <f>IFERROR(__xludf.DUMMYFUNCTION("""COMPUTED_VALUE"""),3440.2)</f>
        <v>3440.2</v>
      </c>
      <c r="D1530" s="3">
        <f>IFERROR(__xludf.DUMMYFUNCTION("""COMPUTED_VALUE"""),3407.75)</f>
        <v>3407.75</v>
      </c>
      <c r="E1530" s="3">
        <f>IFERROR(__xludf.DUMMYFUNCTION("""COMPUTED_VALUE"""),3430.35)</f>
        <v>3430.35</v>
      </c>
      <c r="F1530" s="3">
        <f>IFERROR(__xludf.DUMMYFUNCTION("""COMPUTED_VALUE"""),0.0)</f>
        <v>0</v>
      </c>
    </row>
    <row r="1531">
      <c r="A1531" s="7">
        <f>IFERROR(__xludf.DUMMYFUNCTION("""COMPUTED_VALUE"""),38960.645833333336)</f>
        <v>38960.64583</v>
      </c>
      <c r="B1531" s="3">
        <f>IFERROR(__xludf.DUMMYFUNCTION("""COMPUTED_VALUE"""),3404.5)</f>
        <v>3404.5</v>
      </c>
      <c r="C1531" s="3">
        <f>IFERROR(__xludf.DUMMYFUNCTION("""COMPUTED_VALUE"""),3452.3)</f>
        <v>3452.3</v>
      </c>
      <c r="D1531" s="3">
        <f>IFERROR(__xludf.DUMMYFUNCTION("""COMPUTED_VALUE"""),3403.65)</f>
        <v>3403.65</v>
      </c>
      <c r="E1531" s="3">
        <f>IFERROR(__xludf.DUMMYFUNCTION("""COMPUTED_VALUE"""),3413.9)</f>
        <v>3413.9</v>
      </c>
      <c r="F1531" s="3">
        <f>IFERROR(__xludf.DUMMYFUNCTION("""COMPUTED_VALUE"""),0.0)</f>
        <v>0</v>
      </c>
    </row>
    <row r="1532">
      <c r="A1532" s="7">
        <f>IFERROR(__xludf.DUMMYFUNCTION("""COMPUTED_VALUE"""),38961.645833333336)</f>
        <v>38961.64583</v>
      </c>
      <c r="B1532" s="3">
        <f>IFERROR(__xludf.DUMMYFUNCTION("""COMPUTED_VALUE"""),3414.0)</f>
        <v>3414</v>
      </c>
      <c r="C1532" s="3">
        <f>IFERROR(__xludf.DUMMYFUNCTION("""COMPUTED_VALUE"""),3439.5)</f>
        <v>3439.5</v>
      </c>
      <c r="D1532" s="3">
        <f>IFERROR(__xludf.DUMMYFUNCTION("""COMPUTED_VALUE"""),3402.9)</f>
        <v>3402.9</v>
      </c>
      <c r="E1532" s="3">
        <f>IFERROR(__xludf.DUMMYFUNCTION("""COMPUTED_VALUE"""),3435.45)</f>
        <v>3435.45</v>
      </c>
      <c r="F1532" s="3">
        <f>IFERROR(__xludf.DUMMYFUNCTION("""COMPUTED_VALUE"""),0.0)</f>
        <v>0</v>
      </c>
    </row>
    <row r="1533">
      <c r="A1533" s="7">
        <f>IFERROR(__xludf.DUMMYFUNCTION("""COMPUTED_VALUE"""),38964.645833333336)</f>
        <v>38964.64583</v>
      </c>
      <c r="B1533" s="3">
        <f>IFERROR(__xludf.DUMMYFUNCTION("""COMPUTED_VALUE"""),3435.55)</f>
        <v>3435.55</v>
      </c>
      <c r="C1533" s="3">
        <f>IFERROR(__xludf.DUMMYFUNCTION("""COMPUTED_VALUE"""),3483.1)</f>
        <v>3483.1</v>
      </c>
      <c r="D1533" s="3">
        <f>IFERROR(__xludf.DUMMYFUNCTION("""COMPUTED_VALUE"""),3435.55)</f>
        <v>3435.55</v>
      </c>
      <c r="E1533" s="3">
        <f>IFERROR(__xludf.DUMMYFUNCTION("""COMPUTED_VALUE"""),3476.85)</f>
        <v>3476.85</v>
      </c>
      <c r="F1533" s="3">
        <f>IFERROR(__xludf.DUMMYFUNCTION("""COMPUTED_VALUE"""),0.0)</f>
        <v>0</v>
      </c>
    </row>
    <row r="1534">
      <c r="A1534" s="7">
        <f>IFERROR(__xludf.DUMMYFUNCTION("""COMPUTED_VALUE"""),38965.645833333336)</f>
        <v>38965.64583</v>
      </c>
      <c r="B1534" s="3">
        <f>IFERROR(__xludf.DUMMYFUNCTION("""COMPUTED_VALUE"""),3471.4)</f>
        <v>3471.4</v>
      </c>
      <c r="C1534" s="3">
        <f>IFERROR(__xludf.DUMMYFUNCTION("""COMPUTED_VALUE"""),3488.6)</f>
        <v>3488.6</v>
      </c>
      <c r="D1534" s="3">
        <f>IFERROR(__xludf.DUMMYFUNCTION("""COMPUTED_VALUE"""),3457.9)</f>
        <v>3457.9</v>
      </c>
      <c r="E1534" s="3">
        <f>IFERROR(__xludf.DUMMYFUNCTION("""COMPUTED_VALUE"""),3473.75)</f>
        <v>3473.75</v>
      </c>
      <c r="F1534" s="3">
        <f>IFERROR(__xludf.DUMMYFUNCTION("""COMPUTED_VALUE"""),0.0)</f>
        <v>0</v>
      </c>
    </row>
    <row r="1535">
      <c r="A1535" s="7">
        <f>IFERROR(__xludf.DUMMYFUNCTION("""COMPUTED_VALUE"""),38966.645833333336)</f>
        <v>38966.64583</v>
      </c>
      <c r="B1535" s="3">
        <f>IFERROR(__xludf.DUMMYFUNCTION("""COMPUTED_VALUE"""),3474.4)</f>
        <v>3474.4</v>
      </c>
      <c r="C1535" s="3">
        <f>IFERROR(__xludf.DUMMYFUNCTION("""COMPUTED_VALUE"""),3490.7)</f>
        <v>3490.7</v>
      </c>
      <c r="D1535" s="3">
        <f>IFERROR(__xludf.DUMMYFUNCTION("""COMPUTED_VALUE"""),3465.8)</f>
        <v>3465.8</v>
      </c>
      <c r="E1535" s="3">
        <f>IFERROR(__xludf.DUMMYFUNCTION("""COMPUTED_VALUE"""),3477.25)</f>
        <v>3477.25</v>
      </c>
      <c r="F1535" s="3">
        <f>IFERROR(__xludf.DUMMYFUNCTION("""COMPUTED_VALUE"""),0.0)</f>
        <v>0</v>
      </c>
    </row>
    <row r="1536">
      <c r="A1536" s="7">
        <f>IFERROR(__xludf.DUMMYFUNCTION("""COMPUTED_VALUE"""),38967.645833333336)</f>
        <v>38967.64583</v>
      </c>
      <c r="B1536" s="3">
        <f>IFERROR(__xludf.DUMMYFUNCTION("""COMPUTED_VALUE"""),3477.15)</f>
        <v>3477.15</v>
      </c>
      <c r="C1536" s="3">
        <f>IFERROR(__xludf.DUMMYFUNCTION("""COMPUTED_VALUE"""),3478.85)</f>
        <v>3478.85</v>
      </c>
      <c r="D1536" s="3">
        <f>IFERROR(__xludf.DUMMYFUNCTION("""COMPUTED_VALUE"""),3438.8)</f>
        <v>3438.8</v>
      </c>
      <c r="E1536" s="3">
        <f>IFERROR(__xludf.DUMMYFUNCTION("""COMPUTED_VALUE"""),3454.55)</f>
        <v>3454.55</v>
      </c>
      <c r="F1536" s="3">
        <f>IFERROR(__xludf.DUMMYFUNCTION("""COMPUTED_VALUE"""),0.0)</f>
        <v>0</v>
      </c>
    </row>
    <row r="1537">
      <c r="A1537" s="7">
        <f>IFERROR(__xludf.DUMMYFUNCTION("""COMPUTED_VALUE"""),38968.645833333336)</f>
        <v>38968.64583</v>
      </c>
      <c r="B1537" s="3">
        <f>IFERROR(__xludf.DUMMYFUNCTION("""COMPUTED_VALUE"""),3454.65)</f>
        <v>3454.65</v>
      </c>
      <c r="C1537" s="3">
        <f>IFERROR(__xludf.DUMMYFUNCTION("""COMPUTED_VALUE"""),3477.95)</f>
        <v>3477.95</v>
      </c>
      <c r="D1537" s="3">
        <f>IFERROR(__xludf.DUMMYFUNCTION("""COMPUTED_VALUE"""),3442.85)</f>
        <v>3442.85</v>
      </c>
      <c r="E1537" s="3">
        <f>IFERROR(__xludf.DUMMYFUNCTION("""COMPUTED_VALUE"""),3471.45)</f>
        <v>3471.45</v>
      </c>
      <c r="F1537" s="3">
        <f>IFERROR(__xludf.DUMMYFUNCTION("""COMPUTED_VALUE"""),0.0)</f>
        <v>0</v>
      </c>
    </row>
    <row r="1538">
      <c r="A1538" s="7">
        <f>IFERROR(__xludf.DUMMYFUNCTION("""COMPUTED_VALUE"""),38971.645833333336)</f>
        <v>38971.64583</v>
      </c>
      <c r="B1538" s="3">
        <f>IFERROR(__xludf.DUMMYFUNCTION("""COMPUTED_VALUE"""),3470.35)</f>
        <v>3470.35</v>
      </c>
      <c r="C1538" s="3">
        <f>IFERROR(__xludf.DUMMYFUNCTION("""COMPUTED_VALUE"""),3486.65)</f>
        <v>3486.65</v>
      </c>
      <c r="D1538" s="3">
        <f>IFERROR(__xludf.DUMMYFUNCTION("""COMPUTED_VALUE"""),3351.3)</f>
        <v>3351.3</v>
      </c>
      <c r="E1538" s="3">
        <f>IFERROR(__xludf.DUMMYFUNCTION("""COMPUTED_VALUE"""),3366.15)</f>
        <v>3366.15</v>
      </c>
      <c r="F1538" s="3">
        <f>IFERROR(__xludf.DUMMYFUNCTION("""COMPUTED_VALUE"""),0.0)</f>
        <v>0</v>
      </c>
    </row>
    <row r="1539">
      <c r="A1539" s="7">
        <f>IFERROR(__xludf.DUMMYFUNCTION("""COMPUTED_VALUE"""),38972.645833333336)</f>
        <v>38972.64583</v>
      </c>
      <c r="B1539" s="3">
        <f>IFERROR(__xludf.DUMMYFUNCTION("""COMPUTED_VALUE"""),3363.3)</f>
        <v>3363.3</v>
      </c>
      <c r="C1539" s="3">
        <f>IFERROR(__xludf.DUMMYFUNCTION("""COMPUTED_VALUE"""),3395.05)</f>
        <v>3395.05</v>
      </c>
      <c r="D1539" s="3">
        <f>IFERROR(__xludf.DUMMYFUNCTION("""COMPUTED_VALUE"""),3328.45)</f>
        <v>3328.45</v>
      </c>
      <c r="E1539" s="3">
        <f>IFERROR(__xludf.DUMMYFUNCTION("""COMPUTED_VALUE"""),3389.9)</f>
        <v>3389.9</v>
      </c>
      <c r="F1539" s="3">
        <f>IFERROR(__xludf.DUMMYFUNCTION("""COMPUTED_VALUE"""),0.0)</f>
        <v>0</v>
      </c>
    </row>
    <row r="1540">
      <c r="A1540" s="7">
        <f>IFERROR(__xludf.DUMMYFUNCTION("""COMPUTED_VALUE"""),38973.645833333336)</f>
        <v>38973.64583</v>
      </c>
      <c r="B1540" s="3">
        <f>IFERROR(__xludf.DUMMYFUNCTION("""COMPUTED_VALUE"""),3389.85)</f>
        <v>3389.85</v>
      </c>
      <c r="C1540" s="3">
        <f>IFERROR(__xludf.DUMMYFUNCTION("""COMPUTED_VALUE"""),3470.65)</f>
        <v>3470.65</v>
      </c>
      <c r="D1540" s="3">
        <f>IFERROR(__xludf.DUMMYFUNCTION("""COMPUTED_VALUE"""),3389.8)</f>
        <v>3389.8</v>
      </c>
      <c r="E1540" s="3">
        <f>IFERROR(__xludf.DUMMYFUNCTION("""COMPUTED_VALUE"""),3454.55)</f>
        <v>3454.55</v>
      </c>
      <c r="F1540" s="3">
        <f>IFERROR(__xludf.DUMMYFUNCTION("""COMPUTED_VALUE"""),0.0)</f>
        <v>0</v>
      </c>
    </row>
    <row r="1541">
      <c r="A1541" s="7">
        <f>IFERROR(__xludf.DUMMYFUNCTION("""COMPUTED_VALUE"""),38974.645833333336)</f>
        <v>38974.64583</v>
      </c>
      <c r="B1541" s="3">
        <f>IFERROR(__xludf.DUMMYFUNCTION("""COMPUTED_VALUE"""),3454.6)</f>
        <v>3454.6</v>
      </c>
      <c r="C1541" s="3">
        <f>IFERROR(__xludf.DUMMYFUNCTION("""COMPUTED_VALUE"""),3484.0)</f>
        <v>3484</v>
      </c>
      <c r="D1541" s="3">
        <f>IFERROR(__xludf.DUMMYFUNCTION("""COMPUTED_VALUE"""),3454.6)</f>
        <v>3454.6</v>
      </c>
      <c r="E1541" s="3">
        <f>IFERROR(__xludf.DUMMYFUNCTION("""COMPUTED_VALUE"""),3471.6)</f>
        <v>3471.6</v>
      </c>
      <c r="F1541" s="3">
        <f>IFERROR(__xludf.DUMMYFUNCTION("""COMPUTED_VALUE"""),0.0)</f>
        <v>0</v>
      </c>
    </row>
    <row r="1542">
      <c r="A1542" s="7">
        <f>IFERROR(__xludf.DUMMYFUNCTION("""COMPUTED_VALUE"""),38975.645833333336)</f>
        <v>38975.64583</v>
      </c>
      <c r="B1542" s="3">
        <f>IFERROR(__xludf.DUMMYFUNCTION("""COMPUTED_VALUE"""),3471.65)</f>
        <v>3471.65</v>
      </c>
      <c r="C1542" s="3">
        <f>IFERROR(__xludf.DUMMYFUNCTION("""COMPUTED_VALUE"""),3487.45)</f>
        <v>3487.45</v>
      </c>
      <c r="D1542" s="3">
        <f>IFERROR(__xludf.DUMMYFUNCTION("""COMPUTED_VALUE"""),3434.55)</f>
        <v>3434.55</v>
      </c>
      <c r="E1542" s="3">
        <f>IFERROR(__xludf.DUMMYFUNCTION("""COMPUTED_VALUE"""),3478.6)</f>
        <v>3478.6</v>
      </c>
      <c r="F1542" s="3">
        <f>IFERROR(__xludf.DUMMYFUNCTION("""COMPUTED_VALUE"""),0.0)</f>
        <v>0</v>
      </c>
    </row>
    <row r="1543">
      <c r="A1543" s="7">
        <f>IFERROR(__xludf.DUMMYFUNCTION("""COMPUTED_VALUE"""),38978.645833333336)</f>
        <v>38978.64583</v>
      </c>
      <c r="B1543" s="3">
        <f>IFERROR(__xludf.DUMMYFUNCTION("""COMPUTED_VALUE"""),3478.65)</f>
        <v>3478.65</v>
      </c>
      <c r="C1543" s="3">
        <f>IFERROR(__xludf.DUMMYFUNCTION("""COMPUTED_VALUE"""),3506.2)</f>
        <v>3506.2</v>
      </c>
      <c r="D1543" s="3">
        <f>IFERROR(__xludf.DUMMYFUNCTION("""COMPUTED_VALUE"""),3478.4)</f>
        <v>3478.4</v>
      </c>
      <c r="E1543" s="3">
        <f>IFERROR(__xludf.DUMMYFUNCTION("""COMPUTED_VALUE"""),3492.75)</f>
        <v>3492.75</v>
      </c>
      <c r="F1543" s="3">
        <f>IFERROR(__xludf.DUMMYFUNCTION("""COMPUTED_VALUE"""),0.0)</f>
        <v>0</v>
      </c>
    </row>
    <row r="1544">
      <c r="A1544" s="7">
        <f>IFERROR(__xludf.DUMMYFUNCTION("""COMPUTED_VALUE"""),38979.645833333336)</f>
        <v>38979.64583</v>
      </c>
      <c r="B1544" s="3">
        <f>IFERROR(__xludf.DUMMYFUNCTION("""COMPUTED_VALUE"""),3493.5)</f>
        <v>3493.5</v>
      </c>
      <c r="C1544" s="3">
        <f>IFERROR(__xludf.DUMMYFUNCTION("""COMPUTED_VALUE"""),3514.95)</f>
        <v>3514.95</v>
      </c>
      <c r="D1544" s="3">
        <f>IFERROR(__xludf.DUMMYFUNCTION("""COMPUTED_VALUE"""),3438.8)</f>
        <v>3438.8</v>
      </c>
      <c r="E1544" s="3">
        <f>IFERROR(__xludf.DUMMYFUNCTION("""COMPUTED_VALUE"""),3457.35)</f>
        <v>3457.35</v>
      </c>
      <c r="F1544" s="3">
        <f>IFERROR(__xludf.DUMMYFUNCTION("""COMPUTED_VALUE"""),0.0)</f>
        <v>0</v>
      </c>
    </row>
    <row r="1545">
      <c r="A1545" s="7">
        <f>IFERROR(__xludf.DUMMYFUNCTION("""COMPUTED_VALUE"""),38980.645833333336)</f>
        <v>38980.64583</v>
      </c>
      <c r="B1545" s="3">
        <f>IFERROR(__xludf.DUMMYFUNCTION("""COMPUTED_VALUE"""),3457.85)</f>
        <v>3457.85</v>
      </c>
      <c r="C1545" s="3">
        <f>IFERROR(__xludf.DUMMYFUNCTION("""COMPUTED_VALUE"""),3509.85)</f>
        <v>3509.85</v>
      </c>
      <c r="D1545" s="3">
        <f>IFERROR(__xludf.DUMMYFUNCTION("""COMPUTED_VALUE"""),3419.75)</f>
        <v>3419.75</v>
      </c>
      <c r="E1545" s="3">
        <f>IFERROR(__xludf.DUMMYFUNCTION("""COMPUTED_VALUE"""),3502.8)</f>
        <v>3502.8</v>
      </c>
      <c r="F1545" s="3">
        <f>IFERROR(__xludf.DUMMYFUNCTION("""COMPUTED_VALUE"""),0.0)</f>
        <v>0</v>
      </c>
    </row>
    <row r="1546">
      <c r="A1546" s="7">
        <f>IFERROR(__xludf.DUMMYFUNCTION("""COMPUTED_VALUE"""),38981.645833333336)</f>
        <v>38981.64583</v>
      </c>
      <c r="B1546" s="3">
        <f>IFERROR(__xludf.DUMMYFUNCTION("""COMPUTED_VALUE"""),3506.7)</f>
        <v>3506.7</v>
      </c>
      <c r="C1546" s="3">
        <f>IFERROR(__xludf.DUMMYFUNCTION("""COMPUTED_VALUE"""),3556.35)</f>
        <v>3556.35</v>
      </c>
      <c r="D1546" s="3">
        <f>IFERROR(__xludf.DUMMYFUNCTION("""COMPUTED_VALUE"""),3506.7)</f>
        <v>3506.7</v>
      </c>
      <c r="E1546" s="3">
        <f>IFERROR(__xludf.DUMMYFUNCTION("""COMPUTED_VALUE"""),3553.05)</f>
        <v>3553.05</v>
      </c>
      <c r="F1546" s="3">
        <f>IFERROR(__xludf.DUMMYFUNCTION("""COMPUTED_VALUE"""),0.0)</f>
        <v>0</v>
      </c>
    </row>
    <row r="1547">
      <c r="A1547" s="7">
        <f>IFERROR(__xludf.DUMMYFUNCTION("""COMPUTED_VALUE"""),38982.645833333336)</f>
        <v>38982.64583</v>
      </c>
      <c r="B1547" s="3">
        <f>IFERROR(__xludf.DUMMYFUNCTION("""COMPUTED_VALUE"""),3554.05)</f>
        <v>3554.05</v>
      </c>
      <c r="C1547" s="3">
        <f>IFERROR(__xludf.DUMMYFUNCTION("""COMPUTED_VALUE"""),3562.45)</f>
        <v>3562.45</v>
      </c>
      <c r="D1547" s="3">
        <f>IFERROR(__xludf.DUMMYFUNCTION("""COMPUTED_VALUE"""),3525.4)</f>
        <v>3525.4</v>
      </c>
      <c r="E1547" s="3">
        <f>IFERROR(__xludf.DUMMYFUNCTION("""COMPUTED_VALUE"""),3544.05)</f>
        <v>3544.05</v>
      </c>
      <c r="F1547" s="3">
        <f>IFERROR(__xludf.DUMMYFUNCTION("""COMPUTED_VALUE"""),0.0)</f>
        <v>0</v>
      </c>
    </row>
    <row r="1548">
      <c r="A1548" s="7">
        <f>IFERROR(__xludf.DUMMYFUNCTION("""COMPUTED_VALUE"""),38985.645833333336)</f>
        <v>38985.64583</v>
      </c>
      <c r="B1548" s="3">
        <f>IFERROR(__xludf.DUMMYFUNCTION("""COMPUTED_VALUE"""),3545.1)</f>
        <v>3545.1</v>
      </c>
      <c r="C1548" s="3">
        <f>IFERROR(__xludf.DUMMYFUNCTION("""COMPUTED_VALUE"""),3568.65)</f>
        <v>3568.65</v>
      </c>
      <c r="D1548" s="3">
        <f>IFERROR(__xludf.DUMMYFUNCTION("""COMPUTED_VALUE"""),3514.85)</f>
        <v>3514.85</v>
      </c>
      <c r="E1548" s="3">
        <f>IFERROR(__xludf.DUMMYFUNCTION("""COMPUTED_VALUE"""),3523.45)</f>
        <v>3523.45</v>
      </c>
      <c r="F1548" s="3">
        <f>IFERROR(__xludf.DUMMYFUNCTION("""COMPUTED_VALUE"""),0.0)</f>
        <v>0</v>
      </c>
    </row>
    <row r="1549">
      <c r="A1549" s="7">
        <f>IFERROR(__xludf.DUMMYFUNCTION("""COMPUTED_VALUE"""),38986.645833333336)</f>
        <v>38986.64583</v>
      </c>
      <c r="B1549" s="3">
        <f>IFERROR(__xludf.DUMMYFUNCTION("""COMPUTED_VALUE"""),3523.7)</f>
        <v>3523.7</v>
      </c>
      <c r="C1549" s="3">
        <f>IFERROR(__xludf.DUMMYFUNCTION("""COMPUTED_VALUE"""),3576.75)</f>
        <v>3576.75</v>
      </c>
      <c r="D1549" s="3">
        <f>IFERROR(__xludf.DUMMYFUNCTION("""COMPUTED_VALUE"""),3517.15)</f>
        <v>3517.15</v>
      </c>
      <c r="E1549" s="3">
        <f>IFERROR(__xludf.DUMMYFUNCTION("""COMPUTED_VALUE"""),3571.75)</f>
        <v>3571.75</v>
      </c>
      <c r="F1549" s="3">
        <f>IFERROR(__xludf.DUMMYFUNCTION("""COMPUTED_VALUE"""),0.0)</f>
        <v>0</v>
      </c>
    </row>
    <row r="1550">
      <c r="A1550" s="7">
        <f>IFERROR(__xludf.DUMMYFUNCTION("""COMPUTED_VALUE"""),38987.645833333336)</f>
        <v>38987.64583</v>
      </c>
      <c r="B1550" s="3">
        <f>IFERROR(__xludf.DUMMYFUNCTION("""COMPUTED_VALUE"""),3571.75)</f>
        <v>3571.75</v>
      </c>
      <c r="C1550" s="3">
        <f>IFERROR(__xludf.DUMMYFUNCTION("""COMPUTED_VALUE"""),3603.7)</f>
        <v>3603.7</v>
      </c>
      <c r="D1550" s="3">
        <f>IFERROR(__xludf.DUMMYFUNCTION("""COMPUTED_VALUE"""),3568.4)</f>
        <v>3568.4</v>
      </c>
      <c r="E1550" s="3">
        <f>IFERROR(__xludf.DUMMYFUNCTION("""COMPUTED_VALUE"""),3579.3)</f>
        <v>3579.3</v>
      </c>
      <c r="F1550" s="3">
        <f>IFERROR(__xludf.DUMMYFUNCTION("""COMPUTED_VALUE"""),0.0)</f>
        <v>0</v>
      </c>
    </row>
    <row r="1551">
      <c r="A1551" s="7">
        <f>IFERROR(__xludf.DUMMYFUNCTION("""COMPUTED_VALUE"""),38988.645833333336)</f>
        <v>38988.64583</v>
      </c>
      <c r="B1551" s="3">
        <f>IFERROR(__xludf.DUMMYFUNCTION("""COMPUTED_VALUE"""),3579.95)</f>
        <v>3579.95</v>
      </c>
      <c r="C1551" s="3">
        <f>IFERROR(__xludf.DUMMYFUNCTION("""COMPUTED_VALUE"""),3589.3)</f>
        <v>3589.3</v>
      </c>
      <c r="D1551" s="3">
        <f>IFERROR(__xludf.DUMMYFUNCTION("""COMPUTED_VALUE"""),3560.75)</f>
        <v>3560.75</v>
      </c>
      <c r="E1551" s="3">
        <f>IFERROR(__xludf.DUMMYFUNCTION("""COMPUTED_VALUE"""),3571.75)</f>
        <v>3571.75</v>
      </c>
      <c r="F1551" s="3">
        <f>IFERROR(__xludf.DUMMYFUNCTION("""COMPUTED_VALUE"""),0.0)</f>
        <v>0</v>
      </c>
    </row>
    <row r="1552">
      <c r="A1552" s="7">
        <f>IFERROR(__xludf.DUMMYFUNCTION("""COMPUTED_VALUE"""),38989.645833333336)</f>
        <v>38989.64583</v>
      </c>
      <c r="B1552" s="3">
        <f>IFERROR(__xludf.DUMMYFUNCTION("""COMPUTED_VALUE"""),3572.15)</f>
        <v>3572.15</v>
      </c>
      <c r="C1552" s="3">
        <f>IFERROR(__xludf.DUMMYFUNCTION("""COMPUTED_VALUE"""),3599.8)</f>
        <v>3599.8</v>
      </c>
      <c r="D1552" s="3">
        <f>IFERROR(__xludf.DUMMYFUNCTION("""COMPUTED_VALUE"""),3564.7)</f>
        <v>3564.7</v>
      </c>
      <c r="E1552" s="3">
        <f>IFERROR(__xludf.DUMMYFUNCTION("""COMPUTED_VALUE"""),3588.4)</f>
        <v>3588.4</v>
      </c>
      <c r="F1552" s="3">
        <f>IFERROR(__xludf.DUMMYFUNCTION("""COMPUTED_VALUE"""),0.0)</f>
        <v>0</v>
      </c>
    </row>
    <row r="1553">
      <c r="A1553" s="7">
        <f>IFERROR(__xludf.DUMMYFUNCTION("""COMPUTED_VALUE"""),38993.645833333336)</f>
        <v>38993.64583</v>
      </c>
      <c r="B1553" s="3">
        <f>IFERROR(__xludf.DUMMYFUNCTION("""COMPUTED_VALUE"""),3588.95)</f>
        <v>3588.95</v>
      </c>
      <c r="C1553" s="3">
        <f>IFERROR(__xludf.DUMMYFUNCTION("""COMPUTED_VALUE"""),3606.2)</f>
        <v>3606.2</v>
      </c>
      <c r="D1553" s="3">
        <f>IFERROR(__xludf.DUMMYFUNCTION("""COMPUTED_VALUE"""),3561.7)</f>
        <v>3561.7</v>
      </c>
      <c r="E1553" s="3">
        <f>IFERROR(__xludf.DUMMYFUNCTION("""COMPUTED_VALUE"""),3569.6)</f>
        <v>3569.6</v>
      </c>
      <c r="F1553" s="3">
        <f>IFERROR(__xludf.DUMMYFUNCTION("""COMPUTED_VALUE"""),0.0)</f>
        <v>0</v>
      </c>
    </row>
    <row r="1554">
      <c r="A1554" s="7">
        <f>IFERROR(__xludf.DUMMYFUNCTION("""COMPUTED_VALUE"""),38994.645833333336)</f>
        <v>38994.64583</v>
      </c>
      <c r="B1554" s="3">
        <f>IFERROR(__xludf.DUMMYFUNCTION("""COMPUTED_VALUE"""),3570.95)</f>
        <v>3570.95</v>
      </c>
      <c r="C1554" s="3">
        <f>IFERROR(__xludf.DUMMYFUNCTION("""COMPUTED_VALUE"""),3580.05)</f>
        <v>3580.05</v>
      </c>
      <c r="D1554" s="3">
        <f>IFERROR(__xludf.DUMMYFUNCTION("""COMPUTED_VALUE"""),3508.65)</f>
        <v>3508.65</v>
      </c>
      <c r="E1554" s="3">
        <f>IFERROR(__xludf.DUMMYFUNCTION("""COMPUTED_VALUE"""),3515.35)</f>
        <v>3515.35</v>
      </c>
      <c r="F1554" s="3">
        <f>IFERROR(__xludf.DUMMYFUNCTION("""COMPUTED_VALUE"""),0.0)</f>
        <v>0</v>
      </c>
    </row>
    <row r="1555">
      <c r="A1555" s="7">
        <f>IFERROR(__xludf.DUMMYFUNCTION("""COMPUTED_VALUE"""),38995.645833333336)</f>
        <v>38995.64583</v>
      </c>
      <c r="B1555" s="3">
        <f>IFERROR(__xludf.DUMMYFUNCTION("""COMPUTED_VALUE"""),3515.6)</f>
        <v>3515.6</v>
      </c>
      <c r="C1555" s="3">
        <f>IFERROR(__xludf.DUMMYFUNCTION("""COMPUTED_VALUE"""),3574.95)</f>
        <v>3574.95</v>
      </c>
      <c r="D1555" s="3">
        <f>IFERROR(__xludf.DUMMYFUNCTION("""COMPUTED_VALUE"""),3515.6)</f>
        <v>3515.6</v>
      </c>
      <c r="E1555" s="3">
        <f>IFERROR(__xludf.DUMMYFUNCTION("""COMPUTED_VALUE"""),3564.9)</f>
        <v>3564.9</v>
      </c>
      <c r="F1555" s="3">
        <f>IFERROR(__xludf.DUMMYFUNCTION("""COMPUTED_VALUE"""),0.0)</f>
        <v>0</v>
      </c>
    </row>
    <row r="1556">
      <c r="A1556" s="7">
        <f>IFERROR(__xludf.DUMMYFUNCTION("""COMPUTED_VALUE"""),38996.645833333336)</f>
        <v>38996.64583</v>
      </c>
      <c r="B1556" s="3">
        <f>IFERROR(__xludf.DUMMYFUNCTION("""COMPUTED_VALUE"""),3565.45)</f>
        <v>3565.45</v>
      </c>
      <c r="C1556" s="3">
        <f>IFERROR(__xludf.DUMMYFUNCTION("""COMPUTED_VALUE"""),3583.75)</f>
        <v>3583.75</v>
      </c>
      <c r="D1556" s="3">
        <f>IFERROR(__xludf.DUMMYFUNCTION("""COMPUTED_VALUE"""),3560.9)</f>
        <v>3560.9</v>
      </c>
      <c r="E1556" s="3">
        <f>IFERROR(__xludf.DUMMYFUNCTION("""COMPUTED_VALUE"""),3569.7)</f>
        <v>3569.7</v>
      </c>
      <c r="F1556" s="3">
        <f>IFERROR(__xludf.DUMMYFUNCTION("""COMPUTED_VALUE"""),0.0)</f>
        <v>0</v>
      </c>
    </row>
    <row r="1557">
      <c r="A1557" s="7">
        <f>IFERROR(__xludf.DUMMYFUNCTION("""COMPUTED_VALUE"""),38999.645833333336)</f>
        <v>38999.64583</v>
      </c>
      <c r="B1557" s="3">
        <f>IFERROR(__xludf.DUMMYFUNCTION("""COMPUTED_VALUE"""),3570.05)</f>
        <v>3570.05</v>
      </c>
      <c r="C1557" s="3">
        <f>IFERROR(__xludf.DUMMYFUNCTION("""COMPUTED_VALUE"""),3585.35)</f>
        <v>3585.35</v>
      </c>
      <c r="D1557" s="3">
        <f>IFERROR(__xludf.DUMMYFUNCTION("""COMPUTED_VALUE"""),3540.45)</f>
        <v>3540.45</v>
      </c>
      <c r="E1557" s="3">
        <f>IFERROR(__xludf.DUMMYFUNCTION("""COMPUTED_VALUE"""),3567.15)</f>
        <v>3567.15</v>
      </c>
      <c r="F1557" s="3">
        <f>IFERROR(__xludf.DUMMYFUNCTION("""COMPUTED_VALUE"""),0.0)</f>
        <v>0</v>
      </c>
    </row>
    <row r="1558">
      <c r="A1558" s="7">
        <f>IFERROR(__xludf.DUMMYFUNCTION("""COMPUTED_VALUE"""),39000.645833333336)</f>
        <v>39000.64583</v>
      </c>
      <c r="B1558" s="3">
        <f>IFERROR(__xludf.DUMMYFUNCTION("""COMPUTED_VALUE"""),3567.45)</f>
        <v>3567.45</v>
      </c>
      <c r="C1558" s="3">
        <f>IFERROR(__xludf.DUMMYFUNCTION("""COMPUTED_VALUE"""),3597.2)</f>
        <v>3597.2</v>
      </c>
      <c r="D1558" s="3">
        <f>IFERROR(__xludf.DUMMYFUNCTION("""COMPUTED_VALUE"""),3563.1)</f>
        <v>3563.1</v>
      </c>
      <c r="E1558" s="3">
        <f>IFERROR(__xludf.DUMMYFUNCTION("""COMPUTED_VALUE"""),3571.05)</f>
        <v>3571.05</v>
      </c>
      <c r="F1558" s="3">
        <f>IFERROR(__xludf.DUMMYFUNCTION("""COMPUTED_VALUE"""),0.0)</f>
        <v>0</v>
      </c>
    </row>
    <row r="1559">
      <c r="A1559" s="7">
        <f>IFERROR(__xludf.DUMMYFUNCTION("""COMPUTED_VALUE"""),39001.645833333336)</f>
        <v>39001.64583</v>
      </c>
      <c r="B1559" s="3">
        <f>IFERROR(__xludf.DUMMYFUNCTION("""COMPUTED_VALUE"""),3581.55)</f>
        <v>3581.55</v>
      </c>
      <c r="C1559" s="3">
        <f>IFERROR(__xludf.DUMMYFUNCTION("""COMPUTED_VALUE"""),3614.5)</f>
        <v>3614.5</v>
      </c>
      <c r="D1559" s="3">
        <f>IFERROR(__xludf.DUMMYFUNCTION("""COMPUTED_VALUE"""),3544.25)</f>
        <v>3544.25</v>
      </c>
      <c r="E1559" s="3">
        <f>IFERROR(__xludf.DUMMYFUNCTION("""COMPUTED_VALUE"""),3558.55)</f>
        <v>3558.55</v>
      </c>
      <c r="F1559" s="3">
        <f>IFERROR(__xludf.DUMMYFUNCTION("""COMPUTED_VALUE"""),0.0)</f>
        <v>0</v>
      </c>
    </row>
    <row r="1560">
      <c r="A1560" s="7">
        <f>IFERROR(__xludf.DUMMYFUNCTION("""COMPUTED_VALUE"""),39002.645833333336)</f>
        <v>39002.64583</v>
      </c>
      <c r="B1560" s="3">
        <f>IFERROR(__xludf.DUMMYFUNCTION("""COMPUTED_VALUE"""),3562.55)</f>
        <v>3562.55</v>
      </c>
      <c r="C1560" s="3">
        <f>IFERROR(__xludf.DUMMYFUNCTION("""COMPUTED_VALUE"""),3626.8)</f>
        <v>3626.8</v>
      </c>
      <c r="D1560" s="3">
        <f>IFERROR(__xludf.DUMMYFUNCTION("""COMPUTED_VALUE"""),3545.95)</f>
        <v>3545.95</v>
      </c>
      <c r="E1560" s="3">
        <f>IFERROR(__xludf.DUMMYFUNCTION("""COMPUTED_VALUE"""),3621.05)</f>
        <v>3621.05</v>
      </c>
      <c r="F1560" s="3">
        <f>IFERROR(__xludf.DUMMYFUNCTION("""COMPUTED_VALUE"""),0.0)</f>
        <v>0</v>
      </c>
    </row>
    <row r="1561">
      <c r="A1561" s="7">
        <f>IFERROR(__xludf.DUMMYFUNCTION("""COMPUTED_VALUE"""),39003.645833333336)</f>
        <v>39003.64583</v>
      </c>
      <c r="B1561" s="3">
        <f>IFERROR(__xludf.DUMMYFUNCTION("""COMPUTED_VALUE"""),3621.65)</f>
        <v>3621.65</v>
      </c>
      <c r="C1561" s="3">
        <f>IFERROR(__xludf.DUMMYFUNCTION("""COMPUTED_VALUE"""),3682.35)</f>
        <v>3682.35</v>
      </c>
      <c r="D1561" s="3">
        <f>IFERROR(__xludf.DUMMYFUNCTION("""COMPUTED_VALUE"""),3621.65)</f>
        <v>3621.65</v>
      </c>
      <c r="E1561" s="3">
        <f>IFERROR(__xludf.DUMMYFUNCTION("""COMPUTED_VALUE"""),3676.05)</f>
        <v>3676.05</v>
      </c>
      <c r="F1561" s="3">
        <f>IFERROR(__xludf.DUMMYFUNCTION("""COMPUTED_VALUE"""),0.0)</f>
        <v>0</v>
      </c>
    </row>
    <row r="1562">
      <c r="A1562" s="7">
        <f>IFERROR(__xludf.DUMMYFUNCTION("""COMPUTED_VALUE"""),39006.645833333336)</f>
        <v>39006.64583</v>
      </c>
      <c r="B1562" s="3">
        <f>IFERROR(__xludf.DUMMYFUNCTION("""COMPUTED_VALUE"""),3668.9)</f>
        <v>3668.9</v>
      </c>
      <c r="C1562" s="3">
        <f>IFERROR(__xludf.DUMMYFUNCTION("""COMPUTED_VALUE"""),3729.7)</f>
        <v>3729.7</v>
      </c>
      <c r="D1562" s="3">
        <f>IFERROR(__xludf.DUMMYFUNCTION("""COMPUTED_VALUE"""),3668.9)</f>
        <v>3668.9</v>
      </c>
      <c r="E1562" s="3">
        <f>IFERROR(__xludf.DUMMYFUNCTION("""COMPUTED_VALUE"""),3723.95)</f>
        <v>3723.95</v>
      </c>
      <c r="F1562" s="3">
        <f>IFERROR(__xludf.DUMMYFUNCTION("""COMPUTED_VALUE"""),0.0)</f>
        <v>0</v>
      </c>
    </row>
    <row r="1563">
      <c r="A1563" s="7">
        <f>IFERROR(__xludf.DUMMYFUNCTION("""COMPUTED_VALUE"""),39007.645833333336)</f>
        <v>39007.64583</v>
      </c>
      <c r="B1563" s="3">
        <f>IFERROR(__xludf.DUMMYFUNCTION("""COMPUTED_VALUE"""),3726.4)</f>
        <v>3726.4</v>
      </c>
      <c r="C1563" s="3">
        <f>IFERROR(__xludf.DUMMYFUNCTION("""COMPUTED_VALUE"""),3742.5)</f>
        <v>3742.5</v>
      </c>
      <c r="D1563" s="3">
        <f>IFERROR(__xludf.DUMMYFUNCTION("""COMPUTED_VALUE"""),3691.35)</f>
        <v>3691.35</v>
      </c>
      <c r="E1563" s="3">
        <f>IFERROR(__xludf.DUMMYFUNCTION("""COMPUTED_VALUE"""),3715.0)</f>
        <v>3715</v>
      </c>
      <c r="F1563" s="3">
        <f>IFERROR(__xludf.DUMMYFUNCTION("""COMPUTED_VALUE"""),0.0)</f>
        <v>0</v>
      </c>
    </row>
    <row r="1564">
      <c r="A1564" s="7">
        <f>IFERROR(__xludf.DUMMYFUNCTION("""COMPUTED_VALUE"""),39008.645833333336)</f>
        <v>39008.64583</v>
      </c>
      <c r="B1564" s="3">
        <f>IFERROR(__xludf.DUMMYFUNCTION("""COMPUTED_VALUE"""),3715.2)</f>
        <v>3715.2</v>
      </c>
      <c r="C1564" s="3">
        <f>IFERROR(__xludf.DUMMYFUNCTION("""COMPUTED_VALUE"""),3727.0)</f>
        <v>3727</v>
      </c>
      <c r="D1564" s="3">
        <f>IFERROR(__xludf.DUMMYFUNCTION("""COMPUTED_VALUE"""),3701.3)</f>
        <v>3701.3</v>
      </c>
      <c r="E1564" s="3">
        <f>IFERROR(__xludf.DUMMYFUNCTION("""COMPUTED_VALUE"""),3710.65)</f>
        <v>3710.65</v>
      </c>
      <c r="F1564" s="3">
        <f>IFERROR(__xludf.DUMMYFUNCTION("""COMPUTED_VALUE"""),0.0)</f>
        <v>0</v>
      </c>
    </row>
    <row r="1565">
      <c r="A1565" s="7">
        <f>IFERROR(__xludf.DUMMYFUNCTION("""COMPUTED_VALUE"""),39009.645833333336)</f>
        <v>39009.64583</v>
      </c>
      <c r="B1565" s="3">
        <f>IFERROR(__xludf.DUMMYFUNCTION("""COMPUTED_VALUE"""),3711.1)</f>
        <v>3711.1</v>
      </c>
      <c r="C1565" s="3">
        <f>IFERROR(__xludf.DUMMYFUNCTION("""COMPUTED_VALUE"""),3726.95)</f>
        <v>3726.95</v>
      </c>
      <c r="D1565" s="3">
        <f>IFERROR(__xludf.DUMMYFUNCTION("""COMPUTED_VALUE"""),3655.05)</f>
        <v>3655.05</v>
      </c>
      <c r="E1565" s="3">
        <f>IFERROR(__xludf.DUMMYFUNCTION("""COMPUTED_VALUE"""),3677.8)</f>
        <v>3677.8</v>
      </c>
      <c r="F1565" s="3">
        <f>IFERROR(__xludf.DUMMYFUNCTION("""COMPUTED_VALUE"""),0.0)</f>
        <v>0</v>
      </c>
    </row>
    <row r="1566">
      <c r="A1566" s="7">
        <f>IFERROR(__xludf.DUMMYFUNCTION("""COMPUTED_VALUE"""),39010.645833333336)</f>
        <v>39010.64583</v>
      </c>
      <c r="B1566" s="3">
        <f>IFERROR(__xludf.DUMMYFUNCTION("""COMPUTED_VALUE"""),3678.75)</f>
        <v>3678.75</v>
      </c>
      <c r="C1566" s="3">
        <f>IFERROR(__xludf.DUMMYFUNCTION("""COMPUTED_VALUE"""),3714.25)</f>
        <v>3714.25</v>
      </c>
      <c r="D1566" s="3">
        <f>IFERROR(__xludf.DUMMYFUNCTION("""COMPUTED_VALUE"""),3665.5)</f>
        <v>3665.5</v>
      </c>
      <c r="E1566" s="3">
        <f>IFERROR(__xludf.DUMMYFUNCTION("""COMPUTED_VALUE"""),3676.85)</f>
        <v>3676.85</v>
      </c>
      <c r="F1566" s="3">
        <f>IFERROR(__xludf.DUMMYFUNCTION("""COMPUTED_VALUE"""),0.0)</f>
        <v>0</v>
      </c>
    </row>
    <row r="1567">
      <c r="A1567" s="7">
        <f>IFERROR(__xludf.DUMMYFUNCTION("""COMPUTED_VALUE"""),39013.645833333336)</f>
        <v>39013.64583</v>
      </c>
      <c r="B1567" s="3">
        <f>IFERROR(__xludf.DUMMYFUNCTION("""COMPUTED_VALUE"""),3683.4)</f>
        <v>3683.4</v>
      </c>
      <c r="C1567" s="3">
        <f>IFERROR(__xludf.DUMMYFUNCTION("""COMPUTED_VALUE"""),3690.85)</f>
        <v>3690.85</v>
      </c>
      <c r="D1567" s="3">
        <f>IFERROR(__xludf.DUMMYFUNCTION("""COMPUTED_VALUE"""),3651.2)</f>
        <v>3651.2</v>
      </c>
      <c r="E1567" s="3">
        <f>IFERROR(__xludf.DUMMYFUNCTION("""COMPUTED_VALUE"""),3657.3)</f>
        <v>3657.3</v>
      </c>
      <c r="F1567" s="3">
        <f>IFERROR(__xludf.DUMMYFUNCTION("""COMPUTED_VALUE"""),0.0)</f>
        <v>0</v>
      </c>
    </row>
    <row r="1568">
      <c r="A1568" s="7">
        <f>IFERROR(__xludf.DUMMYFUNCTION("""COMPUTED_VALUE"""),39016.645833333336)</f>
        <v>39016.64583</v>
      </c>
      <c r="B1568" s="3">
        <f>IFERROR(__xludf.DUMMYFUNCTION("""COMPUTED_VALUE"""),3656.2)</f>
        <v>3656.2</v>
      </c>
      <c r="C1568" s="3">
        <f>IFERROR(__xludf.DUMMYFUNCTION("""COMPUTED_VALUE"""),3686.85)</f>
        <v>3686.85</v>
      </c>
      <c r="D1568" s="3">
        <f>IFERROR(__xludf.DUMMYFUNCTION("""COMPUTED_VALUE"""),3651.2)</f>
        <v>3651.2</v>
      </c>
      <c r="E1568" s="3">
        <f>IFERROR(__xludf.DUMMYFUNCTION("""COMPUTED_VALUE"""),3677.55)</f>
        <v>3677.55</v>
      </c>
      <c r="F1568" s="3">
        <f>IFERROR(__xludf.DUMMYFUNCTION("""COMPUTED_VALUE"""),0.0)</f>
        <v>0</v>
      </c>
    </row>
    <row r="1569">
      <c r="A1569" s="7">
        <f>IFERROR(__xludf.DUMMYFUNCTION("""COMPUTED_VALUE"""),39017.645833333336)</f>
        <v>39017.64583</v>
      </c>
      <c r="B1569" s="3">
        <f>IFERROR(__xludf.DUMMYFUNCTION("""COMPUTED_VALUE"""),3676.85)</f>
        <v>3676.85</v>
      </c>
      <c r="C1569" s="3">
        <f>IFERROR(__xludf.DUMMYFUNCTION("""COMPUTED_VALUE"""),3747.35)</f>
        <v>3747.35</v>
      </c>
      <c r="D1569" s="3">
        <f>IFERROR(__xludf.DUMMYFUNCTION("""COMPUTED_VALUE"""),3674.8)</f>
        <v>3674.8</v>
      </c>
      <c r="E1569" s="3">
        <f>IFERROR(__xludf.DUMMYFUNCTION("""COMPUTED_VALUE"""),3739.35)</f>
        <v>3739.35</v>
      </c>
      <c r="F1569" s="3">
        <f>IFERROR(__xludf.DUMMYFUNCTION("""COMPUTED_VALUE"""),0.0)</f>
        <v>0</v>
      </c>
    </row>
    <row r="1570">
      <c r="A1570" s="7">
        <f>IFERROR(__xludf.DUMMYFUNCTION("""COMPUTED_VALUE"""),39020.645833333336)</f>
        <v>39020.64583</v>
      </c>
      <c r="B1570" s="3">
        <f>IFERROR(__xludf.DUMMYFUNCTION("""COMPUTED_VALUE"""),3739.35)</f>
        <v>3739.35</v>
      </c>
      <c r="C1570" s="3">
        <f>IFERROR(__xludf.DUMMYFUNCTION("""COMPUTED_VALUE"""),3776.05)</f>
        <v>3776.05</v>
      </c>
      <c r="D1570" s="3">
        <f>IFERROR(__xludf.DUMMYFUNCTION("""COMPUTED_VALUE"""),3719.45)</f>
        <v>3719.45</v>
      </c>
      <c r="E1570" s="3">
        <f>IFERROR(__xludf.DUMMYFUNCTION("""COMPUTED_VALUE"""),3769.1)</f>
        <v>3769.1</v>
      </c>
      <c r="F1570" s="3">
        <f>IFERROR(__xludf.DUMMYFUNCTION("""COMPUTED_VALUE"""),0.0)</f>
        <v>0</v>
      </c>
    </row>
    <row r="1571">
      <c r="A1571" s="7">
        <f>IFERROR(__xludf.DUMMYFUNCTION("""COMPUTED_VALUE"""),39021.645833333336)</f>
        <v>39021.64583</v>
      </c>
      <c r="B1571" s="3">
        <f>IFERROR(__xludf.DUMMYFUNCTION("""COMPUTED_VALUE"""),3770.5)</f>
        <v>3770.5</v>
      </c>
      <c r="C1571" s="3">
        <f>IFERROR(__xludf.DUMMYFUNCTION("""COMPUTED_VALUE"""),3782.85)</f>
        <v>3782.85</v>
      </c>
      <c r="D1571" s="3">
        <f>IFERROR(__xludf.DUMMYFUNCTION("""COMPUTED_VALUE"""),3726.75)</f>
        <v>3726.75</v>
      </c>
      <c r="E1571" s="3">
        <f>IFERROR(__xludf.DUMMYFUNCTION("""COMPUTED_VALUE"""),3744.1)</f>
        <v>3744.1</v>
      </c>
      <c r="F1571" s="3">
        <f>IFERROR(__xludf.DUMMYFUNCTION("""COMPUTED_VALUE"""),0.0)</f>
        <v>0</v>
      </c>
    </row>
    <row r="1572">
      <c r="A1572" s="7">
        <f>IFERROR(__xludf.DUMMYFUNCTION("""COMPUTED_VALUE"""),39022.645833333336)</f>
        <v>39022.64583</v>
      </c>
      <c r="B1572" s="3">
        <f>IFERROR(__xludf.DUMMYFUNCTION("""COMPUTED_VALUE"""),3744.1)</f>
        <v>3744.1</v>
      </c>
      <c r="C1572" s="3">
        <f>IFERROR(__xludf.DUMMYFUNCTION("""COMPUTED_VALUE"""),3777.7)</f>
        <v>3777.7</v>
      </c>
      <c r="D1572" s="3">
        <f>IFERROR(__xludf.DUMMYFUNCTION("""COMPUTED_VALUE"""),3737.0)</f>
        <v>3737</v>
      </c>
      <c r="E1572" s="3">
        <f>IFERROR(__xludf.DUMMYFUNCTION("""COMPUTED_VALUE"""),3767.05)</f>
        <v>3767.05</v>
      </c>
      <c r="F1572" s="3">
        <f>IFERROR(__xludf.DUMMYFUNCTION("""COMPUTED_VALUE"""),0.0)</f>
        <v>0</v>
      </c>
    </row>
    <row r="1573">
      <c r="A1573" s="7">
        <f>IFERROR(__xludf.DUMMYFUNCTION("""COMPUTED_VALUE"""),39023.645833333336)</f>
        <v>39023.64583</v>
      </c>
      <c r="B1573" s="3">
        <f>IFERROR(__xludf.DUMMYFUNCTION("""COMPUTED_VALUE"""),3769.4)</f>
        <v>3769.4</v>
      </c>
      <c r="C1573" s="3">
        <f>IFERROR(__xludf.DUMMYFUNCTION("""COMPUTED_VALUE"""),3805.5)</f>
        <v>3805.5</v>
      </c>
      <c r="D1573" s="3">
        <f>IFERROR(__xludf.DUMMYFUNCTION("""COMPUTED_VALUE"""),3761.9)</f>
        <v>3761.9</v>
      </c>
      <c r="E1573" s="3">
        <f>IFERROR(__xludf.DUMMYFUNCTION("""COMPUTED_VALUE"""),3791.2)</f>
        <v>3791.2</v>
      </c>
      <c r="F1573" s="3">
        <f>IFERROR(__xludf.DUMMYFUNCTION("""COMPUTED_VALUE"""),0.0)</f>
        <v>0</v>
      </c>
    </row>
    <row r="1574">
      <c r="A1574" s="7">
        <f>IFERROR(__xludf.DUMMYFUNCTION("""COMPUTED_VALUE"""),39024.645833333336)</f>
        <v>39024.64583</v>
      </c>
      <c r="B1574" s="3">
        <f>IFERROR(__xludf.DUMMYFUNCTION("""COMPUTED_VALUE"""),3793.05)</f>
        <v>3793.05</v>
      </c>
      <c r="C1574" s="3">
        <f>IFERROR(__xludf.DUMMYFUNCTION("""COMPUTED_VALUE"""),3809.65)</f>
        <v>3809.65</v>
      </c>
      <c r="D1574" s="3">
        <f>IFERROR(__xludf.DUMMYFUNCTION("""COMPUTED_VALUE"""),3771.0)</f>
        <v>3771</v>
      </c>
      <c r="E1574" s="3">
        <f>IFERROR(__xludf.DUMMYFUNCTION("""COMPUTED_VALUE"""),3805.35)</f>
        <v>3805.35</v>
      </c>
      <c r="F1574" s="3">
        <f>IFERROR(__xludf.DUMMYFUNCTION("""COMPUTED_VALUE"""),0.0)</f>
        <v>0</v>
      </c>
    </row>
    <row r="1575">
      <c r="A1575" s="7">
        <f>IFERROR(__xludf.DUMMYFUNCTION("""COMPUTED_VALUE"""),39027.645833333336)</f>
        <v>39027.64583</v>
      </c>
      <c r="B1575" s="3">
        <f>IFERROR(__xludf.DUMMYFUNCTION("""COMPUTED_VALUE"""),3804.75)</f>
        <v>3804.75</v>
      </c>
      <c r="C1575" s="3">
        <f>IFERROR(__xludf.DUMMYFUNCTION("""COMPUTED_VALUE"""),3822.4)</f>
        <v>3822.4</v>
      </c>
      <c r="D1575" s="3">
        <f>IFERROR(__xludf.DUMMYFUNCTION("""COMPUTED_VALUE"""),3798.25)</f>
        <v>3798.25</v>
      </c>
      <c r="E1575" s="3">
        <f>IFERROR(__xludf.DUMMYFUNCTION("""COMPUTED_VALUE"""),3809.25)</f>
        <v>3809.25</v>
      </c>
      <c r="F1575" s="3">
        <f>IFERROR(__xludf.DUMMYFUNCTION("""COMPUTED_VALUE"""),0.0)</f>
        <v>0</v>
      </c>
    </row>
    <row r="1576">
      <c r="A1576" s="7">
        <f>IFERROR(__xludf.DUMMYFUNCTION("""COMPUTED_VALUE"""),39028.645833333336)</f>
        <v>39028.64583</v>
      </c>
      <c r="B1576" s="3">
        <f>IFERROR(__xludf.DUMMYFUNCTION("""COMPUTED_VALUE"""),3812.15)</f>
        <v>3812.15</v>
      </c>
      <c r="C1576" s="3">
        <f>IFERROR(__xludf.DUMMYFUNCTION("""COMPUTED_VALUE"""),3840.45)</f>
        <v>3840.45</v>
      </c>
      <c r="D1576" s="3">
        <f>IFERROR(__xludf.DUMMYFUNCTION("""COMPUTED_VALUE"""),3789.4)</f>
        <v>3789.4</v>
      </c>
      <c r="E1576" s="3">
        <f>IFERROR(__xludf.DUMMYFUNCTION("""COMPUTED_VALUE"""),3798.75)</f>
        <v>3798.75</v>
      </c>
      <c r="F1576" s="3">
        <f>IFERROR(__xludf.DUMMYFUNCTION("""COMPUTED_VALUE"""),0.0)</f>
        <v>0</v>
      </c>
    </row>
    <row r="1577">
      <c r="A1577" s="7">
        <f>IFERROR(__xludf.DUMMYFUNCTION("""COMPUTED_VALUE"""),39029.645833333336)</f>
        <v>39029.64583</v>
      </c>
      <c r="B1577" s="3">
        <f>IFERROR(__xludf.DUMMYFUNCTION("""COMPUTED_VALUE"""),3799.2)</f>
        <v>3799.2</v>
      </c>
      <c r="C1577" s="3">
        <f>IFERROR(__xludf.DUMMYFUNCTION("""COMPUTED_VALUE"""),3809.95)</f>
        <v>3809.95</v>
      </c>
      <c r="D1577" s="3">
        <f>IFERROR(__xludf.DUMMYFUNCTION("""COMPUTED_VALUE"""),3737.2)</f>
        <v>3737.2</v>
      </c>
      <c r="E1577" s="3">
        <f>IFERROR(__xludf.DUMMYFUNCTION("""COMPUTED_VALUE"""),3777.3)</f>
        <v>3777.3</v>
      </c>
      <c r="F1577" s="3">
        <f>IFERROR(__xludf.DUMMYFUNCTION("""COMPUTED_VALUE"""),0.0)</f>
        <v>0</v>
      </c>
    </row>
    <row r="1578">
      <c r="A1578" s="7">
        <f>IFERROR(__xludf.DUMMYFUNCTION("""COMPUTED_VALUE"""),39030.645833333336)</f>
        <v>39030.64583</v>
      </c>
      <c r="B1578" s="3">
        <f>IFERROR(__xludf.DUMMYFUNCTION("""COMPUTED_VALUE"""),3777.8)</f>
        <v>3777.8</v>
      </c>
      <c r="C1578" s="3">
        <f>IFERROR(__xludf.DUMMYFUNCTION("""COMPUTED_VALUE"""),3808.2)</f>
        <v>3808.2</v>
      </c>
      <c r="D1578" s="3">
        <f>IFERROR(__xludf.DUMMYFUNCTION("""COMPUTED_VALUE"""),3769.8)</f>
        <v>3769.8</v>
      </c>
      <c r="E1578" s="3">
        <f>IFERROR(__xludf.DUMMYFUNCTION("""COMPUTED_VALUE"""),3796.4)</f>
        <v>3796.4</v>
      </c>
      <c r="F1578" s="3">
        <f>IFERROR(__xludf.DUMMYFUNCTION("""COMPUTED_VALUE"""),0.0)</f>
        <v>0</v>
      </c>
    </row>
    <row r="1579">
      <c r="A1579" s="7">
        <f>IFERROR(__xludf.DUMMYFUNCTION("""COMPUTED_VALUE"""),39031.645833333336)</f>
        <v>39031.64583</v>
      </c>
      <c r="B1579" s="3">
        <f>IFERROR(__xludf.DUMMYFUNCTION("""COMPUTED_VALUE"""),3796.05)</f>
        <v>3796.05</v>
      </c>
      <c r="C1579" s="3">
        <f>IFERROR(__xludf.DUMMYFUNCTION("""COMPUTED_VALUE"""),3842.4)</f>
        <v>3842.4</v>
      </c>
      <c r="D1579" s="3">
        <f>IFERROR(__xludf.DUMMYFUNCTION("""COMPUTED_VALUE"""),3785.4)</f>
        <v>3785.4</v>
      </c>
      <c r="E1579" s="3">
        <f>IFERROR(__xludf.DUMMYFUNCTION("""COMPUTED_VALUE"""),3834.75)</f>
        <v>3834.75</v>
      </c>
      <c r="F1579" s="3">
        <f>IFERROR(__xludf.DUMMYFUNCTION("""COMPUTED_VALUE"""),0.0)</f>
        <v>0</v>
      </c>
    </row>
    <row r="1580">
      <c r="A1580" s="7">
        <f>IFERROR(__xludf.DUMMYFUNCTION("""COMPUTED_VALUE"""),39034.645833333336)</f>
        <v>39034.64583</v>
      </c>
      <c r="B1580" s="3">
        <f>IFERROR(__xludf.DUMMYFUNCTION("""COMPUTED_VALUE"""),3834.8)</f>
        <v>3834.8</v>
      </c>
      <c r="C1580" s="3">
        <f>IFERROR(__xludf.DUMMYFUNCTION("""COMPUTED_VALUE"""),3862.05)</f>
        <v>3862.05</v>
      </c>
      <c r="D1580" s="3">
        <f>IFERROR(__xludf.DUMMYFUNCTION("""COMPUTED_VALUE"""),3834.0)</f>
        <v>3834</v>
      </c>
      <c r="E1580" s="3">
        <f>IFERROR(__xludf.DUMMYFUNCTION("""COMPUTED_VALUE"""),3858.75)</f>
        <v>3858.75</v>
      </c>
      <c r="F1580" s="3">
        <f>IFERROR(__xludf.DUMMYFUNCTION("""COMPUTED_VALUE"""),0.0)</f>
        <v>0</v>
      </c>
    </row>
    <row r="1581">
      <c r="A1581" s="7">
        <f>IFERROR(__xludf.DUMMYFUNCTION("""COMPUTED_VALUE"""),39035.645833333336)</f>
        <v>39035.64583</v>
      </c>
      <c r="B1581" s="3">
        <f>IFERROR(__xludf.DUMMYFUNCTION("""COMPUTED_VALUE"""),3862.0)</f>
        <v>3862</v>
      </c>
      <c r="C1581" s="3">
        <f>IFERROR(__xludf.DUMMYFUNCTION("""COMPUTED_VALUE"""),3883.0)</f>
        <v>3883</v>
      </c>
      <c r="D1581" s="3">
        <f>IFERROR(__xludf.DUMMYFUNCTION("""COMPUTED_VALUE"""),3850.75)</f>
        <v>3850.75</v>
      </c>
      <c r="E1581" s="3">
        <f>IFERROR(__xludf.DUMMYFUNCTION("""COMPUTED_VALUE"""),3865.9)</f>
        <v>3865.9</v>
      </c>
      <c r="F1581" s="3">
        <f>IFERROR(__xludf.DUMMYFUNCTION("""COMPUTED_VALUE"""),0.0)</f>
        <v>0</v>
      </c>
    </row>
    <row r="1582">
      <c r="A1582" s="7">
        <f>IFERROR(__xludf.DUMMYFUNCTION("""COMPUTED_VALUE"""),39036.645833333336)</f>
        <v>39036.64583</v>
      </c>
      <c r="B1582" s="3">
        <f>IFERROR(__xludf.DUMMYFUNCTION("""COMPUTED_VALUE"""),3865.95)</f>
        <v>3865.95</v>
      </c>
      <c r="C1582" s="3">
        <f>IFERROR(__xludf.DUMMYFUNCTION("""COMPUTED_VALUE"""),3888.8)</f>
        <v>3888.8</v>
      </c>
      <c r="D1582" s="3">
        <f>IFERROR(__xludf.DUMMYFUNCTION("""COMPUTED_VALUE"""),3838.25)</f>
        <v>3838.25</v>
      </c>
      <c r="E1582" s="3">
        <f>IFERROR(__xludf.DUMMYFUNCTION("""COMPUTED_VALUE"""),3876.3)</f>
        <v>3876.3</v>
      </c>
      <c r="F1582" s="3">
        <f>IFERROR(__xludf.DUMMYFUNCTION("""COMPUTED_VALUE"""),0.0)</f>
        <v>0</v>
      </c>
    </row>
    <row r="1583">
      <c r="A1583" s="7">
        <f>IFERROR(__xludf.DUMMYFUNCTION("""COMPUTED_VALUE"""),39037.645833333336)</f>
        <v>39037.64583</v>
      </c>
      <c r="B1583" s="3">
        <f>IFERROR(__xludf.DUMMYFUNCTION("""COMPUTED_VALUE"""),3876.4)</f>
        <v>3876.4</v>
      </c>
      <c r="C1583" s="3">
        <f>IFERROR(__xludf.DUMMYFUNCTION("""COMPUTED_VALUE"""),3900.4)</f>
        <v>3900.4</v>
      </c>
      <c r="D1583" s="3">
        <f>IFERROR(__xludf.DUMMYFUNCTION("""COMPUTED_VALUE"""),3863.85)</f>
        <v>3863.85</v>
      </c>
      <c r="E1583" s="3">
        <f>IFERROR(__xludf.DUMMYFUNCTION("""COMPUTED_VALUE"""),3876.85)</f>
        <v>3876.85</v>
      </c>
      <c r="F1583" s="3">
        <f>IFERROR(__xludf.DUMMYFUNCTION("""COMPUTED_VALUE"""),0.0)</f>
        <v>0</v>
      </c>
    </row>
    <row r="1584">
      <c r="A1584" s="7">
        <f>IFERROR(__xludf.DUMMYFUNCTION("""COMPUTED_VALUE"""),39038.645833333336)</f>
        <v>39038.64583</v>
      </c>
      <c r="B1584" s="3">
        <f>IFERROR(__xludf.DUMMYFUNCTION("""COMPUTED_VALUE"""),3877.0)</f>
        <v>3877</v>
      </c>
      <c r="C1584" s="3">
        <f>IFERROR(__xludf.DUMMYFUNCTION("""COMPUTED_VALUE"""),3891.85)</f>
        <v>3891.85</v>
      </c>
      <c r="D1584" s="3">
        <f>IFERROR(__xludf.DUMMYFUNCTION("""COMPUTED_VALUE"""),3835.7)</f>
        <v>3835.7</v>
      </c>
      <c r="E1584" s="3">
        <f>IFERROR(__xludf.DUMMYFUNCTION("""COMPUTED_VALUE"""),3852.8)</f>
        <v>3852.8</v>
      </c>
      <c r="F1584" s="3">
        <f>IFERROR(__xludf.DUMMYFUNCTION("""COMPUTED_VALUE"""),0.0)</f>
        <v>0</v>
      </c>
    </row>
    <row r="1585">
      <c r="A1585" s="7">
        <f>IFERROR(__xludf.DUMMYFUNCTION("""COMPUTED_VALUE"""),39041.645833333336)</f>
        <v>39041.64583</v>
      </c>
      <c r="B1585" s="3">
        <f>IFERROR(__xludf.DUMMYFUNCTION("""COMPUTED_VALUE"""),3852.65)</f>
        <v>3852.65</v>
      </c>
      <c r="C1585" s="3">
        <f>IFERROR(__xludf.DUMMYFUNCTION("""COMPUTED_VALUE"""),3866.95)</f>
        <v>3866.95</v>
      </c>
      <c r="D1585" s="3">
        <f>IFERROR(__xludf.DUMMYFUNCTION("""COMPUTED_VALUE"""),3794.3)</f>
        <v>3794.3</v>
      </c>
      <c r="E1585" s="3">
        <f>IFERROR(__xludf.DUMMYFUNCTION("""COMPUTED_VALUE"""),3856.15)</f>
        <v>3856.15</v>
      </c>
      <c r="F1585" s="3">
        <f>IFERROR(__xludf.DUMMYFUNCTION("""COMPUTED_VALUE"""),0.0)</f>
        <v>0</v>
      </c>
    </row>
    <row r="1586">
      <c r="A1586" s="7">
        <f>IFERROR(__xludf.DUMMYFUNCTION("""COMPUTED_VALUE"""),39042.645833333336)</f>
        <v>39042.64583</v>
      </c>
      <c r="B1586" s="3">
        <f>IFERROR(__xludf.DUMMYFUNCTION("""COMPUTED_VALUE"""),3859.5)</f>
        <v>3859.5</v>
      </c>
      <c r="C1586" s="3">
        <f>IFERROR(__xludf.DUMMYFUNCTION("""COMPUTED_VALUE"""),3921.7)</f>
        <v>3921.7</v>
      </c>
      <c r="D1586" s="3">
        <f>IFERROR(__xludf.DUMMYFUNCTION("""COMPUTED_VALUE"""),3856.75)</f>
        <v>3856.75</v>
      </c>
      <c r="E1586" s="3">
        <f>IFERROR(__xludf.DUMMYFUNCTION("""COMPUTED_VALUE"""),3918.25)</f>
        <v>3918.25</v>
      </c>
      <c r="F1586" s="3">
        <f>IFERROR(__xludf.DUMMYFUNCTION("""COMPUTED_VALUE"""),0.0)</f>
        <v>0</v>
      </c>
    </row>
    <row r="1587">
      <c r="A1587" s="7">
        <f>IFERROR(__xludf.DUMMYFUNCTION("""COMPUTED_VALUE"""),39043.645833333336)</f>
        <v>39043.64583</v>
      </c>
      <c r="B1587" s="3">
        <f>IFERROR(__xludf.DUMMYFUNCTION("""COMPUTED_VALUE"""),3918.3)</f>
        <v>3918.3</v>
      </c>
      <c r="C1587" s="3">
        <f>IFERROR(__xludf.DUMMYFUNCTION("""COMPUTED_VALUE"""),3960.0)</f>
        <v>3960</v>
      </c>
      <c r="D1587" s="3">
        <f>IFERROR(__xludf.DUMMYFUNCTION("""COMPUTED_VALUE"""),3909.6)</f>
        <v>3909.6</v>
      </c>
      <c r="E1587" s="3">
        <f>IFERROR(__xludf.DUMMYFUNCTION("""COMPUTED_VALUE"""),3954.75)</f>
        <v>3954.75</v>
      </c>
      <c r="F1587" s="3">
        <f>IFERROR(__xludf.DUMMYFUNCTION("""COMPUTED_VALUE"""),0.0)</f>
        <v>0</v>
      </c>
    </row>
    <row r="1588">
      <c r="A1588" s="7">
        <f>IFERROR(__xludf.DUMMYFUNCTION("""COMPUTED_VALUE"""),39044.645833333336)</f>
        <v>39044.64583</v>
      </c>
      <c r="B1588" s="3">
        <f>IFERROR(__xludf.DUMMYFUNCTION("""COMPUTED_VALUE"""),3955.3)</f>
        <v>3955.3</v>
      </c>
      <c r="C1588" s="3">
        <f>IFERROR(__xludf.DUMMYFUNCTION("""COMPUTED_VALUE"""),3976.8)</f>
        <v>3976.8</v>
      </c>
      <c r="D1588" s="3">
        <f>IFERROR(__xludf.DUMMYFUNCTION("""COMPUTED_VALUE"""),3933.7)</f>
        <v>3933.7</v>
      </c>
      <c r="E1588" s="3">
        <f>IFERROR(__xludf.DUMMYFUNCTION("""COMPUTED_VALUE"""),3945.45)</f>
        <v>3945.45</v>
      </c>
      <c r="F1588" s="3">
        <f>IFERROR(__xludf.DUMMYFUNCTION("""COMPUTED_VALUE"""),0.0)</f>
        <v>0</v>
      </c>
    </row>
    <row r="1589">
      <c r="A1589" s="7">
        <f>IFERROR(__xludf.DUMMYFUNCTION("""COMPUTED_VALUE"""),39045.645833333336)</f>
        <v>39045.64583</v>
      </c>
      <c r="B1589" s="3">
        <f>IFERROR(__xludf.DUMMYFUNCTION("""COMPUTED_VALUE"""),3945.45)</f>
        <v>3945.45</v>
      </c>
      <c r="C1589" s="3">
        <f>IFERROR(__xludf.DUMMYFUNCTION("""COMPUTED_VALUE"""),3965.8)</f>
        <v>3965.8</v>
      </c>
      <c r="D1589" s="3">
        <f>IFERROR(__xludf.DUMMYFUNCTION("""COMPUTED_VALUE"""),3935.3)</f>
        <v>3935.3</v>
      </c>
      <c r="E1589" s="3">
        <f>IFERROR(__xludf.DUMMYFUNCTION("""COMPUTED_VALUE"""),3950.85)</f>
        <v>3950.85</v>
      </c>
      <c r="F1589" s="3">
        <f>IFERROR(__xludf.DUMMYFUNCTION("""COMPUTED_VALUE"""),0.0)</f>
        <v>0</v>
      </c>
    </row>
    <row r="1590">
      <c r="A1590" s="7">
        <f>IFERROR(__xludf.DUMMYFUNCTION("""COMPUTED_VALUE"""),39048.645833333336)</f>
        <v>39048.64583</v>
      </c>
      <c r="B1590" s="3">
        <f>IFERROR(__xludf.DUMMYFUNCTION("""COMPUTED_VALUE"""),3974.95)</f>
        <v>3974.95</v>
      </c>
      <c r="C1590" s="3">
        <f>IFERROR(__xludf.DUMMYFUNCTION("""COMPUTED_VALUE"""),3974.95)</f>
        <v>3974.95</v>
      </c>
      <c r="D1590" s="3">
        <f>IFERROR(__xludf.DUMMYFUNCTION("""COMPUTED_VALUE"""),3948.85)</f>
        <v>3948.85</v>
      </c>
      <c r="E1590" s="3">
        <f>IFERROR(__xludf.DUMMYFUNCTION("""COMPUTED_VALUE"""),3968.9)</f>
        <v>3968.9</v>
      </c>
      <c r="F1590" s="3">
        <f>IFERROR(__xludf.DUMMYFUNCTION("""COMPUTED_VALUE"""),0.0)</f>
        <v>0</v>
      </c>
    </row>
    <row r="1591">
      <c r="A1591" s="7">
        <f>IFERROR(__xludf.DUMMYFUNCTION("""COMPUTED_VALUE"""),39049.645833333336)</f>
        <v>39049.64583</v>
      </c>
      <c r="B1591" s="3">
        <f>IFERROR(__xludf.DUMMYFUNCTION("""COMPUTED_VALUE"""),3966.0)</f>
        <v>3966</v>
      </c>
      <c r="C1591" s="3">
        <f>IFERROR(__xludf.DUMMYFUNCTION("""COMPUTED_VALUE"""),3966.0)</f>
        <v>3966</v>
      </c>
      <c r="D1591" s="3">
        <f>IFERROR(__xludf.DUMMYFUNCTION("""COMPUTED_VALUE"""),3911.55)</f>
        <v>3911.55</v>
      </c>
      <c r="E1591" s="3">
        <f>IFERROR(__xludf.DUMMYFUNCTION("""COMPUTED_VALUE"""),3921.75)</f>
        <v>3921.75</v>
      </c>
      <c r="F1591" s="3">
        <f>IFERROR(__xludf.DUMMYFUNCTION("""COMPUTED_VALUE"""),0.0)</f>
        <v>0</v>
      </c>
    </row>
    <row r="1592">
      <c r="A1592" s="7">
        <f>IFERROR(__xludf.DUMMYFUNCTION("""COMPUTED_VALUE"""),39050.645833333336)</f>
        <v>39050.64583</v>
      </c>
      <c r="B1592" s="3">
        <f>IFERROR(__xludf.DUMMYFUNCTION("""COMPUTED_VALUE"""),3922.5)</f>
        <v>3922.5</v>
      </c>
      <c r="C1592" s="3">
        <f>IFERROR(__xludf.DUMMYFUNCTION("""COMPUTED_VALUE"""),3952.4)</f>
        <v>3952.4</v>
      </c>
      <c r="D1592" s="3">
        <f>IFERROR(__xludf.DUMMYFUNCTION("""COMPUTED_VALUE"""),3920.0)</f>
        <v>3920</v>
      </c>
      <c r="E1592" s="3">
        <f>IFERROR(__xludf.DUMMYFUNCTION("""COMPUTED_VALUE"""),3928.2)</f>
        <v>3928.2</v>
      </c>
      <c r="F1592" s="3">
        <f>IFERROR(__xludf.DUMMYFUNCTION("""COMPUTED_VALUE"""),0.0)</f>
        <v>0</v>
      </c>
    </row>
    <row r="1593">
      <c r="A1593" s="7">
        <f>IFERROR(__xludf.DUMMYFUNCTION("""COMPUTED_VALUE"""),39051.645833333336)</f>
        <v>39051.64583</v>
      </c>
      <c r="B1593" s="3">
        <f>IFERROR(__xludf.DUMMYFUNCTION("""COMPUTED_VALUE"""),3929.4)</f>
        <v>3929.4</v>
      </c>
      <c r="C1593" s="3">
        <f>IFERROR(__xludf.DUMMYFUNCTION("""COMPUTED_VALUE"""),3973.0)</f>
        <v>3973</v>
      </c>
      <c r="D1593" s="3">
        <f>IFERROR(__xludf.DUMMYFUNCTION("""COMPUTED_VALUE"""),3929.4)</f>
        <v>3929.4</v>
      </c>
      <c r="E1593" s="3">
        <f>IFERROR(__xludf.DUMMYFUNCTION("""COMPUTED_VALUE"""),3954.5)</f>
        <v>3954.5</v>
      </c>
      <c r="F1593" s="3">
        <f>IFERROR(__xludf.DUMMYFUNCTION("""COMPUTED_VALUE"""),0.0)</f>
        <v>0</v>
      </c>
    </row>
    <row r="1594">
      <c r="A1594" s="7">
        <f>IFERROR(__xludf.DUMMYFUNCTION("""COMPUTED_VALUE"""),39052.645833333336)</f>
        <v>39052.64583</v>
      </c>
      <c r="B1594" s="3">
        <f>IFERROR(__xludf.DUMMYFUNCTION("""COMPUTED_VALUE"""),3955.7)</f>
        <v>3955.7</v>
      </c>
      <c r="C1594" s="3">
        <f>IFERROR(__xludf.DUMMYFUNCTION("""COMPUTED_VALUE"""),4001.3)</f>
        <v>4001.3</v>
      </c>
      <c r="D1594" s="3">
        <f>IFERROR(__xludf.DUMMYFUNCTION("""COMPUTED_VALUE"""),3953.95)</f>
        <v>3953.95</v>
      </c>
      <c r="E1594" s="3">
        <f>IFERROR(__xludf.DUMMYFUNCTION("""COMPUTED_VALUE"""),3997.6)</f>
        <v>3997.6</v>
      </c>
      <c r="F1594" s="3">
        <f>IFERROR(__xludf.DUMMYFUNCTION("""COMPUTED_VALUE"""),0.0)</f>
        <v>0</v>
      </c>
    </row>
    <row r="1595">
      <c r="A1595" s="7">
        <f>IFERROR(__xludf.DUMMYFUNCTION("""COMPUTED_VALUE"""),39055.645833333336)</f>
        <v>39055.64583</v>
      </c>
      <c r="B1595" s="3">
        <f>IFERROR(__xludf.DUMMYFUNCTION("""COMPUTED_VALUE"""),4002.4)</f>
        <v>4002.4</v>
      </c>
      <c r="C1595" s="3">
        <f>IFERROR(__xludf.DUMMYFUNCTION("""COMPUTED_VALUE"""),4015.25)</f>
        <v>4015.25</v>
      </c>
      <c r="D1595" s="3">
        <f>IFERROR(__xludf.DUMMYFUNCTION("""COMPUTED_VALUE"""),3991.55)</f>
        <v>3991.55</v>
      </c>
      <c r="E1595" s="3">
        <f>IFERROR(__xludf.DUMMYFUNCTION("""COMPUTED_VALUE"""),4001.0)</f>
        <v>4001</v>
      </c>
      <c r="F1595" s="3">
        <f>IFERROR(__xludf.DUMMYFUNCTION("""COMPUTED_VALUE"""),0.0)</f>
        <v>0</v>
      </c>
    </row>
    <row r="1596">
      <c r="A1596" s="7">
        <f>IFERROR(__xludf.DUMMYFUNCTION("""COMPUTED_VALUE"""),39056.645833333336)</f>
        <v>39056.64583</v>
      </c>
      <c r="B1596" s="3">
        <f>IFERROR(__xludf.DUMMYFUNCTION("""COMPUTED_VALUE"""),4001.25)</f>
        <v>4001.25</v>
      </c>
      <c r="C1596" s="3">
        <f>IFERROR(__xludf.DUMMYFUNCTION("""COMPUTED_VALUE"""),4033.2)</f>
        <v>4033.2</v>
      </c>
      <c r="D1596" s="3">
        <f>IFERROR(__xludf.DUMMYFUNCTION("""COMPUTED_VALUE"""),4001.25)</f>
        <v>4001.25</v>
      </c>
      <c r="E1596" s="3">
        <f>IFERROR(__xludf.DUMMYFUNCTION("""COMPUTED_VALUE"""),4015.75)</f>
        <v>4015.75</v>
      </c>
      <c r="F1596" s="3">
        <f>IFERROR(__xludf.DUMMYFUNCTION("""COMPUTED_VALUE"""),0.0)</f>
        <v>0</v>
      </c>
    </row>
    <row r="1597">
      <c r="A1597" s="7">
        <f>IFERROR(__xludf.DUMMYFUNCTION("""COMPUTED_VALUE"""),39057.645833333336)</f>
        <v>39057.64583</v>
      </c>
      <c r="B1597" s="3">
        <f>IFERROR(__xludf.DUMMYFUNCTION("""COMPUTED_VALUE"""),4016.0)</f>
        <v>4016</v>
      </c>
      <c r="C1597" s="3">
        <f>IFERROR(__xludf.DUMMYFUNCTION("""COMPUTED_VALUE"""),4036.2)</f>
        <v>4036.2</v>
      </c>
      <c r="D1597" s="3">
        <f>IFERROR(__xludf.DUMMYFUNCTION("""COMPUTED_VALUE"""),3982.5)</f>
        <v>3982.5</v>
      </c>
      <c r="E1597" s="3">
        <f>IFERROR(__xludf.DUMMYFUNCTION("""COMPUTED_VALUE"""),4015.95)</f>
        <v>4015.95</v>
      </c>
      <c r="F1597" s="3">
        <f>IFERROR(__xludf.DUMMYFUNCTION("""COMPUTED_VALUE"""),0.0)</f>
        <v>0</v>
      </c>
    </row>
    <row r="1598">
      <c r="A1598" s="7">
        <f>IFERROR(__xludf.DUMMYFUNCTION("""COMPUTED_VALUE"""),39058.645833333336)</f>
        <v>39058.64583</v>
      </c>
      <c r="B1598" s="3">
        <f>IFERROR(__xludf.DUMMYFUNCTION("""COMPUTED_VALUE"""),4015.0)</f>
        <v>4015</v>
      </c>
      <c r="C1598" s="3">
        <f>IFERROR(__xludf.DUMMYFUNCTION("""COMPUTED_VALUE"""),4027.7)</f>
        <v>4027.7</v>
      </c>
      <c r="D1598" s="3">
        <f>IFERROR(__xludf.DUMMYFUNCTION("""COMPUTED_VALUE"""),4001.4)</f>
        <v>4001.4</v>
      </c>
      <c r="E1598" s="3">
        <f>IFERROR(__xludf.DUMMYFUNCTION("""COMPUTED_VALUE"""),4015.35)</f>
        <v>4015.35</v>
      </c>
      <c r="F1598" s="3">
        <f>IFERROR(__xludf.DUMMYFUNCTION("""COMPUTED_VALUE"""),0.0)</f>
        <v>0</v>
      </c>
    </row>
    <row r="1599">
      <c r="A1599" s="7">
        <f>IFERROR(__xludf.DUMMYFUNCTION("""COMPUTED_VALUE"""),39059.645833333336)</f>
        <v>39059.64583</v>
      </c>
      <c r="B1599" s="3">
        <f>IFERROR(__xludf.DUMMYFUNCTION("""COMPUTED_VALUE"""),4015.75)</f>
        <v>4015.75</v>
      </c>
      <c r="C1599" s="3">
        <f>IFERROR(__xludf.DUMMYFUNCTION("""COMPUTED_VALUE"""),4046.85)</f>
        <v>4046.85</v>
      </c>
      <c r="D1599" s="3">
        <f>IFERROR(__xludf.DUMMYFUNCTION("""COMPUTED_VALUE"""),3948.7)</f>
        <v>3948.7</v>
      </c>
      <c r="E1599" s="3">
        <f>IFERROR(__xludf.DUMMYFUNCTION("""COMPUTED_VALUE"""),3962.0)</f>
        <v>3962</v>
      </c>
      <c r="F1599" s="3">
        <f>IFERROR(__xludf.DUMMYFUNCTION("""COMPUTED_VALUE"""),0.0)</f>
        <v>0</v>
      </c>
    </row>
    <row r="1600">
      <c r="A1600" s="7">
        <f>IFERROR(__xludf.DUMMYFUNCTION("""COMPUTED_VALUE"""),39062.645833333336)</f>
        <v>39062.64583</v>
      </c>
      <c r="B1600" s="3">
        <f>IFERROR(__xludf.DUMMYFUNCTION("""COMPUTED_VALUE"""),3961.9)</f>
        <v>3961.9</v>
      </c>
      <c r="C1600" s="3">
        <f>IFERROR(__xludf.DUMMYFUNCTION("""COMPUTED_VALUE"""),3965.05)</f>
        <v>3965.05</v>
      </c>
      <c r="D1600" s="3">
        <f>IFERROR(__xludf.DUMMYFUNCTION("""COMPUTED_VALUE"""),3798.3)</f>
        <v>3798.3</v>
      </c>
      <c r="E1600" s="3">
        <f>IFERROR(__xludf.DUMMYFUNCTION("""COMPUTED_VALUE"""),3849.5)</f>
        <v>3849.5</v>
      </c>
      <c r="F1600" s="3">
        <f>IFERROR(__xludf.DUMMYFUNCTION("""COMPUTED_VALUE"""),0.0)</f>
        <v>0</v>
      </c>
    </row>
    <row r="1601">
      <c r="A1601" s="7">
        <f>IFERROR(__xludf.DUMMYFUNCTION("""COMPUTED_VALUE"""),39063.645833333336)</f>
        <v>39063.64583</v>
      </c>
      <c r="B1601" s="3">
        <f>IFERROR(__xludf.DUMMYFUNCTION("""COMPUTED_VALUE"""),3849.5)</f>
        <v>3849.5</v>
      </c>
      <c r="C1601" s="3">
        <f>IFERROR(__xludf.DUMMYFUNCTION("""COMPUTED_VALUE"""),3861.15)</f>
        <v>3861.15</v>
      </c>
      <c r="D1601" s="3">
        <f>IFERROR(__xludf.DUMMYFUNCTION("""COMPUTED_VALUE"""),3661.95)</f>
        <v>3661.95</v>
      </c>
      <c r="E1601" s="3">
        <f>IFERROR(__xludf.DUMMYFUNCTION("""COMPUTED_VALUE"""),3716.9)</f>
        <v>3716.9</v>
      </c>
      <c r="F1601" s="3">
        <f>IFERROR(__xludf.DUMMYFUNCTION("""COMPUTED_VALUE"""),0.0)</f>
        <v>0</v>
      </c>
    </row>
    <row r="1602">
      <c r="A1602" s="7">
        <f>IFERROR(__xludf.DUMMYFUNCTION("""COMPUTED_VALUE"""),39064.645833333336)</f>
        <v>39064.64583</v>
      </c>
      <c r="B1602" s="3">
        <f>IFERROR(__xludf.DUMMYFUNCTION("""COMPUTED_VALUE"""),3716.75)</f>
        <v>3716.75</v>
      </c>
      <c r="C1602" s="3">
        <f>IFERROR(__xludf.DUMMYFUNCTION("""COMPUTED_VALUE"""),3777.6)</f>
        <v>3777.6</v>
      </c>
      <c r="D1602" s="3">
        <f>IFERROR(__xludf.DUMMYFUNCTION("""COMPUTED_VALUE"""),3657.65)</f>
        <v>3657.65</v>
      </c>
      <c r="E1602" s="3">
        <f>IFERROR(__xludf.DUMMYFUNCTION("""COMPUTED_VALUE"""),3765.2)</f>
        <v>3765.2</v>
      </c>
      <c r="F1602" s="3">
        <f>IFERROR(__xludf.DUMMYFUNCTION("""COMPUTED_VALUE"""),0.0)</f>
        <v>0</v>
      </c>
    </row>
    <row r="1603">
      <c r="A1603" s="7">
        <f>IFERROR(__xludf.DUMMYFUNCTION("""COMPUTED_VALUE"""),39065.645833333336)</f>
        <v>39065.64583</v>
      </c>
      <c r="B1603" s="3">
        <f>IFERROR(__xludf.DUMMYFUNCTION("""COMPUTED_VALUE"""),3765.7)</f>
        <v>3765.7</v>
      </c>
      <c r="C1603" s="3">
        <f>IFERROR(__xludf.DUMMYFUNCTION("""COMPUTED_VALUE"""),3855.05)</f>
        <v>3855.05</v>
      </c>
      <c r="D1603" s="3">
        <f>IFERROR(__xludf.DUMMYFUNCTION("""COMPUTED_VALUE"""),3763.5)</f>
        <v>3763.5</v>
      </c>
      <c r="E1603" s="3">
        <f>IFERROR(__xludf.DUMMYFUNCTION("""COMPUTED_VALUE"""),3843.05)</f>
        <v>3843.05</v>
      </c>
      <c r="F1603" s="3">
        <f>IFERROR(__xludf.DUMMYFUNCTION("""COMPUTED_VALUE"""),0.0)</f>
        <v>0</v>
      </c>
    </row>
    <row r="1604">
      <c r="A1604" s="7">
        <f>IFERROR(__xludf.DUMMYFUNCTION("""COMPUTED_VALUE"""),39066.645833333336)</f>
        <v>39066.64583</v>
      </c>
      <c r="B1604" s="3">
        <f>IFERROR(__xludf.DUMMYFUNCTION("""COMPUTED_VALUE"""),3849.6)</f>
        <v>3849.6</v>
      </c>
      <c r="C1604" s="3">
        <f>IFERROR(__xludf.DUMMYFUNCTION("""COMPUTED_VALUE"""),3908.45)</f>
        <v>3908.45</v>
      </c>
      <c r="D1604" s="3">
        <f>IFERROR(__xludf.DUMMYFUNCTION("""COMPUTED_VALUE"""),3845.45)</f>
        <v>3845.45</v>
      </c>
      <c r="E1604" s="3">
        <f>IFERROR(__xludf.DUMMYFUNCTION("""COMPUTED_VALUE"""),3888.65)</f>
        <v>3888.65</v>
      </c>
      <c r="F1604" s="3">
        <f>IFERROR(__xludf.DUMMYFUNCTION("""COMPUTED_VALUE"""),0.0)</f>
        <v>0</v>
      </c>
    </row>
    <row r="1605">
      <c r="A1605" s="7">
        <f>IFERROR(__xludf.DUMMYFUNCTION("""COMPUTED_VALUE"""),39069.645833333336)</f>
        <v>39069.64583</v>
      </c>
      <c r="B1605" s="3">
        <f>IFERROR(__xludf.DUMMYFUNCTION("""COMPUTED_VALUE"""),3888.2)</f>
        <v>3888.2</v>
      </c>
      <c r="C1605" s="3">
        <f>IFERROR(__xludf.DUMMYFUNCTION("""COMPUTED_VALUE"""),3934.0)</f>
        <v>3934</v>
      </c>
      <c r="D1605" s="3">
        <f>IFERROR(__xludf.DUMMYFUNCTION("""COMPUTED_VALUE"""),3828.15)</f>
        <v>3828.15</v>
      </c>
      <c r="E1605" s="3">
        <f>IFERROR(__xludf.DUMMYFUNCTION("""COMPUTED_VALUE"""),3928.75)</f>
        <v>3928.75</v>
      </c>
      <c r="F1605" s="3">
        <f>IFERROR(__xludf.DUMMYFUNCTION("""COMPUTED_VALUE"""),0.0)</f>
        <v>0</v>
      </c>
    </row>
    <row r="1606">
      <c r="A1606" s="7">
        <f>IFERROR(__xludf.DUMMYFUNCTION("""COMPUTED_VALUE"""),39070.645833333336)</f>
        <v>39070.64583</v>
      </c>
      <c r="B1606" s="3">
        <f>IFERROR(__xludf.DUMMYFUNCTION("""COMPUTED_VALUE"""),3928.85)</f>
        <v>3928.85</v>
      </c>
      <c r="C1606" s="3">
        <f>IFERROR(__xludf.DUMMYFUNCTION("""COMPUTED_VALUE"""),3931.9)</f>
        <v>3931.9</v>
      </c>
      <c r="D1606" s="3">
        <f>IFERROR(__xludf.DUMMYFUNCTION("""COMPUTED_VALUE"""),3783.45)</f>
        <v>3783.45</v>
      </c>
      <c r="E1606" s="3">
        <f>IFERROR(__xludf.DUMMYFUNCTION("""COMPUTED_VALUE"""),3832.0)</f>
        <v>3832</v>
      </c>
      <c r="F1606" s="3">
        <f>IFERROR(__xludf.DUMMYFUNCTION("""COMPUTED_VALUE"""),0.0)</f>
        <v>0</v>
      </c>
    </row>
    <row r="1607">
      <c r="A1607" s="7">
        <f>IFERROR(__xludf.DUMMYFUNCTION("""COMPUTED_VALUE"""),39071.645833333336)</f>
        <v>39071.64583</v>
      </c>
      <c r="B1607" s="3">
        <f>IFERROR(__xludf.DUMMYFUNCTION("""COMPUTED_VALUE"""),3845.6)</f>
        <v>3845.6</v>
      </c>
      <c r="C1607" s="3">
        <f>IFERROR(__xludf.DUMMYFUNCTION("""COMPUTED_VALUE"""),3885.3)</f>
        <v>3885.3</v>
      </c>
      <c r="D1607" s="3">
        <f>IFERROR(__xludf.DUMMYFUNCTION("""COMPUTED_VALUE"""),3787.65)</f>
        <v>3787.65</v>
      </c>
      <c r="E1607" s="3">
        <f>IFERROR(__xludf.DUMMYFUNCTION("""COMPUTED_VALUE"""),3815.55)</f>
        <v>3815.55</v>
      </c>
      <c r="F1607" s="3">
        <f>IFERROR(__xludf.DUMMYFUNCTION("""COMPUTED_VALUE"""),0.0)</f>
        <v>0</v>
      </c>
    </row>
    <row r="1608">
      <c r="A1608" s="7">
        <f>IFERROR(__xludf.DUMMYFUNCTION("""COMPUTED_VALUE"""),39072.645833333336)</f>
        <v>39072.64583</v>
      </c>
      <c r="B1608" s="3">
        <f>IFERROR(__xludf.DUMMYFUNCTION("""COMPUTED_VALUE"""),3814.75)</f>
        <v>3814.75</v>
      </c>
      <c r="C1608" s="3">
        <f>IFERROR(__xludf.DUMMYFUNCTION("""COMPUTED_VALUE"""),3851.2)</f>
        <v>3851.2</v>
      </c>
      <c r="D1608" s="3">
        <f>IFERROR(__xludf.DUMMYFUNCTION("""COMPUTED_VALUE"""),3768.8)</f>
        <v>3768.8</v>
      </c>
      <c r="E1608" s="3">
        <f>IFERROR(__xludf.DUMMYFUNCTION("""COMPUTED_VALUE"""),3833.5)</f>
        <v>3833.5</v>
      </c>
      <c r="F1608" s="3">
        <f>IFERROR(__xludf.DUMMYFUNCTION("""COMPUTED_VALUE"""),0.0)</f>
        <v>0</v>
      </c>
    </row>
    <row r="1609">
      <c r="A1609" s="7">
        <f>IFERROR(__xludf.DUMMYFUNCTION("""COMPUTED_VALUE"""),39073.645833333336)</f>
        <v>39073.64583</v>
      </c>
      <c r="B1609" s="3">
        <f>IFERROR(__xludf.DUMMYFUNCTION("""COMPUTED_VALUE"""),3834.9)</f>
        <v>3834.9</v>
      </c>
      <c r="C1609" s="3">
        <f>IFERROR(__xludf.DUMMYFUNCTION("""COMPUTED_VALUE"""),3880.15)</f>
        <v>3880.15</v>
      </c>
      <c r="D1609" s="3">
        <f>IFERROR(__xludf.DUMMYFUNCTION("""COMPUTED_VALUE"""),3823.4)</f>
        <v>3823.4</v>
      </c>
      <c r="E1609" s="3">
        <f>IFERROR(__xludf.DUMMYFUNCTION("""COMPUTED_VALUE"""),3871.15)</f>
        <v>3871.15</v>
      </c>
      <c r="F1609" s="3">
        <f>IFERROR(__xludf.DUMMYFUNCTION("""COMPUTED_VALUE"""),0.0)</f>
        <v>0</v>
      </c>
    </row>
    <row r="1610">
      <c r="A1610" s="7">
        <f>IFERROR(__xludf.DUMMYFUNCTION("""COMPUTED_VALUE"""),39077.645833333336)</f>
        <v>39077.64583</v>
      </c>
      <c r="B1610" s="3">
        <f>IFERROR(__xludf.DUMMYFUNCTION("""COMPUTED_VALUE"""),3871.3)</f>
        <v>3871.3</v>
      </c>
      <c r="C1610" s="3">
        <f>IFERROR(__xludf.DUMMYFUNCTION("""COMPUTED_VALUE"""),3946.1)</f>
        <v>3946.1</v>
      </c>
      <c r="D1610" s="3">
        <f>IFERROR(__xludf.DUMMYFUNCTION("""COMPUTED_VALUE"""),3870.45)</f>
        <v>3870.45</v>
      </c>
      <c r="E1610" s="3">
        <f>IFERROR(__xludf.DUMMYFUNCTION("""COMPUTED_VALUE"""),3940.5)</f>
        <v>3940.5</v>
      </c>
      <c r="F1610" s="3">
        <f>IFERROR(__xludf.DUMMYFUNCTION("""COMPUTED_VALUE"""),0.0)</f>
        <v>0</v>
      </c>
    </row>
    <row r="1611">
      <c r="A1611" s="7">
        <f>IFERROR(__xludf.DUMMYFUNCTION("""COMPUTED_VALUE"""),39078.645833333336)</f>
        <v>39078.64583</v>
      </c>
      <c r="B1611" s="3">
        <f>IFERROR(__xludf.DUMMYFUNCTION("""COMPUTED_VALUE"""),3942.75)</f>
        <v>3942.75</v>
      </c>
      <c r="C1611" s="3">
        <f>IFERROR(__xludf.DUMMYFUNCTION("""COMPUTED_VALUE"""),3986.75)</f>
        <v>3986.75</v>
      </c>
      <c r="D1611" s="3">
        <f>IFERROR(__xludf.DUMMYFUNCTION("""COMPUTED_VALUE"""),3937.7)</f>
        <v>3937.7</v>
      </c>
      <c r="E1611" s="3">
        <f>IFERROR(__xludf.DUMMYFUNCTION("""COMPUTED_VALUE"""),3974.25)</f>
        <v>3974.25</v>
      </c>
      <c r="F1611" s="3">
        <f>IFERROR(__xludf.DUMMYFUNCTION("""COMPUTED_VALUE"""),0.0)</f>
        <v>0</v>
      </c>
    </row>
    <row r="1612">
      <c r="A1612" s="7">
        <f>IFERROR(__xludf.DUMMYFUNCTION("""COMPUTED_VALUE"""),39079.645833333336)</f>
        <v>39079.64583</v>
      </c>
      <c r="B1612" s="3">
        <f>IFERROR(__xludf.DUMMYFUNCTION("""COMPUTED_VALUE"""),3974.2)</f>
        <v>3974.2</v>
      </c>
      <c r="C1612" s="3">
        <f>IFERROR(__xludf.DUMMYFUNCTION("""COMPUTED_VALUE"""),3997.35)</f>
        <v>3997.35</v>
      </c>
      <c r="D1612" s="3">
        <f>IFERROR(__xludf.DUMMYFUNCTION("""COMPUTED_VALUE"""),3961.95)</f>
        <v>3961.95</v>
      </c>
      <c r="E1612" s="3">
        <f>IFERROR(__xludf.DUMMYFUNCTION("""COMPUTED_VALUE"""),3970.55)</f>
        <v>3970.55</v>
      </c>
      <c r="F1612" s="3">
        <f>IFERROR(__xludf.DUMMYFUNCTION("""COMPUTED_VALUE"""),0.0)</f>
        <v>0</v>
      </c>
    </row>
    <row r="1613">
      <c r="A1613" s="7">
        <f>IFERROR(__xludf.DUMMYFUNCTION("""COMPUTED_VALUE"""),39080.645833333336)</f>
        <v>39080.64583</v>
      </c>
      <c r="B1613" s="3">
        <f>IFERROR(__xludf.DUMMYFUNCTION("""COMPUTED_VALUE"""),3971.65)</f>
        <v>3971.65</v>
      </c>
      <c r="C1613" s="3">
        <f>IFERROR(__xludf.DUMMYFUNCTION("""COMPUTED_VALUE"""),3991.6)</f>
        <v>3991.6</v>
      </c>
      <c r="D1613" s="3">
        <f>IFERROR(__xludf.DUMMYFUNCTION("""COMPUTED_VALUE"""),3960.45)</f>
        <v>3960.45</v>
      </c>
      <c r="E1613" s="3">
        <f>IFERROR(__xludf.DUMMYFUNCTION("""COMPUTED_VALUE"""),3966.4)</f>
        <v>3966.4</v>
      </c>
      <c r="F1613" s="3">
        <f>IFERROR(__xludf.DUMMYFUNCTION("""COMPUTED_VALUE"""),0.0)</f>
        <v>0</v>
      </c>
    </row>
    <row r="1614">
      <c r="A1614" s="7">
        <f>IFERROR(__xludf.DUMMYFUNCTION("""COMPUTED_VALUE"""),39084.645833333336)</f>
        <v>39084.64583</v>
      </c>
      <c r="B1614" s="3">
        <f>IFERROR(__xludf.DUMMYFUNCTION("""COMPUTED_VALUE"""),3966.25)</f>
        <v>3966.25</v>
      </c>
      <c r="C1614" s="3">
        <f>IFERROR(__xludf.DUMMYFUNCTION("""COMPUTED_VALUE"""),4016.65)</f>
        <v>4016.65</v>
      </c>
      <c r="D1614" s="3">
        <f>IFERROR(__xludf.DUMMYFUNCTION("""COMPUTED_VALUE"""),3964.95)</f>
        <v>3964.95</v>
      </c>
      <c r="E1614" s="3">
        <f>IFERROR(__xludf.DUMMYFUNCTION("""COMPUTED_VALUE"""),4007.4)</f>
        <v>4007.4</v>
      </c>
      <c r="F1614" s="3">
        <f>IFERROR(__xludf.DUMMYFUNCTION("""COMPUTED_VALUE"""),0.0)</f>
        <v>0</v>
      </c>
    </row>
    <row r="1615">
      <c r="A1615" s="7">
        <f>IFERROR(__xludf.DUMMYFUNCTION("""COMPUTED_VALUE"""),39085.645833333336)</f>
        <v>39085.64583</v>
      </c>
      <c r="B1615" s="3">
        <f>IFERROR(__xludf.DUMMYFUNCTION("""COMPUTED_VALUE"""),4007.7)</f>
        <v>4007.7</v>
      </c>
      <c r="C1615" s="3">
        <f>IFERROR(__xludf.DUMMYFUNCTION("""COMPUTED_VALUE"""),4029.8)</f>
        <v>4029.8</v>
      </c>
      <c r="D1615" s="3">
        <f>IFERROR(__xludf.DUMMYFUNCTION("""COMPUTED_VALUE"""),3985.0)</f>
        <v>3985</v>
      </c>
      <c r="E1615" s="3">
        <f>IFERROR(__xludf.DUMMYFUNCTION("""COMPUTED_VALUE"""),4024.05)</f>
        <v>4024.05</v>
      </c>
      <c r="F1615" s="3">
        <f>IFERROR(__xludf.DUMMYFUNCTION("""COMPUTED_VALUE"""),0.0)</f>
        <v>0</v>
      </c>
    </row>
    <row r="1616">
      <c r="A1616" s="7">
        <f>IFERROR(__xludf.DUMMYFUNCTION("""COMPUTED_VALUE"""),39086.645833333336)</f>
        <v>39086.64583</v>
      </c>
      <c r="B1616" s="3">
        <f>IFERROR(__xludf.DUMMYFUNCTION("""COMPUTED_VALUE"""),4036.95)</f>
        <v>4036.95</v>
      </c>
      <c r="C1616" s="3">
        <f>IFERROR(__xludf.DUMMYFUNCTION("""COMPUTED_VALUE"""),4039.9)</f>
        <v>4039.9</v>
      </c>
      <c r="D1616" s="3">
        <f>IFERROR(__xludf.DUMMYFUNCTION("""COMPUTED_VALUE"""),3980.0)</f>
        <v>3980</v>
      </c>
      <c r="E1616" s="3">
        <f>IFERROR(__xludf.DUMMYFUNCTION("""COMPUTED_VALUE"""),3982.9)</f>
        <v>3982.9</v>
      </c>
      <c r="F1616" s="3">
        <f>IFERROR(__xludf.DUMMYFUNCTION("""COMPUTED_VALUE"""),0.0)</f>
        <v>0</v>
      </c>
    </row>
    <row r="1617">
      <c r="A1617" s="7">
        <f>IFERROR(__xludf.DUMMYFUNCTION("""COMPUTED_VALUE"""),39087.645833333336)</f>
        <v>39087.64583</v>
      </c>
      <c r="B1617" s="3">
        <f>IFERROR(__xludf.DUMMYFUNCTION("""COMPUTED_VALUE"""),3993.1)</f>
        <v>3993.1</v>
      </c>
      <c r="C1617" s="3">
        <f>IFERROR(__xludf.DUMMYFUNCTION("""COMPUTED_VALUE"""),4011.4)</f>
        <v>4011.4</v>
      </c>
      <c r="D1617" s="3">
        <f>IFERROR(__xludf.DUMMYFUNCTION("""COMPUTED_VALUE"""),3969.95)</f>
        <v>3969.95</v>
      </c>
      <c r="E1617" s="3">
        <f>IFERROR(__xludf.DUMMYFUNCTION("""COMPUTED_VALUE"""),3985.8)</f>
        <v>3985.8</v>
      </c>
      <c r="F1617" s="3">
        <f>IFERROR(__xludf.DUMMYFUNCTION("""COMPUTED_VALUE"""),0.0)</f>
        <v>0</v>
      </c>
    </row>
    <row r="1618">
      <c r="A1618" s="7">
        <f>IFERROR(__xludf.DUMMYFUNCTION("""COMPUTED_VALUE"""),39090.645833333336)</f>
        <v>39090.64583</v>
      </c>
      <c r="B1618" s="3">
        <f>IFERROR(__xludf.DUMMYFUNCTION("""COMPUTED_VALUE"""),3980.3)</f>
        <v>3980.3</v>
      </c>
      <c r="C1618" s="3">
        <f>IFERROR(__xludf.DUMMYFUNCTION("""COMPUTED_VALUE"""),3980.3)</f>
        <v>3980.3</v>
      </c>
      <c r="D1618" s="3">
        <f>IFERROR(__xludf.DUMMYFUNCTION("""COMPUTED_VALUE"""),3913.35)</f>
        <v>3913.35</v>
      </c>
      <c r="E1618" s="3">
        <f>IFERROR(__xludf.DUMMYFUNCTION("""COMPUTED_VALUE"""),3929.8)</f>
        <v>3929.8</v>
      </c>
      <c r="F1618" s="3">
        <f>IFERROR(__xludf.DUMMYFUNCTION("""COMPUTED_VALUE"""),0.0)</f>
        <v>0</v>
      </c>
    </row>
    <row r="1619">
      <c r="A1619" s="7">
        <f>IFERROR(__xludf.DUMMYFUNCTION("""COMPUTED_VALUE"""),39091.645833333336)</f>
        <v>39091.64583</v>
      </c>
      <c r="B1619" s="3">
        <f>IFERROR(__xludf.DUMMYFUNCTION("""COMPUTED_VALUE"""),3947.3)</f>
        <v>3947.3</v>
      </c>
      <c r="C1619" s="3">
        <f>IFERROR(__xludf.DUMMYFUNCTION("""COMPUTED_VALUE"""),3963.55)</f>
        <v>3963.55</v>
      </c>
      <c r="D1619" s="3">
        <f>IFERROR(__xludf.DUMMYFUNCTION("""COMPUTED_VALUE"""),3890.8)</f>
        <v>3890.8</v>
      </c>
      <c r="E1619" s="3">
        <f>IFERROR(__xludf.DUMMYFUNCTION("""COMPUTED_VALUE"""),3920.0)</f>
        <v>3920</v>
      </c>
      <c r="F1619" s="3">
        <f>IFERROR(__xludf.DUMMYFUNCTION("""COMPUTED_VALUE"""),0.0)</f>
        <v>0</v>
      </c>
    </row>
    <row r="1620">
      <c r="A1620" s="7">
        <f>IFERROR(__xludf.DUMMYFUNCTION("""COMPUTED_VALUE"""),39092.645833333336)</f>
        <v>39092.64583</v>
      </c>
      <c r="B1620" s="3">
        <f>IFERROR(__xludf.DUMMYFUNCTION("""COMPUTED_VALUE"""),3905.95)</f>
        <v>3905.95</v>
      </c>
      <c r="C1620" s="3">
        <f>IFERROR(__xludf.DUMMYFUNCTION("""COMPUTED_VALUE"""),3909.4)</f>
        <v>3909.4</v>
      </c>
      <c r="D1620" s="3">
        <f>IFERROR(__xludf.DUMMYFUNCTION("""COMPUTED_VALUE"""),3841.85)</f>
        <v>3841.85</v>
      </c>
      <c r="E1620" s="3">
        <f>IFERROR(__xludf.DUMMYFUNCTION("""COMPUTED_VALUE"""),3854.3)</f>
        <v>3854.3</v>
      </c>
      <c r="F1620" s="3">
        <f>IFERROR(__xludf.DUMMYFUNCTION("""COMPUTED_VALUE"""),0.0)</f>
        <v>0</v>
      </c>
    </row>
    <row r="1621">
      <c r="A1621" s="7">
        <f>IFERROR(__xludf.DUMMYFUNCTION("""COMPUTED_VALUE"""),39093.645833333336)</f>
        <v>39093.64583</v>
      </c>
      <c r="B1621" s="3">
        <f>IFERROR(__xludf.DUMMYFUNCTION("""COMPUTED_VALUE"""),3853.65)</f>
        <v>3853.65</v>
      </c>
      <c r="C1621" s="3">
        <f>IFERROR(__xludf.DUMMYFUNCTION("""COMPUTED_VALUE"""),3952.6)</f>
        <v>3952.6</v>
      </c>
      <c r="D1621" s="3">
        <f>IFERROR(__xludf.DUMMYFUNCTION("""COMPUTED_VALUE"""),3837.2)</f>
        <v>3837.2</v>
      </c>
      <c r="E1621" s="3">
        <f>IFERROR(__xludf.DUMMYFUNCTION("""COMPUTED_VALUE"""),3950.45)</f>
        <v>3950.45</v>
      </c>
      <c r="F1621" s="3">
        <f>IFERROR(__xludf.DUMMYFUNCTION("""COMPUTED_VALUE"""),0.0)</f>
        <v>0</v>
      </c>
    </row>
    <row r="1622">
      <c r="A1622" s="7">
        <f>IFERROR(__xludf.DUMMYFUNCTION("""COMPUTED_VALUE"""),39094.645833333336)</f>
        <v>39094.64583</v>
      </c>
      <c r="B1622" s="3">
        <f>IFERROR(__xludf.DUMMYFUNCTION("""COMPUTED_VALUE"""),3973.05)</f>
        <v>3973.05</v>
      </c>
      <c r="C1622" s="3">
        <f>IFERROR(__xludf.DUMMYFUNCTION("""COMPUTED_VALUE"""),4057.05)</f>
        <v>4057.05</v>
      </c>
      <c r="D1622" s="3">
        <f>IFERROR(__xludf.DUMMYFUNCTION("""COMPUTED_VALUE"""),3973.05)</f>
        <v>3973.05</v>
      </c>
      <c r="E1622" s="3">
        <f>IFERROR(__xludf.DUMMYFUNCTION("""COMPUTED_VALUE"""),4056.35)</f>
        <v>4056.35</v>
      </c>
      <c r="F1622" s="3">
        <f>IFERROR(__xludf.DUMMYFUNCTION("""COMPUTED_VALUE"""),0.0)</f>
        <v>0</v>
      </c>
    </row>
    <row r="1623">
      <c r="A1623" s="7">
        <f>IFERROR(__xludf.DUMMYFUNCTION("""COMPUTED_VALUE"""),39097.645833333336)</f>
        <v>39097.64583</v>
      </c>
      <c r="B1623" s="3">
        <f>IFERROR(__xludf.DUMMYFUNCTION("""COMPUTED_VALUE"""),4065.55)</f>
        <v>4065.55</v>
      </c>
      <c r="C1623" s="3">
        <f>IFERROR(__xludf.DUMMYFUNCTION("""COMPUTED_VALUE"""),4098.05)</f>
        <v>4098.05</v>
      </c>
      <c r="D1623" s="3">
        <f>IFERROR(__xludf.DUMMYFUNCTION("""COMPUTED_VALUE"""),4065.55)</f>
        <v>4065.55</v>
      </c>
      <c r="E1623" s="3">
        <f>IFERROR(__xludf.DUMMYFUNCTION("""COMPUTED_VALUE"""),4077.15)</f>
        <v>4077.15</v>
      </c>
      <c r="F1623" s="3">
        <f>IFERROR(__xludf.DUMMYFUNCTION("""COMPUTED_VALUE"""),0.0)</f>
        <v>0</v>
      </c>
    </row>
    <row r="1624">
      <c r="A1624" s="7">
        <f>IFERROR(__xludf.DUMMYFUNCTION("""COMPUTED_VALUE"""),39098.645833333336)</f>
        <v>39098.64583</v>
      </c>
      <c r="B1624" s="3">
        <f>IFERROR(__xludf.DUMMYFUNCTION("""COMPUTED_VALUE"""),4103.1)</f>
        <v>4103.1</v>
      </c>
      <c r="C1624" s="3">
        <f>IFERROR(__xludf.DUMMYFUNCTION("""COMPUTED_VALUE"""),4106.35)</f>
        <v>4106.35</v>
      </c>
      <c r="D1624" s="3">
        <f>IFERROR(__xludf.DUMMYFUNCTION("""COMPUTED_VALUE"""),4068.2)</f>
        <v>4068.2</v>
      </c>
      <c r="E1624" s="3">
        <f>IFERROR(__xludf.DUMMYFUNCTION("""COMPUTED_VALUE"""),4085.15)</f>
        <v>4085.15</v>
      </c>
      <c r="F1624" s="3">
        <f>IFERROR(__xludf.DUMMYFUNCTION("""COMPUTED_VALUE"""),0.0)</f>
        <v>0</v>
      </c>
    </row>
    <row r="1625">
      <c r="A1625" s="7">
        <f>IFERROR(__xludf.DUMMYFUNCTION("""COMPUTED_VALUE"""),39099.645833333336)</f>
        <v>39099.64583</v>
      </c>
      <c r="B1625" s="3">
        <f>IFERROR(__xludf.DUMMYFUNCTION("""COMPUTED_VALUE"""),4087.05)</f>
        <v>4087.05</v>
      </c>
      <c r="C1625" s="3">
        <f>IFERROR(__xludf.DUMMYFUNCTION("""COMPUTED_VALUE"""),4096.6)</f>
        <v>4096.6</v>
      </c>
      <c r="D1625" s="3">
        <f>IFERROR(__xludf.DUMMYFUNCTION("""COMPUTED_VALUE"""),4072.2)</f>
        <v>4072.2</v>
      </c>
      <c r="E1625" s="3">
        <f>IFERROR(__xludf.DUMMYFUNCTION("""COMPUTED_VALUE"""),4076.35)</f>
        <v>4076.35</v>
      </c>
      <c r="F1625" s="3">
        <f>IFERROR(__xludf.DUMMYFUNCTION("""COMPUTED_VALUE"""),0.0)</f>
        <v>0</v>
      </c>
    </row>
    <row r="1626">
      <c r="A1626" s="7">
        <f>IFERROR(__xludf.DUMMYFUNCTION("""COMPUTED_VALUE"""),39100.645833333336)</f>
        <v>39100.64583</v>
      </c>
      <c r="B1626" s="3">
        <f>IFERROR(__xludf.DUMMYFUNCTION("""COMPUTED_VALUE"""),4084.45)</f>
        <v>4084.45</v>
      </c>
      <c r="C1626" s="3">
        <f>IFERROR(__xludf.DUMMYFUNCTION("""COMPUTED_VALUE"""),4140.2)</f>
        <v>4140.2</v>
      </c>
      <c r="D1626" s="3">
        <f>IFERROR(__xludf.DUMMYFUNCTION("""COMPUTED_VALUE"""),4080.45)</f>
        <v>4080.45</v>
      </c>
      <c r="E1626" s="3">
        <f>IFERROR(__xludf.DUMMYFUNCTION("""COMPUTED_VALUE"""),4112.15)</f>
        <v>4112.15</v>
      </c>
      <c r="F1626" s="3">
        <f>IFERROR(__xludf.DUMMYFUNCTION("""COMPUTED_VALUE"""),0.0)</f>
        <v>0</v>
      </c>
    </row>
    <row r="1627">
      <c r="A1627" s="7">
        <f>IFERROR(__xludf.DUMMYFUNCTION("""COMPUTED_VALUE"""),39101.645833333336)</f>
        <v>39101.64583</v>
      </c>
      <c r="B1627" s="3">
        <f>IFERROR(__xludf.DUMMYFUNCTION("""COMPUTED_VALUE"""),4124.35)</f>
        <v>4124.35</v>
      </c>
      <c r="C1627" s="3">
        <f>IFERROR(__xludf.DUMMYFUNCTION("""COMPUTED_VALUE"""),4136.1)</f>
        <v>4136.1</v>
      </c>
      <c r="D1627" s="3">
        <f>IFERROR(__xludf.DUMMYFUNCTION("""COMPUTED_VALUE"""),4058.35)</f>
        <v>4058.35</v>
      </c>
      <c r="E1627" s="3">
        <f>IFERROR(__xludf.DUMMYFUNCTION("""COMPUTED_VALUE"""),4090.5)</f>
        <v>4090.5</v>
      </c>
      <c r="F1627" s="3">
        <f>IFERROR(__xludf.DUMMYFUNCTION("""COMPUTED_VALUE"""),0.0)</f>
        <v>0</v>
      </c>
    </row>
    <row r="1628">
      <c r="A1628" s="7">
        <f>IFERROR(__xludf.DUMMYFUNCTION("""COMPUTED_VALUE"""),39104.645833333336)</f>
        <v>39104.64583</v>
      </c>
      <c r="B1628" s="3">
        <f>IFERROR(__xludf.DUMMYFUNCTION("""COMPUTED_VALUE"""),4106.5)</f>
        <v>4106.5</v>
      </c>
      <c r="C1628" s="3">
        <f>IFERROR(__xludf.DUMMYFUNCTION("""COMPUTED_VALUE"""),4114.1)</f>
        <v>4114.1</v>
      </c>
      <c r="D1628" s="3">
        <f>IFERROR(__xludf.DUMMYFUNCTION("""COMPUTED_VALUE"""),4070.05)</f>
        <v>4070.05</v>
      </c>
      <c r="E1628" s="3">
        <f>IFERROR(__xludf.DUMMYFUNCTION("""COMPUTED_VALUE"""),4101.9)</f>
        <v>4101.9</v>
      </c>
      <c r="F1628" s="3">
        <f>IFERROR(__xludf.DUMMYFUNCTION("""COMPUTED_VALUE"""),0.0)</f>
        <v>0</v>
      </c>
    </row>
    <row r="1629">
      <c r="A1629" s="7">
        <f>IFERROR(__xludf.DUMMYFUNCTION("""COMPUTED_VALUE"""),39105.645833333336)</f>
        <v>39105.64583</v>
      </c>
      <c r="B1629" s="3">
        <f>IFERROR(__xludf.DUMMYFUNCTION("""COMPUTED_VALUE"""),4099.25)</f>
        <v>4099.25</v>
      </c>
      <c r="C1629" s="3">
        <f>IFERROR(__xludf.DUMMYFUNCTION("""COMPUTED_VALUE"""),4100.45)</f>
        <v>4100.45</v>
      </c>
      <c r="D1629" s="3">
        <f>IFERROR(__xludf.DUMMYFUNCTION("""COMPUTED_VALUE"""),4057.05)</f>
        <v>4057.05</v>
      </c>
      <c r="E1629" s="3">
        <f>IFERROR(__xludf.DUMMYFUNCTION("""COMPUTED_VALUE"""),4058.8)</f>
        <v>4058.8</v>
      </c>
      <c r="F1629" s="3">
        <f>IFERROR(__xludf.DUMMYFUNCTION("""COMPUTED_VALUE"""),0.0)</f>
        <v>0</v>
      </c>
    </row>
    <row r="1630">
      <c r="A1630" s="7">
        <f>IFERROR(__xludf.DUMMYFUNCTION("""COMPUTED_VALUE"""),39106.645833333336)</f>
        <v>39106.64583</v>
      </c>
      <c r="B1630" s="3">
        <f>IFERROR(__xludf.DUMMYFUNCTION("""COMPUTED_VALUE"""),4079.35)</f>
        <v>4079.35</v>
      </c>
      <c r="C1630" s="3">
        <f>IFERROR(__xludf.DUMMYFUNCTION("""COMPUTED_VALUE"""),4098.1)</f>
        <v>4098.1</v>
      </c>
      <c r="D1630" s="3">
        <f>IFERROR(__xludf.DUMMYFUNCTION("""COMPUTED_VALUE"""),4067.6)</f>
        <v>4067.6</v>
      </c>
      <c r="E1630" s="3">
        <f>IFERROR(__xludf.DUMMYFUNCTION("""COMPUTED_VALUE"""),4096.15)</f>
        <v>4096.15</v>
      </c>
      <c r="F1630" s="3">
        <f>IFERROR(__xludf.DUMMYFUNCTION("""COMPUTED_VALUE"""),0.0)</f>
        <v>0</v>
      </c>
    </row>
    <row r="1631">
      <c r="A1631" s="7">
        <f>IFERROR(__xludf.DUMMYFUNCTION("""COMPUTED_VALUE"""),39107.645833333336)</f>
        <v>39107.64583</v>
      </c>
      <c r="B1631" s="3">
        <f>IFERROR(__xludf.DUMMYFUNCTION("""COMPUTED_VALUE"""),4118.35)</f>
        <v>4118.35</v>
      </c>
      <c r="C1631" s="3">
        <f>IFERROR(__xludf.DUMMYFUNCTION("""COMPUTED_VALUE"""),4157.3)</f>
        <v>4157.3</v>
      </c>
      <c r="D1631" s="3">
        <f>IFERROR(__xludf.DUMMYFUNCTION("""COMPUTED_VALUE"""),4090.2)</f>
        <v>4090.2</v>
      </c>
      <c r="E1631" s="3">
        <f>IFERROR(__xludf.DUMMYFUNCTION("""COMPUTED_VALUE"""),4143.55)</f>
        <v>4143.55</v>
      </c>
      <c r="F1631" s="3">
        <f>IFERROR(__xludf.DUMMYFUNCTION("""COMPUTED_VALUE"""),0.0)</f>
        <v>0</v>
      </c>
    </row>
    <row r="1632">
      <c r="A1632" s="7">
        <f>IFERROR(__xludf.DUMMYFUNCTION("""COMPUTED_VALUE"""),39111.645833333336)</f>
        <v>39111.64583</v>
      </c>
      <c r="B1632" s="3">
        <f>IFERROR(__xludf.DUMMYFUNCTION("""COMPUTED_VALUE"""),4161.7)</f>
        <v>4161.7</v>
      </c>
      <c r="C1632" s="3">
        <f>IFERROR(__xludf.DUMMYFUNCTION("""COMPUTED_VALUE"""),4161.7)</f>
        <v>4161.7</v>
      </c>
      <c r="D1632" s="3">
        <f>IFERROR(__xludf.DUMMYFUNCTION("""COMPUTED_VALUE"""),4116.3)</f>
        <v>4116.3</v>
      </c>
      <c r="E1632" s="3">
        <f>IFERROR(__xludf.DUMMYFUNCTION("""COMPUTED_VALUE"""),4120.6)</f>
        <v>4120.6</v>
      </c>
      <c r="F1632" s="3">
        <f>IFERROR(__xludf.DUMMYFUNCTION("""COMPUTED_VALUE"""),0.0)</f>
        <v>0</v>
      </c>
    </row>
    <row r="1633">
      <c r="A1633" s="7">
        <f>IFERROR(__xludf.DUMMYFUNCTION("""COMPUTED_VALUE"""),39113.645833333336)</f>
        <v>39113.64583</v>
      </c>
      <c r="B1633" s="3">
        <f>IFERROR(__xludf.DUMMYFUNCTION("""COMPUTED_VALUE"""),4132.95)</f>
        <v>4132.95</v>
      </c>
      <c r="C1633" s="3">
        <f>IFERROR(__xludf.DUMMYFUNCTION("""COMPUTED_VALUE"""),4137.65)</f>
        <v>4137.65</v>
      </c>
      <c r="D1633" s="3">
        <f>IFERROR(__xludf.DUMMYFUNCTION("""COMPUTED_VALUE"""),4069.0)</f>
        <v>4069</v>
      </c>
      <c r="E1633" s="3">
        <f>IFERROR(__xludf.DUMMYFUNCTION("""COMPUTED_VALUE"""),4082.7)</f>
        <v>4082.7</v>
      </c>
      <c r="F1633" s="3">
        <f>IFERROR(__xludf.DUMMYFUNCTION("""COMPUTED_VALUE"""),0.0)</f>
        <v>0</v>
      </c>
    </row>
    <row r="1634">
      <c r="A1634" s="7">
        <f>IFERROR(__xludf.DUMMYFUNCTION("""COMPUTED_VALUE"""),39114.645833333336)</f>
        <v>39114.64583</v>
      </c>
      <c r="B1634" s="3">
        <f>IFERROR(__xludf.DUMMYFUNCTION("""COMPUTED_VALUE"""),4100.95)</f>
        <v>4100.95</v>
      </c>
      <c r="C1634" s="3">
        <f>IFERROR(__xludf.DUMMYFUNCTION("""COMPUTED_VALUE"""),4140.8)</f>
        <v>4140.8</v>
      </c>
      <c r="D1634" s="3">
        <f>IFERROR(__xludf.DUMMYFUNCTION("""COMPUTED_VALUE"""),4081.4)</f>
        <v>4081.4</v>
      </c>
      <c r="E1634" s="3">
        <f>IFERROR(__xludf.DUMMYFUNCTION("""COMPUTED_VALUE"""),4137.2)</f>
        <v>4137.2</v>
      </c>
      <c r="F1634" s="3">
        <f>IFERROR(__xludf.DUMMYFUNCTION("""COMPUTED_VALUE"""),0.0)</f>
        <v>0</v>
      </c>
    </row>
    <row r="1635">
      <c r="A1635" s="7">
        <f>IFERROR(__xludf.DUMMYFUNCTION("""COMPUTED_VALUE"""),39115.645833333336)</f>
        <v>39115.64583</v>
      </c>
      <c r="B1635" s="3">
        <f>IFERROR(__xludf.DUMMYFUNCTION("""COMPUTED_VALUE"""),4136.85)</f>
        <v>4136.85</v>
      </c>
      <c r="C1635" s="3">
        <f>IFERROR(__xludf.DUMMYFUNCTION("""COMPUTED_VALUE"""),4198.5)</f>
        <v>4198.5</v>
      </c>
      <c r="D1635" s="3">
        <f>IFERROR(__xludf.DUMMYFUNCTION("""COMPUTED_VALUE"""),4136.85)</f>
        <v>4136.85</v>
      </c>
      <c r="E1635" s="3">
        <f>IFERROR(__xludf.DUMMYFUNCTION("""COMPUTED_VALUE"""),4183.5)</f>
        <v>4183.5</v>
      </c>
      <c r="F1635" s="3">
        <f>IFERROR(__xludf.DUMMYFUNCTION("""COMPUTED_VALUE"""),0.0)</f>
        <v>0</v>
      </c>
    </row>
    <row r="1636">
      <c r="A1636" s="7">
        <f>IFERROR(__xludf.DUMMYFUNCTION("""COMPUTED_VALUE"""),39118.645833333336)</f>
        <v>39118.64583</v>
      </c>
      <c r="B1636" s="3">
        <f>IFERROR(__xludf.DUMMYFUNCTION("""COMPUTED_VALUE"""),4196.65)</f>
        <v>4196.65</v>
      </c>
      <c r="C1636" s="3">
        <f>IFERROR(__xludf.DUMMYFUNCTION("""COMPUTED_VALUE"""),4218.25)</f>
        <v>4218.25</v>
      </c>
      <c r="D1636" s="3">
        <f>IFERROR(__xludf.DUMMYFUNCTION("""COMPUTED_VALUE"""),4171.2)</f>
        <v>4171.2</v>
      </c>
      <c r="E1636" s="3">
        <f>IFERROR(__xludf.DUMMYFUNCTION("""COMPUTED_VALUE"""),4215.35)</f>
        <v>4215.35</v>
      </c>
      <c r="F1636" s="3">
        <f>IFERROR(__xludf.DUMMYFUNCTION("""COMPUTED_VALUE"""),0.0)</f>
        <v>0</v>
      </c>
    </row>
    <row r="1637">
      <c r="A1637" s="7">
        <f>IFERROR(__xludf.DUMMYFUNCTION("""COMPUTED_VALUE"""),39119.645833333336)</f>
        <v>39119.64583</v>
      </c>
      <c r="B1637" s="3">
        <f>IFERROR(__xludf.DUMMYFUNCTION("""COMPUTED_VALUE"""),4211.55)</f>
        <v>4211.55</v>
      </c>
      <c r="C1637" s="3">
        <f>IFERROR(__xludf.DUMMYFUNCTION("""COMPUTED_VALUE"""),4225.85)</f>
        <v>4225.85</v>
      </c>
      <c r="D1637" s="3">
        <f>IFERROR(__xludf.DUMMYFUNCTION("""COMPUTED_VALUE"""),4186.8)</f>
        <v>4186.8</v>
      </c>
      <c r="E1637" s="3">
        <f>IFERROR(__xludf.DUMMYFUNCTION("""COMPUTED_VALUE"""),4195.9)</f>
        <v>4195.9</v>
      </c>
      <c r="F1637" s="3">
        <f>IFERROR(__xludf.DUMMYFUNCTION("""COMPUTED_VALUE"""),0.0)</f>
        <v>0</v>
      </c>
    </row>
    <row r="1638">
      <c r="A1638" s="7">
        <f>IFERROR(__xludf.DUMMYFUNCTION("""COMPUTED_VALUE"""),39120.645833333336)</f>
        <v>39120.64583</v>
      </c>
      <c r="B1638" s="3">
        <f>IFERROR(__xludf.DUMMYFUNCTION("""COMPUTED_VALUE"""),4198.25)</f>
        <v>4198.25</v>
      </c>
      <c r="C1638" s="3">
        <f>IFERROR(__xludf.DUMMYFUNCTION("""COMPUTED_VALUE"""),4231.35)</f>
        <v>4231.35</v>
      </c>
      <c r="D1638" s="3">
        <f>IFERROR(__xludf.DUMMYFUNCTION("""COMPUTED_VALUE"""),4193.25)</f>
        <v>4193.25</v>
      </c>
      <c r="E1638" s="3">
        <f>IFERROR(__xludf.DUMMYFUNCTION("""COMPUTED_VALUE"""),4224.25)</f>
        <v>4224.25</v>
      </c>
      <c r="F1638" s="3">
        <f>IFERROR(__xludf.DUMMYFUNCTION("""COMPUTED_VALUE"""),0.0)</f>
        <v>0</v>
      </c>
    </row>
    <row r="1639">
      <c r="A1639" s="7">
        <f>IFERROR(__xludf.DUMMYFUNCTION("""COMPUTED_VALUE"""),39121.645833333336)</f>
        <v>39121.64583</v>
      </c>
      <c r="B1639" s="3">
        <f>IFERROR(__xludf.DUMMYFUNCTION("""COMPUTED_VALUE"""),4237.6)</f>
        <v>4237.6</v>
      </c>
      <c r="C1639" s="3">
        <f>IFERROR(__xludf.DUMMYFUNCTION("""COMPUTED_VALUE"""),4242.0)</f>
        <v>4242</v>
      </c>
      <c r="D1639" s="3">
        <f>IFERROR(__xludf.DUMMYFUNCTION("""COMPUTED_VALUE"""),4188.55)</f>
        <v>4188.55</v>
      </c>
      <c r="E1639" s="3">
        <f>IFERROR(__xludf.DUMMYFUNCTION("""COMPUTED_VALUE"""),4223.4)</f>
        <v>4223.4</v>
      </c>
      <c r="F1639" s="3">
        <f>IFERROR(__xludf.DUMMYFUNCTION("""COMPUTED_VALUE"""),0.0)</f>
        <v>0</v>
      </c>
    </row>
    <row r="1640">
      <c r="A1640" s="7">
        <f>IFERROR(__xludf.DUMMYFUNCTION("""COMPUTED_VALUE"""),39122.645833333336)</f>
        <v>39122.64583</v>
      </c>
      <c r="B1640" s="3">
        <f>IFERROR(__xludf.DUMMYFUNCTION("""COMPUTED_VALUE"""),4235.3)</f>
        <v>4235.3</v>
      </c>
      <c r="C1640" s="3">
        <f>IFERROR(__xludf.DUMMYFUNCTION("""COMPUTED_VALUE"""),4238.6)</f>
        <v>4238.6</v>
      </c>
      <c r="D1640" s="3">
        <f>IFERROR(__xludf.DUMMYFUNCTION("""COMPUTED_VALUE"""),4172.65)</f>
        <v>4172.65</v>
      </c>
      <c r="E1640" s="3">
        <f>IFERROR(__xludf.DUMMYFUNCTION("""COMPUTED_VALUE"""),4187.4)</f>
        <v>4187.4</v>
      </c>
      <c r="F1640" s="3">
        <f>IFERROR(__xludf.DUMMYFUNCTION("""COMPUTED_VALUE"""),0.0)</f>
        <v>0</v>
      </c>
    </row>
    <row r="1641">
      <c r="A1641" s="7">
        <f>IFERROR(__xludf.DUMMYFUNCTION("""COMPUTED_VALUE"""),39125.645833333336)</f>
        <v>39125.64583</v>
      </c>
      <c r="B1641" s="3">
        <f>IFERROR(__xludf.DUMMYFUNCTION("""COMPUTED_VALUE"""),4162.25)</f>
        <v>4162.25</v>
      </c>
      <c r="C1641" s="3">
        <f>IFERROR(__xludf.DUMMYFUNCTION("""COMPUTED_VALUE"""),4165.75)</f>
        <v>4165.75</v>
      </c>
      <c r="D1641" s="3">
        <f>IFERROR(__xludf.DUMMYFUNCTION("""COMPUTED_VALUE"""),4044.85)</f>
        <v>4044.85</v>
      </c>
      <c r="E1641" s="3">
        <f>IFERROR(__xludf.DUMMYFUNCTION("""COMPUTED_VALUE"""),4058.3)</f>
        <v>4058.3</v>
      </c>
      <c r="F1641" s="3">
        <f>IFERROR(__xludf.DUMMYFUNCTION("""COMPUTED_VALUE"""),0.0)</f>
        <v>0</v>
      </c>
    </row>
    <row r="1642">
      <c r="A1642" s="7">
        <f>IFERROR(__xludf.DUMMYFUNCTION("""COMPUTED_VALUE"""),39126.645833333336)</f>
        <v>39126.64583</v>
      </c>
      <c r="B1642" s="3">
        <f>IFERROR(__xludf.DUMMYFUNCTION("""COMPUTED_VALUE"""),4054.6)</f>
        <v>4054.6</v>
      </c>
      <c r="C1642" s="3">
        <f>IFERROR(__xludf.DUMMYFUNCTION("""COMPUTED_VALUE"""),4132.4)</f>
        <v>4132.4</v>
      </c>
      <c r="D1642" s="3">
        <f>IFERROR(__xludf.DUMMYFUNCTION("""COMPUTED_VALUE"""),3999.4)</f>
        <v>3999.4</v>
      </c>
      <c r="E1642" s="3">
        <f>IFERROR(__xludf.DUMMYFUNCTION("""COMPUTED_VALUE"""),4044.55)</f>
        <v>4044.55</v>
      </c>
      <c r="F1642" s="3">
        <f>IFERROR(__xludf.DUMMYFUNCTION("""COMPUTED_VALUE"""),0.0)</f>
        <v>0</v>
      </c>
    </row>
    <row r="1643">
      <c r="A1643" s="7">
        <f>IFERROR(__xludf.DUMMYFUNCTION("""COMPUTED_VALUE"""),39127.645833333336)</f>
        <v>39127.64583</v>
      </c>
      <c r="B1643" s="3">
        <f>IFERROR(__xludf.DUMMYFUNCTION("""COMPUTED_VALUE"""),4033.2)</f>
        <v>4033.2</v>
      </c>
      <c r="C1643" s="3">
        <f>IFERROR(__xludf.DUMMYFUNCTION("""COMPUTED_VALUE"""),4056.9)</f>
        <v>4056.9</v>
      </c>
      <c r="D1643" s="3">
        <f>IFERROR(__xludf.DUMMYFUNCTION("""COMPUTED_VALUE"""),3971.1)</f>
        <v>3971.1</v>
      </c>
      <c r="E1643" s="3">
        <f>IFERROR(__xludf.DUMMYFUNCTION("""COMPUTED_VALUE"""),4047.1)</f>
        <v>4047.1</v>
      </c>
      <c r="F1643" s="3">
        <f>IFERROR(__xludf.DUMMYFUNCTION("""COMPUTED_VALUE"""),0.0)</f>
        <v>0</v>
      </c>
    </row>
    <row r="1644">
      <c r="A1644" s="7">
        <f>IFERROR(__xludf.DUMMYFUNCTION("""COMPUTED_VALUE"""),39128.645833333336)</f>
        <v>39128.64583</v>
      </c>
      <c r="B1644" s="3">
        <f>IFERROR(__xludf.DUMMYFUNCTION("""COMPUTED_VALUE"""),4082.55)</f>
        <v>4082.55</v>
      </c>
      <c r="C1644" s="3">
        <f>IFERROR(__xludf.DUMMYFUNCTION("""COMPUTED_VALUE"""),4154.6)</f>
        <v>4154.6</v>
      </c>
      <c r="D1644" s="3">
        <f>IFERROR(__xludf.DUMMYFUNCTION("""COMPUTED_VALUE"""),4082.55)</f>
        <v>4082.55</v>
      </c>
      <c r="E1644" s="3">
        <f>IFERROR(__xludf.DUMMYFUNCTION("""COMPUTED_VALUE"""),4146.2)</f>
        <v>4146.2</v>
      </c>
      <c r="F1644" s="3">
        <f>IFERROR(__xludf.DUMMYFUNCTION("""COMPUTED_VALUE"""),0.0)</f>
        <v>0</v>
      </c>
    </row>
    <row r="1645">
      <c r="A1645" s="7">
        <f>IFERROR(__xludf.DUMMYFUNCTION("""COMPUTED_VALUE"""),39132.645833333336)</f>
        <v>39132.64583</v>
      </c>
      <c r="B1645" s="3">
        <f>IFERROR(__xludf.DUMMYFUNCTION("""COMPUTED_VALUE"""),4155.9)</f>
        <v>4155.9</v>
      </c>
      <c r="C1645" s="3">
        <f>IFERROR(__xludf.DUMMYFUNCTION("""COMPUTED_VALUE"""),4177.4)</f>
        <v>4177.4</v>
      </c>
      <c r="D1645" s="3">
        <f>IFERROR(__xludf.DUMMYFUNCTION("""COMPUTED_VALUE"""),4155.9)</f>
        <v>4155.9</v>
      </c>
      <c r="E1645" s="3">
        <f>IFERROR(__xludf.DUMMYFUNCTION("""COMPUTED_VALUE"""),4164.55)</f>
        <v>4164.55</v>
      </c>
      <c r="F1645" s="3">
        <f>IFERROR(__xludf.DUMMYFUNCTION("""COMPUTED_VALUE"""),0.0)</f>
        <v>0</v>
      </c>
    </row>
    <row r="1646">
      <c r="A1646" s="7">
        <f>IFERROR(__xludf.DUMMYFUNCTION("""COMPUTED_VALUE"""),39133.645833333336)</f>
        <v>39133.64583</v>
      </c>
      <c r="B1646" s="3">
        <f>IFERROR(__xludf.DUMMYFUNCTION("""COMPUTED_VALUE"""),4166.2)</f>
        <v>4166.2</v>
      </c>
      <c r="C1646" s="3">
        <f>IFERROR(__xludf.DUMMYFUNCTION("""COMPUTED_VALUE"""),4174.3)</f>
        <v>4174.3</v>
      </c>
      <c r="D1646" s="3">
        <f>IFERROR(__xludf.DUMMYFUNCTION("""COMPUTED_VALUE"""),4100.25)</f>
        <v>4100.25</v>
      </c>
      <c r="E1646" s="3">
        <f>IFERROR(__xludf.DUMMYFUNCTION("""COMPUTED_VALUE"""),4106.95)</f>
        <v>4106.95</v>
      </c>
      <c r="F1646" s="3">
        <f>IFERROR(__xludf.DUMMYFUNCTION("""COMPUTED_VALUE"""),0.0)</f>
        <v>0</v>
      </c>
    </row>
    <row r="1647">
      <c r="A1647" s="7">
        <f>IFERROR(__xludf.DUMMYFUNCTION("""COMPUTED_VALUE"""),39134.645833333336)</f>
        <v>39134.64583</v>
      </c>
      <c r="B1647" s="3">
        <f>IFERROR(__xludf.DUMMYFUNCTION("""COMPUTED_VALUE"""),4111.55)</f>
        <v>4111.55</v>
      </c>
      <c r="C1647" s="3">
        <f>IFERROR(__xludf.DUMMYFUNCTION("""COMPUTED_VALUE"""),4132.75)</f>
        <v>4132.75</v>
      </c>
      <c r="D1647" s="3">
        <f>IFERROR(__xludf.DUMMYFUNCTION("""COMPUTED_VALUE"""),4081.35)</f>
        <v>4081.35</v>
      </c>
      <c r="E1647" s="3">
        <f>IFERROR(__xludf.DUMMYFUNCTION("""COMPUTED_VALUE"""),4096.2)</f>
        <v>4096.2</v>
      </c>
      <c r="F1647" s="3">
        <f>IFERROR(__xludf.DUMMYFUNCTION("""COMPUTED_VALUE"""),0.0)</f>
        <v>0</v>
      </c>
    </row>
    <row r="1648">
      <c r="A1648" s="7">
        <f>IFERROR(__xludf.DUMMYFUNCTION("""COMPUTED_VALUE"""),39135.645833333336)</f>
        <v>39135.64583</v>
      </c>
      <c r="B1648" s="3">
        <f>IFERROR(__xludf.DUMMYFUNCTION("""COMPUTED_VALUE"""),4102.45)</f>
        <v>4102.45</v>
      </c>
      <c r="C1648" s="3">
        <f>IFERROR(__xludf.DUMMYFUNCTION("""COMPUTED_VALUE"""),4126.65)</f>
        <v>4126.65</v>
      </c>
      <c r="D1648" s="3">
        <f>IFERROR(__xludf.DUMMYFUNCTION("""COMPUTED_VALUE"""),4024.7)</f>
        <v>4024.7</v>
      </c>
      <c r="E1648" s="3">
        <f>IFERROR(__xludf.DUMMYFUNCTION("""COMPUTED_VALUE"""),4040.0)</f>
        <v>4040</v>
      </c>
      <c r="F1648" s="3">
        <f>IFERROR(__xludf.DUMMYFUNCTION("""COMPUTED_VALUE"""),0.0)</f>
        <v>0</v>
      </c>
    </row>
    <row r="1649">
      <c r="A1649" s="7">
        <f>IFERROR(__xludf.DUMMYFUNCTION("""COMPUTED_VALUE"""),39136.645833333336)</f>
        <v>39136.64583</v>
      </c>
      <c r="B1649" s="3">
        <f>IFERROR(__xludf.DUMMYFUNCTION("""COMPUTED_VALUE"""),4058.2)</f>
        <v>4058.2</v>
      </c>
      <c r="C1649" s="3">
        <f>IFERROR(__xludf.DUMMYFUNCTION("""COMPUTED_VALUE"""),4061.4)</f>
        <v>4061.4</v>
      </c>
      <c r="D1649" s="3">
        <f>IFERROR(__xludf.DUMMYFUNCTION("""COMPUTED_VALUE"""),3919.0)</f>
        <v>3919</v>
      </c>
      <c r="E1649" s="3">
        <f>IFERROR(__xludf.DUMMYFUNCTION("""COMPUTED_VALUE"""),3938.95)</f>
        <v>3938.95</v>
      </c>
      <c r="F1649" s="3">
        <f>IFERROR(__xludf.DUMMYFUNCTION("""COMPUTED_VALUE"""),0.0)</f>
        <v>0</v>
      </c>
    </row>
    <row r="1650">
      <c r="A1650" s="7">
        <f>IFERROR(__xludf.DUMMYFUNCTION("""COMPUTED_VALUE"""),39139.645833333336)</f>
        <v>39139.64583</v>
      </c>
      <c r="B1650" s="3">
        <f>IFERROR(__xludf.DUMMYFUNCTION("""COMPUTED_VALUE"""),3948.6)</f>
        <v>3948.6</v>
      </c>
      <c r="C1650" s="3">
        <f>IFERROR(__xludf.DUMMYFUNCTION("""COMPUTED_VALUE"""),3958.4)</f>
        <v>3958.4</v>
      </c>
      <c r="D1650" s="3">
        <f>IFERROR(__xludf.DUMMYFUNCTION("""COMPUTED_VALUE"""),3856.85)</f>
        <v>3856.85</v>
      </c>
      <c r="E1650" s="3">
        <f>IFERROR(__xludf.DUMMYFUNCTION("""COMPUTED_VALUE"""),3942.0)</f>
        <v>3942</v>
      </c>
      <c r="F1650" s="3">
        <f>IFERROR(__xludf.DUMMYFUNCTION("""COMPUTED_VALUE"""),0.0)</f>
        <v>0</v>
      </c>
    </row>
    <row r="1651">
      <c r="A1651" s="7">
        <f>IFERROR(__xludf.DUMMYFUNCTION("""COMPUTED_VALUE"""),39140.645833333336)</f>
        <v>39140.64583</v>
      </c>
      <c r="B1651" s="3">
        <f>IFERROR(__xludf.DUMMYFUNCTION("""COMPUTED_VALUE"""),3942.5)</f>
        <v>3942.5</v>
      </c>
      <c r="C1651" s="3">
        <f>IFERROR(__xludf.DUMMYFUNCTION("""COMPUTED_VALUE"""),3953.4)</f>
        <v>3953.4</v>
      </c>
      <c r="D1651" s="3">
        <f>IFERROR(__xludf.DUMMYFUNCTION("""COMPUTED_VALUE"""),3874.35)</f>
        <v>3874.35</v>
      </c>
      <c r="E1651" s="3">
        <f>IFERROR(__xludf.DUMMYFUNCTION("""COMPUTED_VALUE"""),3893.9)</f>
        <v>3893.9</v>
      </c>
      <c r="F1651" s="3">
        <f>IFERROR(__xludf.DUMMYFUNCTION("""COMPUTED_VALUE"""),0.0)</f>
        <v>0</v>
      </c>
    </row>
    <row r="1652">
      <c r="A1652" s="7">
        <f>IFERROR(__xludf.DUMMYFUNCTION("""COMPUTED_VALUE"""),39141.645833333336)</f>
        <v>39141.64583</v>
      </c>
      <c r="B1652" s="3">
        <f>IFERROR(__xludf.DUMMYFUNCTION("""COMPUTED_VALUE"""),3787.1)</f>
        <v>3787.1</v>
      </c>
      <c r="C1652" s="3">
        <f>IFERROR(__xludf.DUMMYFUNCTION("""COMPUTED_VALUE"""),3841.1)</f>
        <v>3841.1</v>
      </c>
      <c r="D1652" s="3">
        <f>IFERROR(__xludf.DUMMYFUNCTION("""COMPUTED_VALUE"""),3683.9)</f>
        <v>3683.9</v>
      </c>
      <c r="E1652" s="3">
        <f>IFERROR(__xludf.DUMMYFUNCTION("""COMPUTED_VALUE"""),3745.3)</f>
        <v>3745.3</v>
      </c>
      <c r="F1652" s="3">
        <f>IFERROR(__xludf.DUMMYFUNCTION("""COMPUTED_VALUE"""),0.0)</f>
        <v>0</v>
      </c>
    </row>
    <row r="1653">
      <c r="A1653" s="7">
        <f>IFERROR(__xludf.DUMMYFUNCTION("""COMPUTED_VALUE"""),39142.645833333336)</f>
        <v>39142.64583</v>
      </c>
      <c r="B1653" s="3">
        <f>IFERROR(__xludf.DUMMYFUNCTION("""COMPUTED_VALUE"""),3765.3)</f>
        <v>3765.3</v>
      </c>
      <c r="C1653" s="3">
        <f>IFERROR(__xludf.DUMMYFUNCTION("""COMPUTED_VALUE"""),3818.0)</f>
        <v>3818</v>
      </c>
      <c r="D1653" s="3">
        <f>IFERROR(__xludf.DUMMYFUNCTION("""COMPUTED_VALUE"""),3718.7)</f>
        <v>3718.7</v>
      </c>
      <c r="E1653" s="3">
        <f>IFERROR(__xludf.DUMMYFUNCTION("""COMPUTED_VALUE"""),3811.2)</f>
        <v>3811.2</v>
      </c>
      <c r="F1653" s="3">
        <f>IFERROR(__xludf.DUMMYFUNCTION("""COMPUTED_VALUE"""),0.0)</f>
        <v>0</v>
      </c>
    </row>
    <row r="1654">
      <c r="A1654" s="7">
        <f>IFERROR(__xludf.DUMMYFUNCTION("""COMPUTED_VALUE"""),39143.645833333336)</f>
        <v>39143.64583</v>
      </c>
      <c r="B1654" s="3">
        <f>IFERROR(__xludf.DUMMYFUNCTION("""COMPUTED_VALUE"""),3809.6)</f>
        <v>3809.6</v>
      </c>
      <c r="C1654" s="3">
        <f>IFERROR(__xludf.DUMMYFUNCTION("""COMPUTED_VALUE"""),3841.3)</f>
        <v>3841.3</v>
      </c>
      <c r="D1654" s="3">
        <f>IFERROR(__xludf.DUMMYFUNCTION("""COMPUTED_VALUE"""),3773.5)</f>
        <v>3773.5</v>
      </c>
      <c r="E1654" s="3">
        <f>IFERROR(__xludf.DUMMYFUNCTION("""COMPUTED_VALUE"""),3782.15)</f>
        <v>3782.15</v>
      </c>
      <c r="F1654" s="3">
        <f>IFERROR(__xludf.DUMMYFUNCTION("""COMPUTED_VALUE"""),0.0)</f>
        <v>0</v>
      </c>
    </row>
    <row r="1655">
      <c r="A1655" s="7">
        <f>IFERROR(__xludf.DUMMYFUNCTION("""COMPUTED_VALUE"""),39146.645833333336)</f>
        <v>39146.64583</v>
      </c>
      <c r="B1655" s="3">
        <f>IFERROR(__xludf.DUMMYFUNCTION("""COMPUTED_VALUE"""),3601.1)</f>
        <v>3601.1</v>
      </c>
      <c r="C1655" s="3">
        <f>IFERROR(__xludf.DUMMYFUNCTION("""COMPUTED_VALUE"""),3623.65)</f>
        <v>3623.65</v>
      </c>
      <c r="D1655" s="3">
        <f>IFERROR(__xludf.DUMMYFUNCTION("""COMPUTED_VALUE"""),3554.7)</f>
        <v>3554.7</v>
      </c>
      <c r="E1655" s="3">
        <f>IFERROR(__xludf.DUMMYFUNCTION("""COMPUTED_VALUE"""),3576.5)</f>
        <v>3576.5</v>
      </c>
      <c r="F1655" s="3">
        <f>IFERROR(__xludf.DUMMYFUNCTION("""COMPUTED_VALUE"""),0.0)</f>
        <v>0</v>
      </c>
    </row>
    <row r="1656">
      <c r="A1656" s="7">
        <f>IFERROR(__xludf.DUMMYFUNCTION("""COMPUTED_VALUE"""),39147.645833333336)</f>
        <v>39147.64583</v>
      </c>
      <c r="B1656" s="3">
        <f>IFERROR(__xludf.DUMMYFUNCTION("""COMPUTED_VALUE"""),3637.75)</f>
        <v>3637.75</v>
      </c>
      <c r="C1656" s="3">
        <f>IFERROR(__xludf.DUMMYFUNCTION("""COMPUTED_VALUE"""),3679.05)</f>
        <v>3679.05</v>
      </c>
      <c r="D1656" s="3">
        <f>IFERROR(__xludf.DUMMYFUNCTION("""COMPUTED_VALUE"""),3581.25)</f>
        <v>3581.25</v>
      </c>
      <c r="E1656" s="3">
        <f>IFERROR(__xludf.DUMMYFUNCTION("""COMPUTED_VALUE"""),3655.65)</f>
        <v>3655.65</v>
      </c>
      <c r="F1656" s="3">
        <f>IFERROR(__xludf.DUMMYFUNCTION("""COMPUTED_VALUE"""),0.0)</f>
        <v>0</v>
      </c>
    </row>
    <row r="1657">
      <c r="A1657" s="7">
        <f>IFERROR(__xludf.DUMMYFUNCTION("""COMPUTED_VALUE"""),39148.645833333336)</f>
        <v>39148.64583</v>
      </c>
      <c r="B1657" s="3">
        <f>IFERROR(__xludf.DUMMYFUNCTION("""COMPUTED_VALUE"""),3656.75)</f>
        <v>3656.75</v>
      </c>
      <c r="C1657" s="3">
        <f>IFERROR(__xludf.DUMMYFUNCTION("""COMPUTED_VALUE"""),3713.7)</f>
        <v>3713.7</v>
      </c>
      <c r="D1657" s="3">
        <f>IFERROR(__xludf.DUMMYFUNCTION("""COMPUTED_VALUE"""),3569.15)</f>
        <v>3569.15</v>
      </c>
      <c r="E1657" s="3">
        <f>IFERROR(__xludf.DUMMYFUNCTION("""COMPUTED_VALUE"""),3626.85)</f>
        <v>3626.85</v>
      </c>
      <c r="F1657" s="3">
        <f>IFERROR(__xludf.DUMMYFUNCTION("""COMPUTED_VALUE"""),0.0)</f>
        <v>0</v>
      </c>
    </row>
    <row r="1658">
      <c r="A1658" s="7">
        <f>IFERROR(__xludf.DUMMYFUNCTION("""COMPUTED_VALUE"""),39149.645833333336)</f>
        <v>39149.64583</v>
      </c>
      <c r="B1658" s="3">
        <f>IFERROR(__xludf.DUMMYFUNCTION("""COMPUTED_VALUE"""),3691.95)</f>
        <v>3691.95</v>
      </c>
      <c r="C1658" s="3">
        <f>IFERROR(__xludf.DUMMYFUNCTION("""COMPUTED_VALUE"""),3778.6)</f>
        <v>3778.6</v>
      </c>
      <c r="D1658" s="3">
        <f>IFERROR(__xludf.DUMMYFUNCTION("""COMPUTED_VALUE"""),3691.75)</f>
        <v>3691.75</v>
      </c>
      <c r="E1658" s="3">
        <f>IFERROR(__xludf.DUMMYFUNCTION("""COMPUTED_VALUE"""),3761.65)</f>
        <v>3761.65</v>
      </c>
      <c r="F1658" s="3">
        <f>IFERROR(__xludf.DUMMYFUNCTION("""COMPUTED_VALUE"""),0.0)</f>
        <v>0</v>
      </c>
    </row>
    <row r="1659">
      <c r="A1659" s="7">
        <f>IFERROR(__xludf.DUMMYFUNCTION("""COMPUTED_VALUE"""),39150.645833333336)</f>
        <v>39150.64583</v>
      </c>
      <c r="B1659" s="3">
        <f>IFERROR(__xludf.DUMMYFUNCTION("""COMPUTED_VALUE"""),3775.4)</f>
        <v>3775.4</v>
      </c>
      <c r="C1659" s="3">
        <f>IFERROR(__xludf.DUMMYFUNCTION("""COMPUTED_VALUE"""),3794.75)</f>
        <v>3794.75</v>
      </c>
      <c r="D1659" s="3">
        <f>IFERROR(__xludf.DUMMYFUNCTION("""COMPUTED_VALUE"""),3684.9)</f>
        <v>3684.9</v>
      </c>
      <c r="E1659" s="3">
        <f>IFERROR(__xludf.DUMMYFUNCTION("""COMPUTED_VALUE"""),3718.0)</f>
        <v>3718</v>
      </c>
      <c r="F1659" s="3">
        <f>IFERROR(__xludf.DUMMYFUNCTION("""COMPUTED_VALUE"""),0.0)</f>
        <v>0</v>
      </c>
    </row>
    <row r="1660">
      <c r="A1660" s="7">
        <f>IFERROR(__xludf.DUMMYFUNCTION("""COMPUTED_VALUE"""),39153.645833333336)</f>
        <v>39153.64583</v>
      </c>
      <c r="B1660" s="3">
        <f>IFERROR(__xludf.DUMMYFUNCTION("""COMPUTED_VALUE"""),3732.2)</f>
        <v>3732.2</v>
      </c>
      <c r="C1660" s="3">
        <f>IFERROR(__xludf.DUMMYFUNCTION("""COMPUTED_VALUE"""),3781.45)</f>
        <v>3781.45</v>
      </c>
      <c r="D1660" s="3">
        <f>IFERROR(__xludf.DUMMYFUNCTION("""COMPUTED_VALUE"""),3718.1)</f>
        <v>3718.1</v>
      </c>
      <c r="E1660" s="3">
        <f>IFERROR(__xludf.DUMMYFUNCTION("""COMPUTED_VALUE"""),3734.6)</f>
        <v>3734.6</v>
      </c>
      <c r="F1660" s="3">
        <f>IFERROR(__xludf.DUMMYFUNCTION("""COMPUTED_VALUE"""),0.0)</f>
        <v>0</v>
      </c>
    </row>
    <row r="1661">
      <c r="A1661" s="7">
        <f>IFERROR(__xludf.DUMMYFUNCTION("""COMPUTED_VALUE"""),39154.645833333336)</f>
        <v>39154.64583</v>
      </c>
      <c r="B1661" s="3">
        <f>IFERROR(__xludf.DUMMYFUNCTION("""COMPUTED_VALUE"""),3734.8)</f>
        <v>3734.8</v>
      </c>
      <c r="C1661" s="3">
        <f>IFERROR(__xludf.DUMMYFUNCTION("""COMPUTED_VALUE"""),3772.4)</f>
        <v>3772.4</v>
      </c>
      <c r="D1661" s="3">
        <f>IFERROR(__xludf.DUMMYFUNCTION("""COMPUTED_VALUE"""),3734.6)</f>
        <v>3734.6</v>
      </c>
      <c r="E1661" s="3">
        <f>IFERROR(__xludf.DUMMYFUNCTION("""COMPUTED_VALUE"""),3754.65)</f>
        <v>3754.65</v>
      </c>
      <c r="F1661" s="3">
        <f>IFERROR(__xludf.DUMMYFUNCTION("""COMPUTED_VALUE"""),0.0)</f>
        <v>0</v>
      </c>
    </row>
    <row r="1662">
      <c r="A1662" s="7">
        <f>IFERROR(__xludf.DUMMYFUNCTION("""COMPUTED_VALUE"""),39155.645833333336)</f>
        <v>39155.64583</v>
      </c>
      <c r="B1662" s="3">
        <f>IFERROR(__xludf.DUMMYFUNCTION("""COMPUTED_VALUE"""),3687.25)</f>
        <v>3687.25</v>
      </c>
      <c r="C1662" s="3">
        <f>IFERROR(__xludf.DUMMYFUNCTION("""COMPUTED_VALUE"""),3687.25)</f>
        <v>3687.25</v>
      </c>
      <c r="D1662" s="3">
        <f>IFERROR(__xludf.DUMMYFUNCTION("""COMPUTED_VALUE"""),3629.75)</f>
        <v>3629.75</v>
      </c>
      <c r="E1662" s="3">
        <f>IFERROR(__xludf.DUMMYFUNCTION("""COMPUTED_VALUE"""),3641.1)</f>
        <v>3641.1</v>
      </c>
      <c r="F1662" s="3">
        <f>IFERROR(__xludf.DUMMYFUNCTION("""COMPUTED_VALUE"""),0.0)</f>
        <v>0</v>
      </c>
    </row>
    <row r="1663">
      <c r="A1663" s="7">
        <f>IFERROR(__xludf.DUMMYFUNCTION("""COMPUTED_VALUE"""),39156.645833333336)</f>
        <v>39156.64583</v>
      </c>
      <c r="B1663" s="3">
        <f>IFERROR(__xludf.DUMMYFUNCTION("""COMPUTED_VALUE"""),3685.4)</f>
        <v>3685.4</v>
      </c>
      <c r="C1663" s="3">
        <f>IFERROR(__xludf.DUMMYFUNCTION("""COMPUTED_VALUE"""),3710.75)</f>
        <v>3710.75</v>
      </c>
      <c r="D1663" s="3">
        <f>IFERROR(__xludf.DUMMYFUNCTION("""COMPUTED_VALUE"""),3631.85)</f>
        <v>3631.85</v>
      </c>
      <c r="E1663" s="3">
        <f>IFERROR(__xludf.DUMMYFUNCTION("""COMPUTED_VALUE"""),3643.6)</f>
        <v>3643.6</v>
      </c>
      <c r="F1663" s="3">
        <f>IFERROR(__xludf.DUMMYFUNCTION("""COMPUTED_VALUE"""),0.0)</f>
        <v>0</v>
      </c>
    </row>
    <row r="1664">
      <c r="A1664" s="7">
        <f>IFERROR(__xludf.DUMMYFUNCTION("""COMPUTED_VALUE"""),39157.645833333336)</f>
        <v>39157.64583</v>
      </c>
      <c r="B1664" s="3">
        <f>IFERROR(__xludf.DUMMYFUNCTION("""COMPUTED_VALUE"""),3681.05)</f>
        <v>3681.05</v>
      </c>
      <c r="C1664" s="3">
        <f>IFERROR(__xludf.DUMMYFUNCTION("""COMPUTED_VALUE"""),3681.05)</f>
        <v>3681.05</v>
      </c>
      <c r="D1664" s="3">
        <f>IFERROR(__xludf.DUMMYFUNCTION("""COMPUTED_VALUE"""),3574.3)</f>
        <v>3574.3</v>
      </c>
      <c r="E1664" s="3">
        <f>IFERROR(__xludf.DUMMYFUNCTION("""COMPUTED_VALUE"""),3608.55)</f>
        <v>3608.55</v>
      </c>
      <c r="F1664" s="3">
        <f>IFERROR(__xludf.DUMMYFUNCTION("""COMPUTED_VALUE"""),0.0)</f>
        <v>0</v>
      </c>
    </row>
    <row r="1665">
      <c r="A1665" s="7">
        <f>IFERROR(__xludf.DUMMYFUNCTION("""COMPUTED_VALUE"""),39160.645833333336)</f>
        <v>39160.64583</v>
      </c>
      <c r="B1665" s="3">
        <f>IFERROR(__xludf.DUMMYFUNCTION("""COMPUTED_VALUE"""),3603.0)</f>
        <v>3603</v>
      </c>
      <c r="C1665" s="3">
        <f>IFERROR(__xludf.DUMMYFUNCTION("""COMPUTED_VALUE"""),3683.15)</f>
        <v>3683.15</v>
      </c>
      <c r="D1665" s="3">
        <f>IFERROR(__xludf.DUMMYFUNCTION("""COMPUTED_VALUE"""),3603.0)</f>
        <v>3603</v>
      </c>
      <c r="E1665" s="3">
        <f>IFERROR(__xludf.DUMMYFUNCTION("""COMPUTED_VALUE"""),3678.9)</f>
        <v>3678.9</v>
      </c>
      <c r="F1665" s="3">
        <f>IFERROR(__xludf.DUMMYFUNCTION("""COMPUTED_VALUE"""),0.0)</f>
        <v>0</v>
      </c>
    </row>
    <row r="1666">
      <c r="A1666" s="7">
        <f>IFERROR(__xludf.DUMMYFUNCTION("""COMPUTED_VALUE"""),39161.645833333336)</f>
        <v>39161.64583</v>
      </c>
      <c r="B1666" s="3">
        <f>IFERROR(__xludf.DUMMYFUNCTION("""COMPUTED_VALUE"""),3680.7)</f>
        <v>3680.7</v>
      </c>
      <c r="C1666" s="3">
        <f>IFERROR(__xludf.DUMMYFUNCTION("""COMPUTED_VALUE"""),3724.0)</f>
        <v>3724</v>
      </c>
      <c r="D1666" s="3">
        <f>IFERROR(__xludf.DUMMYFUNCTION("""COMPUTED_VALUE"""),3680.7)</f>
        <v>3680.7</v>
      </c>
      <c r="E1666" s="3">
        <f>IFERROR(__xludf.DUMMYFUNCTION("""COMPUTED_VALUE"""),3697.6)</f>
        <v>3697.6</v>
      </c>
      <c r="F1666" s="3">
        <f>IFERROR(__xludf.DUMMYFUNCTION("""COMPUTED_VALUE"""),0.0)</f>
        <v>0</v>
      </c>
    </row>
    <row r="1667">
      <c r="A1667" s="7">
        <f>IFERROR(__xludf.DUMMYFUNCTION("""COMPUTED_VALUE"""),39162.645833333336)</f>
        <v>39162.64583</v>
      </c>
      <c r="B1667" s="3">
        <f>IFERROR(__xludf.DUMMYFUNCTION("""COMPUTED_VALUE"""),3693.65)</f>
        <v>3693.65</v>
      </c>
      <c r="C1667" s="3">
        <f>IFERROR(__xludf.DUMMYFUNCTION("""COMPUTED_VALUE"""),3770.9)</f>
        <v>3770.9</v>
      </c>
      <c r="D1667" s="3">
        <f>IFERROR(__xludf.DUMMYFUNCTION("""COMPUTED_VALUE"""),3681.15)</f>
        <v>3681.15</v>
      </c>
      <c r="E1667" s="3">
        <f>IFERROR(__xludf.DUMMYFUNCTION("""COMPUTED_VALUE"""),3764.55)</f>
        <v>3764.55</v>
      </c>
      <c r="F1667" s="3">
        <f>IFERROR(__xludf.DUMMYFUNCTION("""COMPUTED_VALUE"""),0.0)</f>
        <v>0</v>
      </c>
    </row>
    <row r="1668">
      <c r="A1668" s="7">
        <f>IFERROR(__xludf.DUMMYFUNCTION("""COMPUTED_VALUE"""),39163.645833333336)</f>
        <v>39163.64583</v>
      </c>
      <c r="B1668" s="3">
        <f>IFERROR(__xludf.DUMMYFUNCTION("""COMPUTED_VALUE"""),3803.95)</f>
        <v>3803.95</v>
      </c>
      <c r="C1668" s="3">
        <f>IFERROR(__xludf.DUMMYFUNCTION("""COMPUTED_VALUE"""),3880.6)</f>
        <v>3880.6</v>
      </c>
      <c r="D1668" s="3">
        <f>IFERROR(__xludf.DUMMYFUNCTION("""COMPUTED_VALUE"""),3800.0)</f>
        <v>3800</v>
      </c>
      <c r="E1668" s="3">
        <f>IFERROR(__xludf.DUMMYFUNCTION("""COMPUTED_VALUE"""),3875.9)</f>
        <v>3875.9</v>
      </c>
      <c r="F1668" s="3">
        <f>IFERROR(__xludf.DUMMYFUNCTION("""COMPUTED_VALUE"""),0.0)</f>
        <v>0</v>
      </c>
    </row>
    <row r="1669">
      <c r="A1669" s="7">
        <f>IFERROR(__xludf.DUMMYFUNCTION("""COMPUTED_VALUE"""),39164.645833333336)</f>
        <v>39164.64583</v>
      </c>
      <c r="B1669" s="3">
        <f>IFERROR(__xludf.DUMMYFUNCTION("""COMPUTED_VALUE"""),3884.35)</f>
        <v>3884.35</v>
      </c>
      <c r="C1669" s="3">
        <f>IFERROR(__xludf.DUMMYFUNCTION("""COMPUTED_VALUE"""),3901.45)</f>
        <v>3901.45</v>
      </c>
      <c r="D1669" s="3">
        <f>IFERROR(__xludf.DUMMYFUNCTION("""COMPUTED_VALUE"""),3851.2)</f>
        <v>3851.2</v>
      </c>
      <c r="E1669" s="3">
        <f>IFERROR(__xludf.DUMMYFUNCTION("""COMPUTED_VALUE"""),3861.05)</f>
        <v>3861.05</v>
      </c>
      <c r="F1669" s="3">
        <f>IFERROR(__xludf.DUMMYFUNCTION("""COMPUTED_VALUE"""),0.0)</f>
        <v>0</v>
      </c>
    </row>
    <row r="1670">
      <c r="A1670" s="7">
        <f>IFERROR(__xludf.DUMMYFUNCTION("""COMPUTED_VALUE"""),39167.645833333336)</f>
        <v>39167.64583</v>
      </c>
      <c r="B1670" s="3">
        <f>IFERROR(__xludf.DUMMYFUNCTION("""COMPUTED_VALUE"""),3862.6)</f>
        <v>3862.6</v>
      </c>
      <c r="C1670" s="3">
        <f>IFERROR(__xludf.DUMMYFUNCTION("""COMPUTED_VALUE"""),3884.1)</f>
        <v>3884.1</v>
      </c>
      <c r="D1670" s="3">
        <f>IFERROR(__xludf.DUMMYFUNCTION("""COMPUTED_VALUE"""),3769.65)</f>
        <v>3769.65</v>
      </c>
      <c r="E1670" s="3">
        <f>IFERROR(__xludf.DUMMYFUNCTION("""COMPUTED_VALUE"""),3819.95)</f>
        <v>3819.95</v>
      </c>
      <c r="F1670" s="3">
        <f>IFERROR(__xludf.DUMMYFUNCTION("""COMPUTED_VALUE"""),0.0)</f>
        <v>0</v>
      </c>
    </row>
    <row r="1671">
      <c r="A1671" s="7">
        <f>IFERROR(__xludf.DUMMYFUNCTION("""COMPUTED_VALUE"""),39169.645833333336)</f>
        <v>39169.64583</v>
      </c>
      <c r="B1671" s="3">
        <f>IFERROR(__xludf.DUMMYFUNCTION("""COMPUTED_VALUE"""),3785.35)</f>
        <v>3785.35</v>
      </c>
      <c r="C1671" s="3">
        <f>IFERROR(__xludf.DUMMYFUNCTION("""COMPUTED_VALUE"""),3802.85)</f>
        <v>3802.85</v>
      </c>
      <c r="D1671" s="3">
        <f>IFERROR(__xludf.DUMMYFUNCTION("""COMPUTED_VALUE"""),3753.45)</f>
        <v>3753.45</v>
      </c>
      <c r="E1671" s="3">
        <f>IFERROR(__xludf.DUMMYFUNCTION("""COMPUTED_VALUE"""),3761.1)</f>
        <v>3761.1</v>
      </c>
      <c r="F1671" s="3">
        <f>IFERROR(__xludf.DUMMYFUNCTION("""COMPUTED_VALUE"""),0.0)</f>
        <v>0</v>
      </c>
    </row>
    <row r="1672">
      <c r="A1672" s="7">
        <f>IFERROR(__xludf.DUMMYFUNCTION("""COMPUTED_VALUE"""),39170.645833333336)</f>
        <v>39170.64583</v>
      </c>
      <c r="B1672" s="3">
        <f>IFERROR(__xludf.DUMMYFUNCTION("""COMPUTED_VALUE"""),3777.2)</f>
        <v>3777.2</v>
      </c>
      <c r="C1672" s="3">
        <f>IFERROR(__xludf.DUMMYFUNCTION("""COMPUTED_VALUE"""),3805.85)</f>
        <v>3805.85</v>
      </c>
      <c r="D1672" s="3">
        <f>IFERROR(__xludf.DUMMYFUNCTION("""COMPUTED_VALUE"""),3752.2)</f>
        <v>3752.2</v>
      </c>
      <c r="E1672" s="3">
        <f>IFERROR(__xludf.DUMMYFUNCTION("""COMPUTED_VALUE"""),3798.1)</f>
        <v>3798.1</v>
      </c>
      <c r="F1672" s="3">
        <f>IFERROR(__xludf.DUMMYFUNCTION("""COMPUTED_VALUE"""),0.0)</f>
        <v>0</v>
      </c>
    </row>
    <row r="1673">
      <c r="A1673" s="7">
        <f>IFERROR(__xludf.DUMMYFUNCTION("""COMPUTED_VALUE"""),39171.645833333336)</f>
        <v>39171.64583</v>
      </c>
      <c r="B1673" s="3">
        <f>IFERROR(__xludf.DUMMYFUNCTION("""COMPUTED_VALUE"""),3805.9)</f>
        <v>3805.9</v>
      </c>
      <c r="C1673" s="3">
        <f>IFERROR(__xludf.DUMMYFUNCTION("""COMPUTED_VALUE"""),3831.4)</f>
        <v>3831.4</v>
      </c>
      <c r="D1673" s="3">
        <f>IFERROR(__xludf.DUMMYFUNCTION("""COMPUTED_VALUE"""),3794.6)</f>
        <v>3794.6</v>
      </c>
      <c r="E1673" s="3">
        <f>IFERROR(__xludf.DUMMYFUNCTION("""COMPUTED_VALUE"""),3821.55)</f>
        <v>3821.55</v>
      </c>
      <c r="F1673" s="3">
        <f>IFERROR(__xludf.DUMMYFUNCTION("""COMPUTED_VALUE"""),0.0)</f>
        <v>0</v>
      </c>
    </row>
    <row r="1674">
      <c r="A1674" s="7">
        <f>IFERROR(__xludf.DUMMYFUNCTION("""COMPUTED_VALUE"""),39174.645833333336)</f>
        <v>39174.64583</v>
      </c>
      <c r="B1674" s="3">
        <f>IFERROR(__xludf.DUMMYFUNCTION("""COMPUTED_VALUE"""),3768.45)</f>
        <v>3768.45</v>
      </c>
      <c r="C1674" s="3">
        <f>IFERROR(__xludf.DUMMYFUNCTION("""COMPUTED_VALUE"""),3768.45)</f>
        <v>3768.45</v>
      </c>
      <c r="D1674" s="3">
        <f>IFERROR(__xludf.DUMMYFUNCTION("""COMPUTED_VALUE"""),3618.6)</f>
        <v>3618.6</v>
      </c>
      <c r="E1674" s="3">
        <f>IFERROR(__xludf.DUMMYFUNCTION("""COMPUTED_VALUE"""),3633.6)</f>
        <v>3633.6</v>
      </c>
      <c r="F1674" s="3">
        <f>IFERROR(__xludf.DUMMYFUNCTION("""COMPUTED_VALUE"""),0.0)</f>
        <v>0</v>
      </c>
    </row>
    <row r="1675">
      <c r="A1675" s="7">
        <f>IFERROR(__xludf.DUMMYFUNCTION("""COMPUTED_VALUE"""),39175.645833333336)</f>
        <v>39175.64583</v>
      </c>
      <c r="B1675" s="3">
        <f>IFERROR(__xludf.DUMMYFUNCTION("""COMPUTED_VALUE"""),3651.1)</f>
        <v>3651.1</v>
      </c>
      <c r="C1675" s="3">
        <f>IFERROR(__xludf.DUMMYFUNCTION("""COMPUTED_VALUE"""),3702.1)</f>
        <v>3702.1</v>
      </c>
      <c r="D1675" s="3">
        <f>IFERROR(__xludf.DUMMYFUNCTION("""COMPUTED_VALUE"""),3641.35)</f>
        <v>3641.35</v>
      </c>
      <c r="E1675" s="3">
        <f>IFERROR(__xludf.DUMMYFUNCTION("""COMPUTED_VALUE"""),3690.65)</f>
        <v>3690.65</v>
      </c>
      <c r="F1675" s="3">
        <f>IFERROR(__xludf.DUMMYFUNCTION("""COMPUTED_VALUE"""),0.0)</f>
        <v>0</v>
      </c>
    </row>
    <row r="1676">
      <c r="A1676" s="7">
        <f>IFERROR(__xludf.DUMMYFUNCTION("""COMPUTED_VALUE"""),39176.645833333336)</f>
        <v>39176.64583</v>
      </c>
      <c r="B1676" s="3">
        <f>IFERROR(__xludf.DUMMYFUNCTION("""COMPUTED_VALUE"""),3709.0)</f>
        <v>3709</v>
      </c>
      <c r="C1676" s="3">
        <f>IFERROR(__xludf.DUMMYFUNCTION("""COMPUTED_VALUE"""),3751.0)</f>
        <v>3751</v>
      </c>
      <c r="D1676" s="3">
        <f>IFERROR(__xludf.DUMMYFUNCTION("""COMPUTED_VALUE"""),3709.0)</f>
        <v>3709</v>
      </c>
      <c r="E1676" s="3">
        <f>IFERROR(__xludf.DUMMYFUNCTION("""COMPUTED_VALUE"""),3733.25)</f>
        <v>3733.25</v>
      </c>
      <c r="F1676" s="3">
        <f>IFERROR(__xludf.DUMMYFUNCTION("""COMPUTED_VALUE"""),0.0)</f>
        <v>0</v>
      </c>
    </row>
    <row r="1677">
      <c r="A1677" s="7">
        <f>IFERROR(__xludf.DUMMYFUNCTION("""COMPUTED_VALUE"""),39177.645833333336)</f>
        <v>39177.64583</v>
      </c>
      <c r="B1677" s="3">
        <f>IFERROR(__xludf.DUMMYFUNCTION("""COMPUTED_VALUE"""),3733.25)</f>
        <v>3733.25</v>
      </c>
      <c r="C1677" s="3">
        <f>IFERROR(__xludf.DUMMYFUNCTION("""COMPUTED_VALUE"""),3771.4)</f>
        <v>3771.4</v>
      </c>
      <c r="D1677" s="3">
        <f>IFERROR(__xludf.DUMMYFUNCTION("""COMPUTED_VALUE"""),3710.2)</f>
        <v>3710.2</v>
      </c>
      <c r="E1677" s="3">
        <f>IFERROR(__xludf.DUMMYFUNCTION("""COMPUTED_VALUE"""),3752.0)</f>
        <v>3752</v>
      </c>
      <c r="F1677" s="3">
        <f>IFERROR(__xludf.DUMMYFUNCTION("""COMPUTED_VALUE"""),0.0)</f>
        <v>0</v>
      </c>
    </row>
    <row r="1678">
      <c r="A1678" s="7">
        <f>IFERROR(__xludf.DUMMYFUNCTION("""COMPUTED_VALUE"""),39181.645833333336)</f>
        <v>39181.64583</v>
      </c>
      <c r="B1678" s="3">
        <f>IFERROR(__xludf.DUMMYFUNCTION("""COMPUTED_VALUE"""),3762.8)</f>
        <v>3762.8</v>
      </c>
      <c r="C1678" s="3">
        <f>IFERROR(__xludf.DUMMYFUNCTION("""COMPUTED_VALUE"""),3850.4)</f>
        <v>3850.4</v>
      </c>
      <c r="D1678" s="3">
        <f>IFERROR(__xludf.DUMMYFUNCTION("""COMPUTED_VALUE"""),3762.8)</f>
        <v>3762.8</v>
      </c>
      <c r="E1678" s="3">
        <f>IFERROR(__xludf.DUMMYFUNCTION("""COMPUTED_VALUE"""),3843.5)</f>
        <v>3843.5</v>
      </c>
      <c r="F1678" s="3">
        <f>IFERROR(__xludf.DUMMYFUNCTION("""COMPUTED_VALUE"""),0.0)</f>
        <v>0</v>
      </c>
    </row>
    <row r="1679">
      <c r="A1679" s="7">
        <f>IFERROR(__xludf.DUMMYFUNCTION("""COMPUTED_VALUE"""),39182.645833333336)</f>
        <v>39182.64583</v>
      </c>
      <c r="B1679" s="3">
        <f>IFERROR(__xludf.DUMMYFUNCTION("""COMPUTED_VALUE"""),3848.1)</f>
        <v>3848.1</v>
      </c>
      <c r="C1679" s="3">
        <f>IFERROR(__xludf.DUMMYFUNCTION("""COMPUTED_VALUE"""),3858.3)</f>
        <v>3858.3</v>
      </c>
      <c r="D1679" s="3">
        <f>IFERROR(__xludf.DUMMYFUNCTION("""COMPUTED_VALUE"""),3819.65)</f>
        <v>3819.65</v>
      </c>
      <c r="E1679" s="3">
        <f>IFERROR(__xludf.DUMMYFUNCTION("""COMPUTED_VALUE"""),3848.15)</f>
        <v>3848.15</v>
      </c>
      <c r="F1679" s="3">
        <f>IFERROR(__xludf.DUMMYFUNCTION("""COMPUTED_VALUE"""),0.0)</f>
        <v>0</v>
      </c>
    </row>
    <row r="1680">
      <c r="A1680" s="7">
        <f>IFERROR(__xludf.DUMMYFUNCTION("""COMPUTED_VALUE"""),39183.645833333336)</f>
        <v>39183.64583</v>
      </c>
      <c r="B1680" s="3">
        <f>IFERROR(__xludf.DUMMYFUNCTION("""COMPUTED_VALUE"""),3859.15)</f>
        <v>3859.15</v>
      </c>
      <c r="C1680" s="3">
        <f>IFERROR(__xludf.DUMMYFUNCTION("""COMPUTED_VALUE"""),3876.05)</f>
        <v>3876.05</v>
      </c>
      <c r="D1680" s="3">
        <f>IFERROR(__xludf.DUMMYFUNCTION("""COMPUTED_VALUE"""),3845.05)</f>
        <v>3845.05</v>
      </c>
      <c r="E1680" s="3">
        <f>IFERROR(__xludf.DUMMYFUNCTION("""COMPUTED_VALUE"""),3862.65)</f>
        <v>3862.65</v>
      </c>
      <c r="F1680" s="3">
        <f>IFERROR(__xludf.DUMMYFUNCTION("""COMPUTED_VALUE"""),0.0)</f>
        <v>0</v>
      </c>
    </row>
    <row r="1681">
      <c r="A1681" s="7">
        <f>IFERROR(__xludf.DUMMYFUNCTION("""COMPUTED_VALUE"""),39184.645833333336)</f>
        <v>39184.64583</v>
      </c>
      <c r="B1681" s="3">
        <f>IFERROR(__xludf.DUMMYFUNCTION("""COMPUTED_VALUE"""),3835.05)</f>
        <v>3835.05</v>
      </c>
      <c r="C1681" s="3">
        <f>IFERROR(__xludf.DUMMYFUNCTION("""COMPUTED_VALUE"""),3849.6)</f>
        <v>3849.6</v>
      </c>
      <c r="D1681" s="3">
        <f>IFERROR(__xludf.DUMMYFUNCTION("""COMPUTED_VALUE"""),3811.75)</f>
        <v>3811.75</v>
      </c>
      <c r="E1681" s="3">
        <f>IFERROR(__xludf.DUMMYFUNCTION("""COMPUTED_VALUE"""),3829.85)</f>
        <v>3829.85</v>
      </c>
      <c r="F1681" s="3">
        <f>IFERROR(__xludf.DUMMYFUNCTION("""COMPUTED_VALUE"""),0.0)</f>
        <v>0</v>
      </c>
    </row>
    <row r="1682">
      <c r="A1682" s="7">
        <f>IFERROR(__xludf.DUMMYFUNCTION("""COMPUTED_VALUE"""),39185.645833333336)</f>
        <v>39185.64583</v>
      </c>
      <c r="B1682" s="3">
        <f>IFERROR(__xludf.DUMMYFUNCTION("""COMPUTED_VALUE"""),3838.25)</f>
        <v>3838.25</v>
      </c>
      <c r="C1682" s="3">
        <f>IFERROR(__xludf.DUMMYFUNCTION("""COMPUTED_VALUE"""),3924.1)</f>
        <v>3924.1</v>
      </c>
      <c r="D1682" s="3">
        <f>IFERROR(__xludf.DUMMYFUNCTION("""COMPUTED_VALUE"""),3830.0)</f>
        <v>3830</v>
      </c>
      <c r="E1682" s="3">
        <f>IFERROR(__xludf.DUMMYFUNCTION("""COMPUTED_VALUE"""),3917.35)</f>
        <v>3917.35</v>
      </c>
      <c r="F1682" s="3">
        <f>IFERROR(__xludf.DUMMYFUNCTION("""COMPUTED_VALUE"""),0.0)</f>
        <v>0</v>
      </c>
    </row>
    <row r="1683">
      <c r="A1683" s="7">
        <f>IFERROR(__xludf.DUMMYFUNCTION("""COMPUTED_VALUE"""),39188.645833333336)</f>
        <v>39188.64583</v>
      </c>
      <c r="B1683" s="3">
        <f>IFERROR(__xludf.DUMMYFUNCTION("""COMPUTED_VALUE"""),3939.4)</f>
        <v>3939.4</v>
      </c>
      <c r="C1683" s="3">
        <f>IFERROR(__xludf.DUMMYFUNCTION("""COMPUTED_VALUE"""),4016.45)</f>
        <v>4016.45</v>
      </c>
      <c r="D1683" s="3">
        <f>IFERROR(__xludf.DUMMYFUNCTION("""COMPUTED_VALUE"""),3939.4)</f>
        <v>3939.4</v>
      </c>
      <c r="E1683" s="3">
        <f>IFERROR(__xludf.DUMMYFUNCTION("""COMPUTED_VALUE"""),4013.35)</f>
        <v>4013.35</v>
      </c>
      <c r="F1683" s="3">
        <f>IFERROR(__xludf.DUMMYFUNCTION("""COMPUTED_VALUE"""),0.0)</f>
        <v>0</v>
      </c>
    </row>
    <row r="1684">
      <c r="A1684" s="7">
        <f>IFERROR(__xludf.DUMMYFUNCTION("""COMPUTED_VALUE"""),39189.645833333336)</f>
        <v>39189.64583</v>
      </c>
      <c r="B1684" s="3">
        <f>IFERROR(__xludf.DUMMYFUNCTION("""COMPUTED_VALUE"""),4023.8)</f>
        <v>4023.8</v>
      </c>
      <c r="C1684" s="3">
        <f>IFERROR(__xludf.DUMMYFUNCTION("""COMPUTED_VALUE"""),4028.25)</f>
        <v>4028.25</v>
      </c>
      <c r="D1684" s="3">
        <f>IFERROR(__xludf.DUMMYFUNCTION("""COMPUTED_VALUE"""),3976.35)</f>
        <v>3976.35</v>
      </c>
      <c r="E1684" s="3">
        <f>IFERROR(__xludf.DUMMYFUNCTION("""COMPUTED_VALUE"""),3984.95)</f>
        <v>3984.95</v>
      </c>
      <c r="F1684" s="3">
        <f>IFERROR(__xludf.DUMMYFUNCTION("""COMPUTED_VALUE"""),0.0)</f>
        <v>0</v>
      </c>
    </row>
    <row r="1685">
      <c r="A1685" s="7">
        <f>IFERROR(__xludf.DUMMYFUNCTION("""COMPUTED_VALUE"""),39190.645833333336)</f>
        <v>39190.64583</v>
      </c>
      <c r="B1685" s="3">
        <f>IFERROR(__xludf.DUMMYFUNCTION("""COMPUTED_VALUE"""),3989.0)</f>
        <v>3989</v>
      </c>
      <c r="C1685" s="3">
        <f>IFERROR(__xludf.DUMMYFUNCTION("""COMPUTED_VALUE"""),4038.7)</f>
        <v>4038.7</v>
      </c>
      <c r="D1685" s="3">
        <f>IFERROR(__xludf.DUMMYFUNCTION("""COMPUTED_VALUE"""),3989.0)</f>
        <v>3989</v>
      </c>
      <c r="E1685" s="3">
        <f>IFERROR(__xludf.DUMMYFUNCTION("""COMPUTED_VALUE"""),4011.6)</f>
        <v>4011.6</v>
      </c>
      <c r="F1685" s="3">
        <f>IFERROR(__xludf.DUMMYFUNCTION("""COMPUTED_VALUE"""),0.0)</f>
        <v>0</v>
      </c>
    </row>
    <row r="1686">
      <c r="A1686" s="7">
        <f>IFERROR(__xludf.DUMMYFUNCTION("""COMPUTED_VALUE"""),39191.645833333336)</f>
        <v>39191.64583</v>
      </c>
      <c r="B1686" s="3">
        <f>IFERROR(__xludf.DUMMYFUNCTION("""COMPUTED_VALUE"""),3974.1)</f>
        <v>3974.1</v>
      </c>
      <c r="C1686" s="3">
        <f>IFERROR(__xludf.DUMMYFUNCTION("""COMPUTED_VALUE"""),4010.5)</f>
        <v>4010.5</v>
      </c>
      <c r="D1686" s="3">
        <f>IFERROR(__xludf.DUMMYFUNCTION("""COMPUTED_VALUE"""),3933.6)</f>
        <v>3933.6</v>
      </c>
      <c r="E1686" s="3">
        <f>IFERROR(__xludf.DUMMYFUNCTION("""COMPUTED_VALUE"""),3997.65)</f>
        <v>3997.65</v>
      </c>
      <c r="F1686" s="3">
        <f>IFERROR(__xludf.DUMMYFUNCTION("""COMPUTED_VALUE"""),0.0)</f>
        <v>0</v>
      </c>
    </row>
    <row r="1687">
      <c r="A1687" s="7">
        <f>IFERROR(__xludf.DUMMYFUNCTION("""COMPUTED_VALUE"""),39192.645833333336)</f>
        <v>39192.64583</v>
      </c>
      <c r="B1687" s="3">
        <f>IFERROR(__xludf.DUMMYFUNCTION("""COMPUTED_VALUE"""),4027.75)</f>
        <v>4027.75</v>
      </c>
      <c r="C1687" s="3">
        <f>IFERROR(__xludf.DUMMYFUNCTION("""COMPUTED_VALUE"""),4089.9)</f>
        <v>4089.9</v>
      </c>
      <c r="D1687" s="3">
        <f>IFERROR(__xludf.DUMMYFUNCTION("""COMPUTED_VALUE"""),4027.75)</f>
        <v>4027.75</v>
      </c>
      <c r="E1687" s="3">
        <f>IFERROR(__xludf.DUMMYFUNCTION("""COMPUTED_VALUE"""),4083.55)</f>
        <v>4083.55</v>
      </c>
      <c r="F1687" s="3">
        <f>IFERROR(__xludf.DUMMYFUNCTION("""COMPUTED_VALUE"""),0.0)</f>
        <v>0</v>
      </c>
    </row>
    <row r="1688">
      <c r="A1688" s="7">
        <f>IFERROR(__xludf.DUMMYFUNCTION("""COMPUTED_VALUE"""),39195.645833333336)</f>
        <v>39195.64583</v>
      </c>
      <c r="B1688" s="3">
        <f>IFERROR(__xludf.DUMMYFUNCTION("""COMPUTED_VALUE"""),4098.85)</f>
        <v>4098.85</v>
      </c>
      <c r="C1688" s="3">
        <f>IFERROR(__xludf.DUMMYFUNCTION("""COMPUTED_VALUE"""),4119.6)</f>
        <v>4119.6</v>
      </c>
      <c r="D1688" s="3">
        <f>IFERROR(__xludf.DUMMYFUNCTION("""COMPUTED_VALUE"""),4075.45)</f>
        <v>4075.45</v>
      </c>
      <c r="E1688" s="3">
        <f>IFERROR(__xludf.DUMMYFUNCTION("""COMPUTED_VALUE"""),4085.1)</f>
        <v>4085.1</v>
      </c>
      <c r="F1688" s="3">
        <f>IFERROR(__xludf.DUMMYFUNCTION("""COMPUTED_VALUE"""),0.0)</f>
        <v>0</v>
      </c>
    </row>
    <row r="1689">
      <c r="A1689" s="7">
        <f>IFERROR(__xludf.DUMMYFUNCTION("""COMPUTED_VALUE"""),39196.645833333336)</f>
        <v>39196.64583</v>
      </c>
      <c r="B1689" s="3">
        <f>IFERROR(__xludf.DUMMYFUNCTION("""COMPUTED_VALUE"""),4075.35)</f>
        <v>4075.35</v>
      </c>
      <c r="C1689" s="3">
        <f>IFERROR(__xludf.DUMMYFUNCTION("""COMPUTED_VALUE"""),4161.75)</f>
        <v>4161.75</v>
      </c>
      <c r="D1689" s="3">
        <f>IFERROR(__xludf.DUMMYFUNCTION("""COMPUTED_VALUE"""),4060.1)</f>
        <v>4060.1</v>
      </c>
      <c r="E1689" s="3">
        <f>IFERROR(__xludf.DUMMYFUNCTION("""COMPUTED_VALUE"""),4141.8)</f>
        <v>4141.8</v>
      </c>
      <c r="F1689" s="3">
        <f>IFERROR(__xludf.DUMMYFUNCTION("""COMPUTED_VALUE"""),0.0)</f>
        <v>0</v>
      </c>
    </row>
    <row r="1690">
      <c r="A1690" s="7">
        <f>IFERROR(__xludf.DUMMYFUNCTION("""COMPUTED_VALUE"""),39197.645833333336)</f>
        <v>39197.64583</v>
      </c>
      <c r="B1690" s="3">
        <f>IFERROR(__xludf.DUMMYFUNCTION("""COMPUTED_VALUE"""),4141.05)</f>
        <v>4141.05</v>
      </c>
      <c r="C1690" s="3">
        <f>IFERROR(__xludf.DUMMYFUNCTION("""COMPUTED_VALUE"""),4171.05)</f>
        <v>4171.05</v>
      </c>
      <c r="D1690" s="3">
        <f>IFERROR(__xludf.DUMMYFUNCTION("""COMPUTED_VALUE"""),4114.6)</f>
        <v>4114.6</v>
      </c>
      <c r="E1690" s="3">
        <f>IFERROR(__xludf.DUMMYFUNCTION("""COMPUTED_VALUE"""),4167.3)</f>
        <v>4167.3</v>
      </c>
      <c r="F1690" s="3">
        <f>IFERROR(__xludf.DUMMYFUNCTION("""COMPUTED_VALUE"""),0.0)</f>
        <v>0</v>
      </c>
    </row>
    <row r="1691">
      <c r="A1691" s="7">
        <f>IFERROR(__xludf.DUMMYFUNCTION("""COMPUTED_VALUE"""),39198.645833333336)</f>
        <v>39198.64583</v>
      </c>
      <c r="B1691" s="3">
        <f>IFERROR(__xludf.DUMMYFUNCTION("""COMPUTED_VALUE"""),4172.25)</f>
        <v>4172.25</v>
      </c>
      <c r="C1691" s="3">
        <f>IFERROR(__xludf.DUMMYFUNCTION("""COMPUTED_VALUE"""),4214.75)</f>
        <v>4214.75</v>
      </c>
      <c r="D1691" s="3">
        <f>IFERROR(__xludf.DUMMYFUNCTION("""COMPUTED_VALUE"""),4143.65)</f>
        <v>4143.65</v>
      </c>
      <c r="E1691" s="3">
        <f>IFERROR(__xludf.DUMMYFUNCTION("""COMPUTED_VALUE"""),4177.85)</f>
        <v>4177.85</v>
      </c>
      <c r="F1691" s="3">
        <f>IFERROR(__xludf.DUMMYFUNCTION("""COMPUTED_VALUE"""),0.0)</f>
        <v>0</v>
      </c>
    </row>
    <row r="1692">
      <c r="A1692" s="7">
        <f>IFERROR(__xludf.DUMMYFUNCTION("""COMPUTED_VALUE"""),39199.645833333336)</f>
        <v>39199.64583</v>
      </c>
      <c r="B1692" s="3">
        <f>IFERROR(__xludf.DUMMYFUNCTION("""COMPUTED_VALUE"""),4154.55)</f>
        <v>4154.55</v>
      </c>
      <c r="C1692" s="3">
        <f>IFERROR(__xludf.DUMMYFUNCTION("""COMPUTED_VALUE"""),4159.15)</f>
        <v>4159.15</v>
      </c>
      <c r="D1692" s="3">
        <f>IFERROR(__xludf.DUMMYFUNCTION("""COMPUTED_VALUE"""),4074.85)</f>
        <v>4074.85</v>
      </c>
      <c r="E1692" s="3">
        <f>IFERROR(__xludf.DUMMYFUNCTION("""COMPUTED_VALUE"""),4083.5)</f>
        <v>4083.5</v>
      </c>
      <c r="F1692" s="3">
        <f>IFERROR(__xludf.DUMMYFUNCTION("""COMPUTED_VALUE"""),0.0)</f>
        <v>0</v>
      </c>
    </row>
    <row r="1693">
      <c r="A1693" s="7">
        <f>IFERROR(__xludf.DUMMYFUNCTION("""COMPUTED_VALUE"""),39202.645833333336)</f>
        <v>39202.64583</v>
      </c>
      <c r="B1693" s="3">
        <f>IFERROR(__xludf.DUMMYFUNCTION("""COMPUTED_VALUE"""),4067.65)</f>
        <v>4067.65</v>
      </c>
      <c r="C1693" s="3">
        <f>IFERROR(__xludf.DUMMYFUNCTION("""COMPUTED_VALUE"""),4095.6)</f>
        <v>4095.6</v>
      </c>
      <c r="D1693" s="3">
        <f>IFERROR(__xludf.DUMMYFUNCTION("""COMPUTED_VALUE"""),4029.4)</f>
        <v>4029.4</v>
      </c>
      <c r="E1693" s="3">
        <f>IFERROR(__xludf.DUMMYFUNCTION("""COMPUTED_VALUE"""),4087.9)</f>
        <v>4087.9</v>
      </c>
      <c r="F1693" s="3">
        <f>IFERROR(__xludf.DUMMYFUNCTION("""COMPUTED_VALUE"""),0.0)</f>
        <v>0</v>
      </c>
    </row>
    <row r="1694">
      <c r="A1694" s="7">
        <f>IFERROR(__xludf.DUMMYFUNCTION("""COMPUTED_VALUE"""),39205.645833333336)</f>
        <v>39205.64583</v>
      </c>
      <c r="B1694" s="3">
        <f>IFERROR(__xludf.DUMMYFUNCTION("""COMPUTED_VALUE"""),4106.8)</f>
        <v>4106.8</v>
      </c>
      <c r="C1694" s="3">
        <f>IFERROR(__xludf.DUMMYFUNCTION("""COMPUTED_VALUE"""),4160.7)</f>
        <v>4160.7</v>
      </c>
      <c r="D1694" s="3">
        <f>IFERROR(__xludf.DUMMYFUNCTION("""COMPUTED_VALUE"""),4106.8)</f>
        <v>4106.8</v>
      </c>
      <c r="E1694" s="3">
        <f>IFERROR(__xludf.DUMMYFUNCTION("""COMPUTED_VALUE"""),4150.85)</f>
        <v>4150.85</v>
      </c>
      <c r="F1694" s="3">
        <f>IFERROR(__xludf.DUMMYFUNCTION("""COMPUTED_VALUE"""),0.0)</f>
        <v>0</v>
      </c>
    </row>
    <row r="1695">
      <c r="A1695" s="7">
        <f>IFERROR(__xludf.DUMMYFUNCTION("""COMPUTED_VALUE"""),39206.645833333336)</f>
        <v>39206.64583</v>
      </c>
      <c r="B1695" s="3">
        <f>IFERROR(__xludf.DUMMYFUNCTION("""COMPUTED_VALUE"""),4163.1)</f>
        <v>4163.1</v>
      </c>
      <c r="C1695" s="3">
        <f>IFERROR(__xludf.DUMMYFUNCTION("""COMPUTED_VALUE"""),4180.2)</f>
        <v>4180.2</v>
      </c>
      <c r="D1695" s="3">
        <f>IFERROR(__xludf.DUMMYFUNCTION("""COMPUTED_VALUE"""),4110.15)</f>
        <v>4110.15</v>
      </c>
      <c r="E1695" s="3">
        <f>IFERROR(__xludf.DUMMYFUNCTION("""COMPUTED_VALUE"""),4117.35)</f>
        <v>4117.35</v>
      </c>
      <c r="F1695" s="3">
        <f>IFERROR(__xludf.DUMMYFUNCTION("""COMPUTED_VALUE"""),0.0)</f>
        <v>0</v>
      </c>
    </row>
    <row r="1696">
      <c r="A1696" s="7">
        <f>IFERROR(__xludf.DUMMYFUNCTION("""COMPUTED_VALUE"""),39209.645833333336)</f>
        <v>39209.64583</v>
      </c>
      <c r="B1696" s="3">
        <f>IFERROR(__xludf.DUMMYFUNCTION("""COMPUTED_VALUE"""),4132.75)</f>
        <v>4132.75</v>
      </c>
      <c r="C1696" s="3">
        <f>IFERROR(__xludf.DUMMYFUNCTION("""COMPUTED_VALUE"""),4152.5)</f>
        <v>4152.5</v>
      </c>
      <c r="D1696" s="3">
        <f>IFERROR(__xludf.DUMMYFUNCTION("""COMPUTED_VALUE"""),4103.9)</f>
        <v>4103.9</v>
      </c>
      <c r="E1696" s="3">
        <f>IFERROR(__xludf.DUMMYFUNCTION("""COMPUTED_VALUE"""),4111.15)</f>
        <v>4111.15</v>
      </c>
      <c r="F1696" s="3">
        <f>IFERROR(__xludf.DUMMYFUNCTION("""COMPUTED_VALUE"""),0.0)</f>
        <v>0</v>
      </c>
    </row>
    <row r="1697">
      <c r="A1697" s="7">
        <f>IFERROR(__xludf.DUMMYFUNCTION("""COMPUTED_VALUE"""),39210.645833333336)</f>
        <v>39210.64583</v>
      </c>
      <c r="B1697" s="3">
        <f>IFERROR(__xludf.DUMMYFUNCTION("""COMPUTED_VALUE"""),4109.4)</f>
        <v>4109.4</v>
      </c>
      <c r="C1697" s="3">
        <f>IFERROR(__xludf.DUMMYFUNCTION("""COMPUTED_VALUE"""),4135.5)</f>
        <v>4135.5</v>
      </c>
      <c r="D1697" s="3">
        <f>IFERROR(__xludf.DUMMYFUNCTION("""COMPUTED_VALUE"""),4066.75)</f>
        <v>4066.75</v>
      </c>
      <c r="E1697" s="3">
        <f>IFERROR(__xludf.DUMMYFUNCTION("""COMPUTED_VALUE"""),4077.0)</f>
        <v>4077</v>
      </c>
      <c r="F1697" s="3">
        <f>IFERROR(__xludf.DUMMYFUNCTION("""COMPUTED_VALUE"""),0.0)</f>
        <v>0</v>
      </c>
    </row>
    <row r="1698">
      <c r="A1698" s="7">
        <f>IFERROR(__xludf.DUMMYFUNCTION("""COMPUTED_VALUE"""),39211.645833333336)</f>
        <v>39211.64583</v>
      </c>
      <c r="B1698" s="3">
        <f>IFERROR(__xludf.DUMMYFUNCTION("""COMPUTED_VALUE"""),4085.15)</f>
        <v>4085.15</v>
      </c>
      <c r="C1698" s="3">
        <f>IFERROR(__xludf.DUMMYFUNCTION("""COMPUTED_VALUE"""),4086.05)</f>
        <v>4086.05</v>
      </c>
      <c r="D1698" s="3">
        <f>IFERROR(__xludf.DUMMYFUNCTION("""COMPUTED_VALUE"""),4030.7)</f>
        <v>4030.7</v>
      </c>
      <c r="E1698" s="3">
        <f>IFERROR(__xludf.DUMMYFUNCTION("""COMPUTED_VALUE"""),4079.3)</f>
        <v>4079.3</v>
      </c>
      <c r="F1698" s="3">
        <f>IFERROR(__xludf.DUMMYFUNCTION("""COMPUTED_VALUE"""),0.0)</f>
        <v>0</v>
      </c>
    </row>
    <row r="1699">
      <c r="A1699" s="7">
        <f>IFERROR(__xludf.DUMMYFUNCTION("""COMPUTED_VALUE"""),39212.645833333336)</f>
        <v>39212.64583</v>
      </c>
      <c r="B1699" s="3">
        <f>IFERROR(__xludf.DUMMYFUNCTION("""COMPUTED_VALUE"""),4098.7)</f>
        <v>4098.7</v>
      </c>
      <c r="C1699" s="3">
        <f>IFERROR(__xludf.DUMMYFUNCTION("""COMPUTED_VALUE"""),4134.2)</f>
        <v>4134.2</v>
      </c>
      <c r="D1699" s="3">
        <f>IFERROR(__xludf.DUMMYFUNCTION("""COMPUTED_VALUE"""),4058.0)</f>
        <v>4058</v>
      </c>
      <c r="E1699" s="3">
        <f>IFERROR(__xludf.DUMMYFUNCTION("""COMPUTED_VALUE"""),4066.8)</f>
        <v>4066.8</v>
      </c>
      <c r="F1699" s="3">
        <f>IFERROR(__xludf.DUMMYFUNCTION("""COMPUTED_VALUE"""),0.0)</f>
        <v>0</v>
      </c>
    </row>
    <row r="1700">
      <c r="A1700" s="7">
        <f>IFERROR(__xludf.DUMMYFUNCTION("""COMPUTED_VALUE"""),39213.645833333336)</f>
        <v>39213.64583</v>
      </c>
      <c r="B1700" s="3">
        <f>IFERROR(__xludf.DUMMYFUNCTION("""COMPUTED_VALUE"""),3995.75)</f>
        <v>3995.75</v>
      </c>
      <c r="C1700" s="3">
        <f>IFERROR(__xludf.DUMMYFUNCTION("""COMPUTED_VALUE"""),4094.4)</f>
        <v>4094.4</v>
      </c>
      <c r="D1700" s="3">
        <f>IFERROR(__xludf.DUMMYFUNCTION("""COMPUTED_VALUE"""),3992.15)</f>
        <v>3992.15</v>
      </c>
      <c r="E1700" s="3">
        <f>IFERROR(__xludf.DUMMYFUNCTION("""COMPUTED_VALUE"""),4076.65)</f>
        <v>4076.65</v>
      </c>
      <c r="F1700" s="3">
        <f>IFERROR(__xludf.DUMMYFUNCTION("""COMPUTED_VALUE"""),0.0)</f>
        <v>0</v>
      </c>
    </row>
    <row r="1701">
      <c r="A1701" s="7">
        <f>IFERROR(__xludf.DUMMYFUNCTION("""COMPUTED_VALUE"""),39216.645833333336)</f>
        <v>39216.64583</v>
      </c>
      <c r="B1701" s="3">
        <f>IFERROR(__xludf.DUMMYFUNCTION("""COMPUTED_VALUE"""),4107.35)</f>
        <v>4107.35</v>
      </c>
      <c r="C1701" s="3">
        <f>IFERROR(__xludf.DUMMYFUNCTION("""COMPUTED_VALUE"""),4150.85)</f>
        <v>4150.85</v>
      </c>
      <c r="D1701" s="3">
        <f>IFERROR(__xludf.DUMMYFUNCTION("""COMPUTED_VALUE"""),4107.35)</f>
        <v>4107.35</v>
      </c>
      <c r="E1701" s="3">
        <f>IFERROR(__xludf.DUMMYFUNCTION("""COMPUTED_VALUE"""),4134.3)</f>
        <v>4134.3</v>
      </c>
      <c r="F1701" s="3">
        <f>IFERROR(__xludf.DUMMYFUNCTION("""COMPUTED_VALUE"""),0.0)</f>
        <v>0</v>
      </c>
    </row>
    <row r="1702">
      <c r="A1702" s="7">
        <f>IFERROR(__xludf.DUMMYFUNCTION("""COMPUTED_VALUE"""),39217.645833333336)</f>
        <v>39217.64583</v>
      </c>
      <c r="B1702" s="3">
        <f>IFERROR(__xludf.DUMMYFUNCTION("""COMPUTED_VALUE"""),4136.5)</f>
        <v>4136.5</v>
      </c>
      <c r="C1702" s="3">
        <f>IFERROR(__xludf.DUMMYFUNCTION("""COMPUTED_VALUE"""),4149.6)</f>
        <v>4149.6</v>
      </c>
      <c r="D1702" s="3">
        <f>IFERROR(__xludf.DUMMYFUNCTION("""COMPUTED_VALUE"""),4102.7)</f>
        <v>4102.7</v>
      </c>
      <c r="E1702" s="3">
        <f>IFERROR(__xludf.DUMMYFUNCTION("""COMPUTED_VALUE"""),4120.3)</f>
        <v>4120.3</v>
      </c>
      <c r="F1702" s="3">
        <f>IFERROR(__xludf.DUMMYFUNCTION("""COMPUTED_VALUE"""),0.0)</f>
        <v>0</v>
      </c>
    </row>
    <row r="1703">
      <c r="A1703" s="7">
        <f>IFERROR(__xludf.DUMMYFUNCTION("""COMPUTED_VALUE"""),39218.645833333336)</f>
        <v>39218.64583</v>
      </c>
      <c r="B1703" s="3">
        <f>IFERROR(__xludf.DUMMYFUNCTION("""COMPUTED_VALUE"""),4134.2)</f>
        <v>4134.2</v>
      </c>
      <c r="C1703" s="3">
        <f>IFERROR(__xludf.DUMMYFUNCTION("""COMPUTED_VALUE"""),4180.2)</f>
        <v>4180.2</v>
      </c>
      <c r="D1703" s="3">
        <f>IFERROR(__xludf.DUMMYFUNCTION("""COMPUTED_VALUE"""),4113.1)</f>
        <v>4113.1</v>
      </c>
      <c r="E1703" s="3">
        <f>IFERROR(__xludf.DUMMYFUNCTION("""COMPUTED_VALUE"""),4170.95)</f>
        <v>4170.95</v>
      </c>
      <c r="F1703" s="3">
        <f>IFERROR(__xludf.DUMMYFUNCTION("""COMPUTED_VALUE"""),0.0)</f>
        <v>0</v>
      </c>
    </row>
    <row r="1704">
      <c r="A1704" s="7">
        <f>IFERROR(__xludf.DUMMYFUNCTION("""COMPUTED_VALUE"""),39219.645833333336)</f>
        <v>39219.64583</v>
      </c>
      <c r="B1704" s="3">
        <f>IFERROR(__xludf.DUMMYFUNCTION("""COMPUTED_VALUE"""),4193.4)</f>
        <v>4193.4</v>
      </c>
      <c r="C1704" s="3">
        <f>IFERROR(__xludf.DUMMYFUNCTION("""COMPUTED_VALUE"""),4231.45)</f>
        <v>4231.45</v>
      </c>
      <c r="D1704" s="3">
        <f>IFERROR(__xludf.DUMMYFUNCTION("""COMPUTED_VALUE"""),4193.4)</f>
        <v>4193.4</v>
      </c>
      <c r="E1704" s="3">
        <f>IFERROR(__xludf.DUMMYFUNCTION("""COMPUTED_VALUE"""),4219.55)</f>
        <v>4219.55</v>
      </c>
      <c r="F1704" s="3">
        <f>IFERROR(__xludf.DUMMYFUNCTION("""COMPUTED_VALUE"""),0.0)</f>
        <v>0</v>
      </c>
    </row>
    <row r="1705">
      <c r="A1705" s="7">
        <f>IFERROR(__xludf.DUMMYFUNCTION("""COMPUTED_VALUE"""),39220.645833333336)</f>
        <v>39220.64583</v>
      </c>
      <c r="B1705" s="3">
        <f>IFERROR(__xludf.DUMMYFUNCTION("""COMPUTED_VALUE"""),4214.05)</f>
        <v>4214.05</v>
      </c>
      <c r="C1705" s="3">
        <f>IFERROR(__xludf.DUMMYFUNCTION("""COMPUTED_VALUE"""),4227.95)</f>
        <v>4227.95</v>
      </c>
      <c r="D1705" s="3">
        <f>IFERROR(__xludf.DUMMYFUNCTION("""COMPUTED_VALUE"""),4177.15)</f>
        <v>4177.15</v>
      </c>
      <c r="E1705" s="3">
        <f>IFERROR(__xludf.DUMMYFUNCTION("""COMPUTED_VALUE"""),4214.5)</f>
        <v>4214.5</v>
      </c>
      <c r="F1705" s="3">
        <f>IFERROR(__xludf.DUMMYFUNCTION("""COMPUTED_VALUE"""),0.0)</f>
        <v>0</v>
      </c>
    </row>
    <row r="1706">
      <c r="A1706" s="7">
        <f>IFERROR(__xludf.DUMMYFUNCTION("""COMPUTED_VALUE"""),39223.645833333336)</f>
        <v>39223.64583</v>
      </c>
      <c r="B1706" s="3">
        <f>IFERROR(__xludf.DUMMYFUNCTION("""COMPUTED_VALUE"""),4233.15)</f>
        <v>4233.15</v>
      </c>
      <c r="C1706" s="3">
        <f>IFERROR(__xludf.DUMMYFUNCTION("""COMPUTED_VALUE"""),4269.1)</f>
        <v>4269.1</v>
      </c>
      <c r="D1706" s="3">
        <f>IFERROR(__xludf.DUMMYFUNCTION("""COMPUTED_VALUE"""),4233.15)</f>
        <v>4233.15</v>
      </c>
      <c r="E1706" s="3">
        <f>IFERROR(__xludf.DUMMYFUNCTION("""COMPUTED_VALUE"""),4260.9)</f>
        <v>4260.9</v>
      </c>
      <c r="F1706" s="3">
        <f>IFERROR(__xludf.DUMMYFUNCTION("""COMPUTED_VALUE"""),0.0)</f>
        <v>0</v>
      </c>
    </row>
    <row r="1707">
      <c r="A1707" s="7">
        <f>IFERROR(__xludf.DUMMYFUNCTION("""COMPUTED_VALUE"""),39224.645833333336)</f>
        <v>39224.64583</v>
      </c>
      <c r="B1707" s="3">
        <f>IFERROR(__xludf.DUMMYFUNCTION("""COMPUTED_VALUE"""),4234.55)</f>
        <v>4234.55</v>
      </c>
      <c r="C1707" s="3">
        <f>IFERROR(__xludf.DUMMYFUNCTION("""COMPUTED_VALUE"""),4281.3)</f>
        <v>4281.3</v>
      </c>
      <c r="D1707" s="3">
        <f>IFERROR(__xludf.DUMMYFUNCTION("""COMPUTED_VALUE"""),4234.55)</f>
        <v>4234.55</v>
      </c>
      <c r="E1707" s="3">
        <f>IFERROR(__xludf.DUMMYFUNCTION("""COMPUTED_VALUE"""),4278.1)</f>
        <v>4278.1</v>
      </c>
      <c r="F1707" s="3">
        <f>IFERROR(__xludf.DUMMYFUNCTION("""COMPUTED_VALUE"""),0.0)</f>
        <v>0</v>
      </c>
    </row>
    <row r="1708">
      <c r="A1708" s="7">
        <f>IFERROR(__xludf.DUMMYFUNCTION("""COMPUTED_VALUE"""),39225.645833333336)</f>
        <v>39225.64583</v>
      </c>
      <c r="B1708" s="3">
        <f>IFERROR(__xludf.DUMMYFUNCTION("""COMPUTED_VALUE"""),4289.3)</f>
        <v>4289.3</v>
      </c>
      <c r="C1708" s="3">
        <f>IFERROR(__xludf.DUMMYFUNCTION("""COMPUTED_VALUE"""),4290.05)</f>
        <v>4290.05</v>
      </c>
      <c r="D1708" s="3">
        <f>IFERROR(__xludf.DUMMYFUNCTION("""COMPUTED_VALUE"""),4231.1)</f>
        <v>4231.1</v>
      </c>
      <c r="E1708" s="3">
        <f>IFERROR(__xludf.DUMMYFUNCTION("""COMPUTED_VALUE"""),4246.2)</f>
        <v>4246.2</v>
      </c>
      <c r="F1708" s="3">
        <f>IFERROR(__xludf.DUMMYFUNCTION("""COMPUTED_VALUE"""),0.0)</f>
        <v>0</v>
      </c>
    </row>
    <row r="1709">
      <c r="A1709" s="7">
        <f>IFERROR(__xludf.DUMMYFUNCTION("""COMPUTED_VALUE"""),39226.645833333336)</f>
        <v>39226.64583</v>
      </c>
      <c r="B1709" s="3">
        <f>IFERROR(__xludf.DUMMYFUNCTION("""COMPUTED_VALUE"""),4236.8)</f>
        <v>4236.8</v>
      </c>
      <c r="C1709" s="3">
        <f>IFERROR(__xludf.DUMMYFUNCTION("""COMPUTED_VALUE"""),4246.5)</f>
        <v>4246.5</v>
      </c>
      <c r="D1709" s="3">
        <f>IFERROR(__xludf.DUMMYFUNCTION("""COMPUTED_VALUE"""),4189.45)</f>
        <v>4189.45</v>
      </c>
      <c r="E1709" s="3">
        <f>IFERROR(__xludf.DUMMYFUNCTION("""COMPUTED_VALUE"""),4204.9)</f>
        <v>4204.9</v>
      </c>
      <c r="F1709" s="3">
        <f>IFERROR(__xludf.DUMMYFUNCTION("""COMPUTED_VALUE"""),0.0)</f>
        <v>0</v>
      </c>
    </row>
    <row r="1710">
      <c r="A1710" s="7">
        <f>IFERROR(__xludf.DUMMYFUNCTION("""COMPUTED_VALUE"""),39227.645833333336)</f>
        <v>39227.64583</v>
      </c>
      <c r="B1710" s="3">
        <f>IFERROR(__xludf.DUMMYFUNCTION("""COMPUTED_VALUE"""),4184.1)</f>
        <v>4184.1</v>
      </c>
      <c r="C1710" s="3">
        <f>IFERROR(__xludf.DUMMYFUNCTION("""COMPUTED_VALUE"""),4255.65)</f>
        <v>4255.65</v>
      </c>
      <c r="D1710" s="3">
        <f>IFERROR(__xludf.DUMMYFUNCTION("""COMPUTED_VALUE"""),4145.55)</f>
        <v>4145.55</v>
      </c>
      <c r="E1710" s="3">
        <f>IFERROR(__xludf.DUMMYFUNCTION("""COMPUTED_VALUE"""),4248.15)</f>
        <v>4248.15</v>
      </c>
      <c r="F1710" s="3">
        <f>IFERROR(__xludf.DUMMYFUNCTION("""COMPUTED_VALUE"""),0.0)</f>
        <v>0</v>
      </c>
    </row>
    <row r="1711">
      <c r="A1711" s="7">
        <f>IFERROR(__xludf.DUMMYFUNCTION("""COMPUTED_VALUE"""),39230.645833333336)</f>
        <v>39230.64583</v>
      </c>
      <c r="B1711" s="3">
        <f>IFERROR(__xludf.DUMMYFUNCTION("""COMPUTED_VALUE"""),4277.75)</f>
        <v>4277.75</v>
      </c>
      <c r="C1711" s="3">
        <f>IFERROR(__xludf.DUMMYFUNCTION("""COMPUTED_VALUE"""),4295.0)</f>
        <v>4295</v>
      </c>
      <c r="D1711" s="3">
        <f>IFERROR(__xludf.DUMMYFUNCTION("""COMPUTED_VALUE"""),4250.65)</f>
        <v>4250.65</v>
      </c>
      <c r="E1711" s="3">
        <f>IFERROR(__xludf.DUMMYFUNCTION("""COMPUTED_VALUE"""),4256.55)</f>
        <v>4256.55</v>
      </c>
      <c r="F1711" s="3">
        <f>IFERROR(__xludf.DUMMYFUNCTION("""COMPUTED_VALUE"""),0.0)</f>
        <v>0</v>
      </c>
    </row>
    <row r="1712">
      <c r="A1712" s="7">
        <f>IFERROR(__xludf.DUMMYFUNCTION("""COMPUTED_VALUE"""),39231.645833333336)</f>
        <v>39231.64583</v>
      </c>
      <c r="B1712" s="3">
        <f>IFERROR(__xludf.DUMMYFUNCTION("""COMPUTED_VALUE"""),4256.5)</f>
        <v>4256.5</v>
      </c>
      <c r="C1712" s="3">
        <f>IFERROR(__xludf.DUMMYFUNCTION("""COMPUTED_VALUE"""),4298.45)</f>
        <v>4298.45</v>
      </c>
      <c r="D1712" s="3">
        <f>IFERROR(__xludf.DUMMYFUNCTION("""COMPUTED_VALUE"""),4249.1)</f>
        <v>4249.1</v>
      </c>
      <c r="E1712" s="3">
        <f>IFERROR(__xludf.DUMMYFUNCTION("""COMPUTED_VALUE"""),4293.25)</f>
        <v>4293.25</v>
      </c>
      <c r="F1712" s="3">
        <f>IFERROR(__xludf.DUMMYFUNCTION("""COMPUTED_VALUE"""),0.0)</f>
        <v>0</v>
      </c>
    </row>
    <row r="1713">
      <c r="A1713" s="7">
        <f>IFERROR(__xludf.DUMMYFUNCTION("""COMPUTED_VALUE"""),39232.645833333336)</f>
        <v>39232.64583</v>
      </c>
      <c r="B1713" s="3">
        <f>IFERROR(__xludf.DUMMYFUNCTION("""COMPUTED_VALUE"""),4301.0)</f>
        <v>4301</v>
      </c>
      <c r="C1713" s="3">
        <f>IFERROR(__xludf.DUMMYFUNCTION("""COMPUTED_VALUE"""),4301.0)</f>
        <v>4301</v>
      </c>
      <c r="D1713" s="3">
        <f>IFERROR(__xludf.DUMMYFUNCTION("""COMPUTED_VALUE"""),4241.6)</f>
        <v>4241.6</v>
      </c>
      <c r="E1713" s="3">
        <f>IFERROR(__xludf.DUMMYFUNCTION("""COMPUTED_VALUE"""),4249.65)</f>
        <v>4249.65</v>
      </c>
      <c r="F1713" s="3">
        <f>IFERROR(__xludf.DUMMYFUNCTION("""COMPUTED_VALUE"""),0.0)</f>
        <v>0</v>
      </c>
    </row>
    <row r="1714">
      <c r="A1714" s="7">
        <f>IFERROR(__xludf.DUMMYFUNCTION("""COMPUTED_VALUE"""),39233.645833333336)</f>
        <v>39233.64583</v>
      </c>
      <c r="B1714" s="3">
        <f>IFERROR(__xludf.DUMMYFUNCTION("""COMPUTED_VALUE"""),4257.4)</f>
        <v>4257.4</v>
      </c>
      <c r="C1714" s="3">
        <f>IFERROR(__xludf.DUMMYFUNCTION("""COMPUTED_VALUE"""),4305.75)</f>
        <v>4305.75</v>
      </c>
      <c r="D1714" s="3">
        <f>IFERROR(__xludf.DUMMYFUNCTION("""COMPUTED_VALUE"""),4257.4)</f>
        <v>4257.4</v>
      </c>
      <c r="E1714" s="3">
        <f>IFERROR(__xludf.DUMMYFUNCTION("""COMPUTED_VALUE"""),4295.8)</f>
        <v>4295.8</v>
      </c>
      <c r="F1714" s="3">
        <f>IFERROR(__xludf.DUMMYFUNCTION("""COMPUTED_VALUE"""),0.0)</f>
        <v>0</v>
      </c>
    </row>
    <row r="1715">
      <c r="A1715" s="7">
        <f>IFERROR(__xludf.DUMMYFUNCTION("""COMPUTED_VALUE"""),39234.645833333336)</f>
        <v>39234.64583</v>
      </c>
      <c r="B1715" s="3">
        <f>IFERROR(__xludf.DUMMYFUNCTION("""COMPUTED_VALUE"""),4312.8)</f>
        <v>4312.8</v>
      </c>
      <c r="C1715" s="3">
        <f>IFERROR(__xludf.DUMMYFUNCTION("""COMPUTED_VALUE"""),4325.55)</f>
        <v>4325.55</v>
      </c>
      <c r="D1715" s="3">
        <f>IFERROR(__xludf.DUMMYFUNCTION("""COMPUTED_VALUE"""),4288.75)</f>
        <v>4288.75</v>
      </c>
      <c r="E1715" s="3">
        <f>IFERROR(__xludf.DUMMYFUNCTION("""COMPUTED_VALUE"""),4297.05)</f>
        <v>4297.05</v>
      </c>
      <c r="F1715" s="3">
        <f>IFERROR(__xludf.DUMMYFUNCTION("""COMPUTED_VALUE"""),0.0)</f>
        <v>0</v>
      </c>
    </row>
    <row r="1716">
      <c r="A1716" s="7">
        <f>IFERROR(__xludf.DUMMYFUNCTION("""COMPUTED_VALUE"""),39237.645833333336)</f>
        <v>39237.64583</v>
      </c>
      <c r="B1716" s="3">
        <f>IFERROR(__xludf.DUMMYFUNCTION("""COMPUTED_VALUE"""),4321.15)</f>
        <v>4321.15</v>
      </c>
      <c r="C1716" s="3">
        <f>IFERROR(__xludf.DUMMYFUNCTION("""COMPUTED_VALUE"""),4325.5)</f>
        <v>4325.5</v>
      </c>
      <c r="D1716" s="3">
        <f>IFERROR(__xludf.DUMMYFUNCTION("""COMPUTED_VALUE"""),4257.3)</f>
        <v>4257.3</v>
      </c>
      <c r="E1716" s="3">
        <f>IFERROR(__xludf.DUMMYFUNCTION("""COMPUTED_VALUE"""),4267.05)</f>
        <v>4267.05</v>
      </c>
      <c r="F1716" s="3">
        <f>IFERROR(__xludf.DUMMYFUNCTION("""COMPUTED_VALUE"""),0.0)</f>
        <v>0</v>
      </c>
    </row>
    <row r="1717">
      <c r="A1717" s="7">
        <f>IFERROR(__xludf.DUMMYFUNCTION("""COMPUTED_VALUE"""),39238.645833333336)</f>
        <v>39238.64583</v>
      </c>
      <c r="B1717" s="3">
        <f>IFERROR(__xludf.DUMMYFUNCTION("""COMPUTED_VALUE"""),4269.6)</f>
        <v>4269.6</v>
      </c>
      <c r="C1717" s="3">
        <f>IFERROR(__xludf.DUMMYFUNCTION("""COMPUTED_VALUE"""),4292.3)</f>
        <v>4292.3</v>
      </c>
      <c r="D1717" s="3">
        <f>IFERROR(__xludf.DUMMYFUNCTION("""COMPUTED_VALUE"""),4249.55)</f>
        <v>4249.55</v>
      </c>
      <c r="E1717" s="3">
        <f>IFERROR(__xludf.DUMMYFUNCTION("""COMPUTED_VALUE"""),4284.65)</f>
        <v>4284.65</v>
      </c>
      <c r="F1717" s="3">
        <f>IFERROR(__xludf.DUMMYFUNCTION("""COMPUTED_VALUE"""),0.0)</f>
        <v>0</v>
      </c>
    </row>
    <row r="1718">
      <c r="A1718" s="7">
        <f>IFERROR(__xludf.DUMMYFUNCTION("""COMPUTED_VALUE"""),39239.645833333336)</f>
        <v>39239.64583</v>
      </c>
      <c r="B1718" s="3">
        <f>IFERROR(__xludf.DUMMYFUNCTION("""COMPUTED_VALUE"""),4259.95)</f>
        <v>4259.95</v>
      </c>
      <c r="C1718" s="3">
        <f>IFERROR(__xludf.DUMMYFUNCTION("""COMPUTED_VALUE"""),4294.5)</f>
        <v>4294.5</v>
      </c>
      <c r="D1718" s="3">
        <f>IFERROR(__xludf.DUMMYFUNCTION("""COMPUTED_VALUE"""),4192.05)</f>
        <v>4192.05</v>
      </c>
      <c r="E1718" s="3">
        <f>IFERROR(__xludf.DUMMYFUNCTION("""COMPUTED_VALUE"""),4198.25)</f>
        <v>4198.25</v>
      </c>
      <c r="F1718" s="3">
        <f>IFERROR(__xludf.DUMMYFUNCTION("""COMPUTED_VALUE"""),0.0)</f>
        <v>0</v>
      </c>
    </row>
    <row r="1719">
      <c r="A1719" s="7">
        <f>IFERROR(__xludf.DUMMYFUNCTION("""COMPUTED_VALUE"""),39240.645833333336)</f>
        <v>39240.64583</v>
      </c>
      <c r="B1719" s="3">
        <f>IFERROR(__xludf.DUMMYFUNCTION("""COMPUTED_VALUE"""),4166.95)</f>
        <v>4166.95</v>
      </c>
      <c r="C1719" s="3">
        <f>IFERROR(__xludf.DUMMYFUNCTION("""COMPUTED_VALUE"""),4229.8)</f>
        <v>4229.8</v>
      </c>
      <c r="D1719" s="3">
        <f>IFERROR(__xludf.DUMMYFUNCTION("""COMPUTED_VALUE"""),4162.0)</f>
        <v>4162</v>
      </c>
      <c r="E1719" s="3">
        <f>IFERROR(__xludf.DUMMYFUNCTION("""COMPUTED_VALUE"""),4179.5)</f>
        <v>4179.5</v>
      </c>
      <c r="F1719" s="3">
        <f>IFERROR(__xludf.DUMMYFUNCTION("""COMPUTED_VALUE"""),0.0)</f>
        <v>0</v>
      </c>
    </row>
    <row r="1720">
      <c r="A1720" s="7">
        <f>IFERROR(__xludf.DUMMYFUNCTION("""COMPUTED_VALUE"""),39241.645833333336)</f>
        <v>39241.64583</v>
      </c>
      <c r="B1720" s="3">
        <f>IFERROR(__xludf.DUMMYFUNCTION("""COMPUTED_VALUE"""),4154.3)</f>
        <v>4154.3</v>
      </c>
      <c r="C1720" s="3">
        <f>IFERROR(__xludf.DUMMYFUNCTION("""COMPUTED_VALUE"""),4195.1)</f>
        <v>4195.1</v>
      </c>
      <c r="D1720" s="3">
        <f>IFERROR(__xludf.DUMMYFUNCTION("""COMPUTED_VALUE"""),4128.05)</f>
        <v>4128.05</v>
      </c>
      <c r="E1720" s="3">
        <f>IFERROR(__xludf.DUMMYFUNCTION("""COMPUTED_VALUE"""),4145.0)</f>
        <v>4145</v>
      </c>
      <c r="F1720" s="3">
        <f>IFERROR(__xludf.DUMMYFUNCTION("""COMPUTED_VALUE"""),0.0)</f>
        <v>0</v>
      </c>
    </row>
    <row r="1721">
      <c r="A1721" s="7">
        <f>IFERROR(__xludf.DUMMYFUNCTION("""COMPUTED_VALUE"""),39244.645833333336)</f>
        <v>39244.64583</v>
      </c>
      <c r="B1721" s="3">
        <f>IFERROR(__xludf.DUMMYFUNCTION("""COMPUTED_VALUE"""),4170.55)</f>
        <v>4170.55</v>
      </c>
      <c r="C1721" s="3">
        <f>IFERROR(__xludf.DUMMYFUNCTION("""COMPUTED_VALUE"""),4204.25)</f>
        <v>4204.25</v>
      </c>
      <c r="D1721" s="3">
        <f>IFERROR(__xludf.DUMMYFUNCTION("""COMPUTED_VALUE"""),4135.5)</f>
        <v>4135.5</v>
      </c>
      <c r="E1721" s="3">
        <f>IFERROR(__xludf.DUMMYFUNCTION("""COMPUTED_VALUE"""),4145.6)</f>
        <v>4145.6</v>
      </c>
      <c r="F1721" s="3">
        <f>IFERROR(__xludf.DUMMYFUNCTION("""COMPUTED_VALUE"""),0.0)</f>
        <v>0</v>
      </c>
    </row>
    <row r="1722">
      <c r="A1722" s="7">
        <f>IFERROR(__xludf.DUMMYFUNCTION("""COMPUTED_VALUE"""),39245.645833333336)</f>
        <v>39245.64583</v>
      </c>
      <c r="B1722" s="3">
        <f>IFERROR(__xludf.DUMMYFUNCTION("""COMPUTED_VALUE"""),4136.75)</f>
        <v>4136.75</v>
      </c>
      <c r="C1722" s="3">
        <f>IFERROR(__xludf.DUMMYFUNCTION("""COMPUTED_VALUE"""),4166.6)</f>
        <v>4166.6</v>
      </c>
      <c r="D1722" s="3">
        <f>IFERROR(__xludf.DUMMYFUNCTION("""COMPUTED_VALUE"""),4100.9)</f>
        <v>4100.9</v>
      </c>
      <c r="E1722" s="3">
        <f>IFERROR(__xludf.DUMMYFUNCTION("""COMPUTED_VALUE"""),4155.2)</f>
        <v>4155.2</v>
      </c>
      <c r="F1722" s="3">
        <f>IFERROR(__xludf.DUMMYFUNCTION("""COMPUTED_VALUE"""),0.0)</f>
        <v>0</v>
      </c>
    </row>
    <row r="1723">
      <c r="A1723" s="7">
        <f>IFERROR(__xludf.DUMMYFUNCTION("""COMPUTED_VALUE"""),39246.645833333336)</f>
        <v>39246.64583</v>
      </c>
      <c r="B1723" s="3">
        <f>IFERROR(__xludf.DUMMYFUNCTION("""COMPUTED_VALUE"""),4160.85)</f>
        <v>4160.85</v>
      </c>
      <c r="C1723" s="3">
        <f>IFERROR(__xludf.DUMMYFUNCTION("""COMPUTED_VALUE"""),4160.85)</f>
        <v>4160.85</v>
      </c>
      <c r="D1723" s="3">
        <f>IFERROR(__xludf.DUMMYFUNCTION("""COMPUTED_VALUE"""),4103.7)</f>
        <v>4103.7</v>
      </c>
      <c r="E1723" s="3">
        <f>IFERROR(__xludf.DUMMYFUNCTION("""COMPUTED_VALUE"""),4113.05)</f>
        <v>4113.05</v>
      </c>
      <c r="F1723" s="3">
        <f>IFERROR(__xludf.DUMMYFUNCTION("""COMPUTED_VALUE"""),0.0)</f>
        <v>0</v>
      </c>
    </row>
    <row r="1724">
      <c r="A1724" s="7">
        <f>IFERROR(__xludf.DUMMYFUNCTION("""COMPUTED_VALUE"""),39247.645833333336)</f>
        <v>39247.64583</v>
      </c>
      <c r="B1724" s="3">
        <f>IFERROR(__xludf.DUMMYFUNCTION("""COMPUTED_VALUE"""),4150.3)</f>
        <v>4150.3</v>
      </c>
      <c r="C1724" s="3">
        <f>IFERROR(__xludf.DUMMYFUNCTION("""COMPUTED_VALUE"""),4173.4)</f>
        <v>4173.4</v>
      </c>
      <c r="D1724" s="3">
        <f>IFERROR(__xludf.DUMMYFUNCTION("""COMPUTED_VALUE"""),4142.35)</f>
        <v>4142.35</v>
      </c>
      <c r="E1724" s="3">
        <f>IFERROR(__xludf.DUMMYFUNCTION("""COMPUTED_VALUE"""),4170.0)</f>
        <v>4170</v>
      </c>
      <c r="F1724" s="3">
        <f>IFERROR(__xludf.DUMMYFUNCTION("""COMPUTED_VALUE"""),0.0)</f>
        <v>0</v>
      </c>
    </row>
    <row r="1725">
      <c r="A1725" s="7">
        <f>IFERROR(__xludf.DUMMYFUNCTION("""COMPUTED_VALUE"""),39248.645833333336)</f>
        <v>39248.64583</v>
      </c>
      <c r="B1725" s="3">
        <f>IFERROR(__xludf.DUMMYFUNCTION("""COMPUTED_VALUE"""),4185.7)</f>
        <v>4185.7</v>
      </c>
      <c r="C1725" s="3">
        <f>IFERROR(__xludf.DUMMYFUNCTION("""COMPUTED_VALUE"""),4209.15)</f>
        <v>4209.15</v>
      </c>
      <c r="D1725" s="3">
        <f>IFERROR(__xludf.DUMMYFUNCTION("""COMPUTED_VALUE"""),4154.3)</f>
        <v>4154.3</v>
      </c>
      <c r="E1725" s="3">
        <f>IFERROR(__xludf.DUMMYFUNCTION("""COMPUTED_VALUE"""),4171.45)</f>
        <v>4171.45</v>
      </c>
      <c r="F1725" s="3">
        <f>IFERROR(__xludf.DUMMYFUNCTION("""COMPUTED_VALUE"""),0.0)</f>
        <v>0</v>
      </c>
    </row>
    <row r="1726">
      <c r="A1726" s="7">
        <f>IFERROR(__xludf.DUMMYFUNCTION("""COMPUTED_VALUE"""),39251.645833333336)</f>
        <v>39251.64583</v>
      </c>
      <c r="B1726" s="3">
        <f>IFERROR(__xludf.DUMMYFUNCTION("""COMPUTED_VALUE"""),4185.1)</f>
        <v>4185.1</v>
      </c>
      <c r="C1726" s="3">
        <f>IFERROR(__xludf.DUMMYFUNCTION("""COMPUTED_VALUE"""),4207.45)</f>
        <v>4207.45</v>
      </c>
      <c r="D1726" s="3">
        <f>IFERROR(__xludf.DUMMYFUNCTION("""COMPUTED_VALUE"""),4140.45)</f>
        <v>4140.45</v>
      </c>
      <c r="E1726" s="3">
        <f>IFERROR(__xludf.DUMMYFUNCTION("""COMPUTED_VALUE"""),4147.1)</f>
        <v>4147.1</v>
      </c>
      <c r="F1726" s="3">
        <f>IFERROR(__xludf.DUMMYFUNCTION("""COMPUTED_VALUE"""),0.0)</f>
        <v>0</v>
      </c>
    </row>
    <row r="1727">
      <c r="A1727" s="7">
        <f>IFERROR(__xludf.DUMMYFUNCTION("""COMPUTED_VALUE"""),39252.645833333336)</f>
        <v>39252.64583</v>
      </c>
      <c r="B1727" s="3">
        <f>IFERROR(__xludf.DUMMYFUNCTION("""COMPUTED_VALUE"""),4142.55)</f>
        <v>4142.55</v>
      </c>
      <c r="C1727" s="3">
        <f>IFERROR(__xludf.DUMMYFUNCTION("""COMPUTED_VALUE"""),4222.2)</f>
        <v>4222.2</v>
      </c>
      <c r="D1727" s="3">
        <f>IFERROR(__xludf.DUMMYFUNCTION("""COMPUTED_VALUE"""),4136.55)</f>
        <v>4136.55</v>
      </c>
      <c r="E1727" s="3">
        <f>IFERROR(__xludf.DUMMYFUNCTION("""COMPUTED_VALUE"""),4214.3)</f>
        <v>4214.3</v>
      </c>
      <c r="F1727" s="3">
        <f>IFERROR(__xludf.DUMMYFUNCTION("""COMPUTED_VALUE"""),0.0)</f>
        <v>0</v>
      </c>
    </row>
    <row r="1728">
      <c r="A1728" s="7">
        <f>IFERROR(__xludf.DUMMYFUNCTION("""COMPUTED_VALUE"""),39253.645833333336)</f>
        <v>39253.64583</v>
      </c>
      <c r="B1728" s="3">
        <f>IFERROR(__xludf.DUMMYFUNCTION("""COMPUTED_VALUE"""),4226.4)</f>
        <v>4226.4</v>
      </c>
      <c r="C1728" s="3">
        <f>IFERROR(__xludf.DUMMYFUNCTION("""COMPUTED_VALUE"""),4256.95)</f>
        <v>4256.95</v>
      </c>
      <c r="D1728" s="3">
        <f>IFERROR(__xludf.DUMMYFUNCTION("""COMPUTED_VALUE"""),4226.4)</f>
        <v>4226.4</v>
      </c>
      <c r="E1728" s="3">
        <f>IFERROR(__xludf.DUMMYFUNCTION("""COMPUTED_VALUE"""),4248.65)</f>
        <v>4248.65</v>
      </c>
      <c r="F1728" s="3">
        <f>IFERROR(__xludf.DUMMYFUNCTION("""COMPUTED_VALUE"""),0.0)</f>
        <v>0</v>
      </c>
    </row>
    <row r="1729">
      <c r="A1729" s="7">
        <f>IFERROR(__xludf.DUMMYFUNCTION("""COMPUTED_VALUE"""),39254.645833333336)</f>
        <v>39254.64583</v>
      </c>
      <c r="B1729" s="3">
        <f>IFERROR(__xludf.DUMMYFUNCTION("""COMPUTED_VALUE"""),4227.35)</f>
        <v>4227.35</v>
      </c>
      <c r="C1729" s="3">
        <f>IFERROR(__xludf.DUMMYFUNCTION("""COMPUTED_VALUE"""),4274.5)</f>
        <v>4274.5</v>
      </c>
      <c r="D1729" s="3">
        <f>IFERROR(__xludf.DUMMYFUNCTION("""COMPUTED_VALUE"""),4227.35)</f>
        <v>4227.35</v>
      </c>
      <c r="E1729" s="3">
        <f>IFERROR(__xludf.DUMMYFUNCTION("""COMPUTED_VALUE"""),4267.4)</f>
        <v>4267.4</v>
      </c>
      <c r="F1729" s="3">
        <f>IFERROR(__xludf.DUMMYFUNCTION("""COMPUTED_VALUE"""),0.0)</f>
        <v>0</v>
      </c>
    </row>
    <row r="1730">
      <c r="A1730" s="7">
        <f>IFERROR(__xludf.DUMMYFUNCTION("""COMPUTED_VALUE"""),39255.645833333336)</f>
        <v>39255.64583</v>
      </c>
      <c r="B1730" s="3">
        <f>IFERROR(__xludf.DUMMYFUNCTION("""COMPUTED_VALUE"""),4270.4)</f>
        <v>4270.4</v>
      </c>
      <c r="C1730" s="3">
        <f>IFERROR(__xludf.DUMMYFUNCTION("""COMPUTED_VALUE"""),4278.4)</f>
        <v>4278.4</v>
      </c>
      <c r="D1730" s="3">
        <f>IFERROR(__xludf.DUMMYFUNCTION("""COMPUTED_VALUE"""),4242.7)</f>
        <v>4242.7</v>
      </c>
      <c r="E1730" s="3">
        <f>IFERROR(__xludf.DUMMYFUNCTION("""COMPUTED_VALUE"""),4252.05)</f>
        <v>4252.05</v>
      </c>
      <c r="F1730" s="3">
        <f>IFERROR(__xludf.DUMMYFUNCTION("""COMPUTED_VALUE"""),0.0)</f>
        <v>0</v>
      </c>
    </row>
    <row r="1731">
      <c r="A1731" s="7">
        <f>IFERROR(__xludf.DUMMYFUNCTION("""COMPUTED_VALUE"""),39258.645833333336)</f>
        <v>39258.64583</v>
      </c>
      <c r="B1731" s="3">
        <f>IFERROR(__xludf.DUMMYFUNCTION("""COMPUTED_VALUE"""),4259.15)</f>
        <v>4259.15</v>
      </c>
      <c r="C1731" s="3">
        <f>IFERROR(__xludf.DUMMYFUNCTION("""COMPUTED_VALUE"""),4263.95)</f>
        <v>4263.95</v>
      </c>
      <c r="D1731" s="3">
        <f>IFERROR(__xludf.DUMMYFUNCTION("""COMPUTED_VALUE"""),4236.55)</f>
        <v>4236.55</v>
      </c>
      <c r="E1731" s="3">
        <f>IFERROR(__xludf.DUMMYFUNCTION("""COMPUTED_VALUE"""),4259.4)</f>
        <v>4259.4</v>
      </c>
      <c r="F1731" s="3">
        <f>IFERROR(__xludf.DUMMYFUNCTION("""COMPUTED_VALUE"""),0.0)</f>
        <v>0</v>
      </c>
    </row>
    <row r="1732">
      <c r="A1732" s="7">
        <f>IFERROR(__xludf.DUMMYFUNCTION("""COMPUTED_VALUE"""),39259.645833333336)</f>
        <v>39259.64583</v>
      </c>
      <c r="B1732" s="3">
        <f>IFERROR(__xludf.DUMMYFUNCTION("""COMPUTED_VALUE"""),4260.85)</f>
        <v>4260.85</v>
      </c>
      <c r="C1732" s="3">
        <f>IFERROR(__xludf.DUMMYFUNCTION("""COMPUTED_VALUE"""),4295.2)</f>
        <v>4295.2</v>
      </c>
      <c r="D1732" s="3">
        <f>IFERROR(__xludf.DUMMYFUNCTION("""COMPUTED_VALUE"""),4251.2)</f>
        <v>4251.2</v>
      </c>
      <c r="E1732" s="3">
        <f>IFERROR(__xludf.DUMMYFUNCTION("""COMPUTED_VALUE"""),4285.7)</f>
        <v>4285.7</v>
      </c>
      <c r="F1732" s="3">
        <f>IFERROR(__xludf.DUMMYFUNCTION("""COMPUTED_VALUE"""),0.0)</f>
        <v>0</v>
      </c>
    </row>
    <row r="1733">
      <c r="A1733" s="7">
        <f>IFERROR(__xludf.DUMMYFUNCTION("""COMPUTED_VALUE"""),39260.645833333336)</f>
        <v>39260.64583</v>
      </c>
      <c r="B1733" s="3">
        <f>IFERROR(__xludf.DUMMYFUNCTION("""COMPUTED_VALUE"""),4291.05)</f>
        <v>4291.05</v>
      </c>
      <c r="C1733" s="3">
        <f>IFERROR(__xludf.DUMMYFUNCTION("""COMPUTED_VALUE"""),4292.5)</f>
        <v>4292.5</v>
      </c>
      <c r="D1733" s="3">
        <f>IFERROR(__xludf.DUMMYFUNCTION("""COMPUTED_VALUE"""),4255.45)</f>
        <v>4255.45</v>
      </c>
      <c r="E1733" s="3">
        <f>IFERROR(__xludf.DUMMYFUNCTION("""COMPUTED_VALUE"""),4263.95)</f>
        <v>4263.95</v>
      </c>
      <c r="F1733" s="3">
        <f>IFERROR(__xludf.DUMMYFUNCTION("""COMPUTED_VALUE"""),0.0)</f>
        <v>0</v>
      </c>
    </row>
    <row r="1734">
      <c r="A1734" s="7">
        <f>IFERROR(__xludf.DUMMYFUNCTION("""COMPUTED_VALUE"""),39261.645833333336)</f>
        <v>39261.64583</v>
      </c>
      <c r="B1734" s="3">
        <f>IFERROR(__xludf.DUMMYFUNCTION("""COMPUTED_VALUE"""),4265.05)</f>
        <v>4265.05</v>
      </c>
      <c r="C1734" s="3">
        <f>IFERROR(__xludf.DUMMYFUNCTION("""COMPUTED_VALUE"""),4291.1)</f>
        <v>4291.1</v>
      </c>
      <c r="D1734" s="3">
        <f>IFERROR(__xludf.DUMMYFUNCTION("""COMPUTED_VALUE"""),4257.1)</f>
        <v>4257.1</v>
      </c>
      <c r="E1734" s="3">
        <f>IFERROR(__xludf.DUMMYFUNCTION("""COMPUTED_VALUE"""),4282.0)</f>
        <v>4282</v>
      </c>
      <c r="F1734" s="3">
        <f>IFERROR(__xludf.DUMMYFUNCTION("""COMPUTED_VALUE"""),0.0)</f>
        <v>0</v>
      </c>
    </row>
    <row r="1735">
      <c r="A1735" s="7">
        <f>IFERROR(__xludf.DUMMYFUNCTION("""COMPUTED_VALUE"""),39262.645833333336)</f>
        <v>39262.64583</v>
      </c>
      <c r="B1735" s="3">
        <f>IFERROR(__xludf.DUMMYFUNCTION("""COMPUTED_VALUE"""),4284.15)</f>
        <v>4284.15</v>
      </c>
      <c r="C1735" s="3">
        <f>IFERROR(__xludf.DUMMYFUNCTION("""COMPUTED_VALUE"""),4321.0)</f>
        <v>4321</v>
      </c>
      <c r="D1735" s="3">
        <f>IFERROR(__xludf.DUMMYFUNCTION("""COMPUTED_VALUE"""),4284.15)</f>
        <v>4284.15</v>
      </c>
      <c r="E1735" s="3">
        <f>IFERROR(__xludf.DUMMYFUNCTION("""COMPUTED_VALUE"""),4318.3)</f>
        <v>4318.3</v>
      </c>
      <c r="F1735" s="3">
        <f>IFERROR(__xludf.DUMMYFUNCTION("""COMPUTED_VALUE"""),0.0)</f>
        <v>0</v>
      </c>
    </row>
    <row r="1736">
      <c r="A1736" s="7">
        <f>IFERROR(__xludf.DUMMYFUNCTION("""COMPUTED_VALUE"""),39265.645833333336)</f>
        <v>39265.64583</v>
      </c>
      <c r="B1736" s="3">
        <f>IFERROR(__xludf.DUMMYFUNCTION("""COMPUTED_VALUE"""),4321.5)</f>
        <v>4321.5</v>
      </c>
      <c r="C1736" s="3">
        <f>IFERROR(__xludf.DUMMYFUNCTION("""COMPUTED_VALUE"""),4346.3)</f>
        <v>4346.3</v>
      </c>
      <c r="D1736" s="3">
        <f>IFERROR(__xludf.DUMMYFUNCTION("""COMPUTED_VALUE"""),4305.6)</f>
        <v>4305.6</v>
      </c>
      <c r="E1736" s="3">
        <f>IFERROR(__xludf.DUMMYFUNCTION("""COMPUTED_VALUE"""),4313.75)</f>
        <v>4313.75</v>
      </c>
      <c r="F1736" s="3">
        <f>IFERROR(__xludf.DUMMYFUNCTION("""COMPUTED_VALUE"""),0.0)</f>
        <v>0</v>
      </c>
    </row>
    <row r="1737">
      <c r="A1737" s="7">
        <f>IFERROR(__xludf.DUMMYFUNCTION("""COMPUTED_VALUE"""),39266.645833333336)</f>
        <v>39266.64583</v>
      </c>
      <c r="B1737" s="3">
        <f>IFERROR(__xludf.DUMMYFUNCTION("""COMPUTED_VALUE"""),4326.65)</f>
        <v>4326.65</v>
      </c>
      <c r="C1737" s="3">
        <f>IFERROR(__xludf.DUMMYFUNCTION("""COMPUTED_VALUE"""),4362.65)</f>
        <v>4362.65</v>
      </c>
      <c r="D1737" s="3">
        <f>IFERROR(__xludf.DUMMYFUNCTION("""COMPUTED_VALUE"""),4326.65)</f>
        <v>4326.65</v>
      </c>
      <c r="E1737" s="3">
        <f>IFERROR(__xludf.DUMMYFUNCTION("""COMPUTED_VALUE"""),4357.55)</f>
        <v>4357.55</v>
      </c>
      <c r="F1737" s="3">
        <f>IFERROR(__xludf.DUMMYFUNCTION("""COMPUTED_VALUE"""),0.0)</f>
        <v>0</v>
      </c>
    </row>
    <row r="1738">
      <c r="A1738" s="7">
        <f>IFERROR(__xludf.DUMMYFUNCTION("""COMPUTED_VALUE"""),39267.645833333336)</f>
        <v>39267.64583</v>
      </c>
      <c r="B1738" s="3">
        <f>IFERROR(__xludf.DUMMYFUNCTION("""COMPUTED_VALUE"""),4377.3)</f>
        <v>4377.3</v>
      </c>
      <c r="C1738" s="3">
        <f>IFERROR(__xludf.DUMMYFUNCTION("""COMPUTED_VALUE"""),4385.5)</f>
        <v>4385.5</v>
      </c>
      <c r="D1738" s="3">
        <f>IFERROR(__xludf.DUMMYFUNCTION("""COMPUTED_VALUE"""),4342.1)</f>
        <v>4342.1</v>
      </c>
      <c r="E1738" s="3">
        <f>IFERROR(__xludf.DUMMYFUNCTION("""COMPUTED_VALUE"""),4359.3)</f>
        <v>4359.3</v>
      </c>
      <c r="F1738" s="3">
        <f>IFERROR(__xludf.DUMMYFUNCTION("""COMPUTED_VALUE"""),0.0)</f>
        <v>0</v>
      </c>
    </row>
    <row r="1739">
      <c r="A1739" s="7">
        <f>IFERROR(__xludf.DUMMYFUNCTION("""COMPUTED_VALUE"""),39268.645833333336)</f>
        <v>39268.64583</v>
      </c>
      <c r="B1739" s="3">
        <f>IFERROR(__xludf.DUMMYFUNCTION("""COMPUTED_VALUE"""),4355.35)</f>
        <v>4355.35</v>
      </c>
      <c r="C1739" s="3">
        <f>IFERROR(__xludf.DUMMYFUNCTION("""COMPUTED_VALUE"""),4378.05)</f>
        <v>4378.05</v>
      </c>
      <c r="D1739" s="3">
        <f>IFERROR(__xludf.DUMMYFUNCTION("""COMPUTED_VALUE"""),4312.0)</f>
        <v>4312</v>
      </c>
      <c r="E1739" s="3">
        <f>IFERROR(__xludf.DUMMYFUNCTION("""COMPUTED_VALUE"""),4353.95)</f>
        <v>4353.95</v>
      </c>
      <c r="F1739" s="3">
        <f>IFERROR(__xludf.DUMMYFUNCTION("""COMPUTED_VALUE"""),0.0)</f>
        <v>0</v>
      </c>
    </row>
    <row r="1740">
      <c r="A1740" s="7">
        <f>IFERROR(__xludf.DUMMYFUNCTION("""COMPUTED_VALUE"""),39269.645833333336)</f>
        <v>39269.64583</v>
      </c>
      <c r="B1740" s="3">
        <f>IFERROR(__xludf.DUMMYFUNCTION("""COMPUTED_VALUE"""),4325.3)</f>
        <v>4325.3</v>
      </c>
      <c r="C1740" s="3">
        <f>IFERROR(__xludf.DUMMYFUNCTION("""COMPUTED_VALUE"""),4396.8)</f>
        <v>4396.8</v>
      </c>
      <c r="D1740" s="3">
        <f>IFERROR(__xludf.DUMMYFUNCTION("""COMPUTED_VALUE"""),4325.3)</f>
        <v>4325.3</v>
      </c>
      <c r="E1740" s="3">
        <f>IFERROR(__xludf.DUMMYFUNCTION("""COMPUTED_VALUE"""),4384.85)</f>
        <v>4384.85</v>
      </c>
      <c r="F1740" s="3">
        <f>IFERROR(__xludf.DUMMYFUNCTION("""COMPUTED_VALUE"""),0.0)</f>
        <v>0</v>
      </c>
    </row>
    <row r="1741">
      <c r="A1741" s="7">
        <f>IFERROR(__xludf.DUMMYFUNCTION("""COMPUTED_VALUE"""),39272.645833333336)</f>
        <v>39272.64583</v>
      </c>
      <c r="B1741" s="3">
        <f>IFERROR(__xludf.DUMMYFUNCTION("""COMPUTED_VALUE"""),4391.55)</f>
        <v>4391.55</v>
      </c>
      <c r="C1741" s="3">
        <f>IFERROR(__xludf.DUMMYFUNCTION("""COMPUTED_VALUE"""),4426.25)</f>
        <v>4426.25</v>
      </c>
      <c r="D1741" s="3">
        <f>IFERROR(__xludf.DUMMYFUNCTION("""COMPUTED_VALUE"""),4391.55)</f>
        <v>4391.55</v>
      </c>
      <c r="E1741" s="3">
        <f>IFERROR(__xludf.DUMMYFUNCTION("""COMPUTED_VALUE"""),4419.4)</f>
        <v>4419.4</v>
      </c>
      <c r="F1741" s="3">
        <f>IFERROR(__xludf.DUMMYFUNCTION("""COMPUTED_VALUE"""),0.0)</f>
        <v>0</v>
      </c>
    </row>
    <row r="1742">
      <c r="A1742" s="7">
        <f>IFERROR(__xludf.DUMMYFUNCTION("""COMPUTED_VALUE"""),39273.645833333336)</f>
        <v>39273.64583</v>
      </c>
      <c r="B1742" s="3">
        <f>IFERROR(__xludf.DUMMYFUNCTION("""COMPUTED_VALUE"""),4430.15)</f>
        <v>4430.15</v>
      </c>
      <c r="C1742" s="3">
        <f>IFERROR(__xludf.DUMMYFUNCTION("""COMPUTED_VALUE"""),4434.25)</f>
        <v>4434.25</v>
      </c>
      <c r="D1742" s="3">
        <f>IFERROR(__xludf.DUMMYFUNCTION("""COMPUTED_VALUE"""),4393.3)</f>
        <v>4393.3</v>
      </c>
      <c r="E1742" s="3">
        <f>IFERROR(__xludf.DUMMYFUNCTION("""COMPUTED_VALUE"""),4406.05)</f>
        <v>4406.05</v>
      </c>
      <c r="F1742" s="3">
        <f>IFERROR(__xludf.DUMMYFUNCTION("""COMPUTED_VALUE"""),0.0)</f>
        <v>0</v>
      </c>
    </row>
    <row r="1743">
      <c r="A1743" s="7">
        <f>IFERROR(__xludf.DUMMYFUNCTION("""COMPUTED_VALUE"""),39274.645833333336)</f>
        <v>39274.64583</v>
      </c>
      <c r="B1743" s="3">
        <f>IFERROR(__xludf.DUMMYFUNCTION("""COMPUTED_VALUE"""),4389.15)</f>
        <v>4389.15</v>
      </c>
      <c r="C1743" s="3">
        <f>IFERROR(__xludf.DUMMYFUNCTION("""COMPUTED_VALUE"""),4411.35)</f>
        <v>4411.35</v>
      </c>
      <c r="D1743" s="3">
        <f>IFERROR(__xludf.DUMMYFUNCTION("""COMPUTED_VALUE"""),4350.95)</f>
        <v>4350.95</v>
      </c>
      <c r="E1743" s="3">
        <f>IFERROR(__xludf.DUMMYFUNCTION("""COMPUTED_VALUE"""),4387.15)</f>
        <v>4387.15</v>
      </c>
      <c r="F1743" s="3">
        <f>IFERROR(__xludf.DUMMYFUNCTION("""COMPUTED_VALUE"""),0.0)</f>
        <v>0</v>
      </c>
    </row>
    <row r="1744">
      <c r="A1744" s="7">
        <f>IFERROR(__xludf.DUMMYFUNCTION("""COMPUTED_VALUE"""),39275.645833333336)</f>
        <v>39275.64583</v>
      </c>
      <c r="B1744" s="3">
        <f>IFERROR(__xludf.DUMMYFUNCTION("""COMPUTED_VALUE"""),4390.25)</f>
        <v>4390.25</v>
      </c>
      <c r="C1744" s="3">
        <f>IFERROR(__xludf.DUMMYFUNCTION("""COMPUTED_VALUE"""),4451.45)</f>
        <v>4451.45</v>
      </c>
      <c r="D1744" s="3">
        <f>IFERROR(__xludf.DUMMYFUNCTION("""COMPUTED_VALUE"""),4390.25)</f>
        <v>4390.25</v>
      </c>
      <c r="E1744" s="3">
        <f>IFERROR(__xludf.DUMMYFUNCTION("""COMPUTED_VALUE"""),4446.15)</f>
        <v>4446.15</v>
      </c>
      <c r="F1744" s="3">
        <f>IFERROR(__xludf.DUMMYFUNCTION("""COMPUTED_VALUE"""),0.0)</f>
        <v>0</v>
      </c>
    </row>
    <row r="1745">
      <c r="A1745" s="7">
        <f>IFERROR(__xludf.DUMMYFUNCTION("""COMPUTED_VALUE"""),39276.645833333336)</f>
        <v>39276.64583</v>
      </c>
      <c r="B1745" s="3">
        <f>IFERROR(__xludf.DUMMYFUNCTION("""COMPUTED_VALUE"""),4480.65)</f>
        <v>4480.65</v>
      </c>
      <c r="C1745" s="3">
        <f>IFERROR(__xludf.DUMMYFUNCTION("""COMPUTED_VALUE"""),4512.75)</f>
        <v>4512.75</v>
      </c>
      <c r="D1745" s="3">
        <f>IFERROR(__xludf.DUMMYFUNCTION("""COMPUTED_VALUE"""),4474.9)</f>
        <v>4474.9</v>
      </c>
      <c r="E1745" s="3">
        <f>IFERROR(__xludf.DUMMYFUNCTION("""COMPUTED_VALUE"""),4504.55)</f>
        <v>4504.55</v>
      </c>
      <c r="F1745" s="3">
        <f>IFERROR(__xludf.DUMMYFUNCTION("""COMPUTED_VALUE"""),0.0)</f>
        <v>0</v>
      </c>
    </row>
    <row r="1746">
      <c r="A1746" s="7">
        <f>IFERROR(__xludf.DUMMYFUNCTION("""COMPUTED_VALUE"""),39279.645833333336)</f>
        <v>39279.64583</v>
      </c>
      <c r="B1746" s="3">
        <f>IFERROR(__xludf.DUMMYFUNCTION("""COMPUTED_VALUE"""),4512.1)</f>
        <v>4512.1</v>
      </c>
      <c r="C1746" s="3">
        <f>IFERROR(__xludf.DUMMYFUNCTION("""COMPUTED_VALUE"""),4520.8)</f>
        <v>4520.8</v>
      </c>
      <c r="D1746" s="3">
        <f>IFERROR(__xludf.DUMMYFUNCTION("""COMPUTED_VALUE"""),4496.25)</f>
        <v>4496.25</v>
      </c>
      <c r="E1746" s="3">
        <f>IFERROR(__xludf.DUMMYFUNCTION("""COMPUTED_VALUE"""),4512.15)</f>
        <v>4512.15</v>
      </c>
      <c r="F1746" s="3">
        <f>IFERROR(__xludf.DUMMYFUNCTION("""COMPUTED_VALUE"""),0.0)</f>
        <v>0</v>
      </c>
    </row>
    <row r="1747">
      <c r="A1747" s="7">
        <f>IFERROR(__xludf.DUMMYFUNCTION("""COMPUTED_VALUE"""),39280.645833333336)</f>
        <v>39280.64583</v>
      </c>
      <c r="B1747" s="3">
        <f>IFERROR(__xludf.DUMMYFUNCTION("""COMPUTED_VALUE"""),4527.6)</f>
        <v>4527.6</v>
      </c>
      <c r="C1747" s="3">
        <f>IFERROR(__xludf.DUMMYFUNCTION("""COMPUTED_VALUE"""),4550.05)</f>
        <v>4550.05</v>
      </c>
      <c r="D1747" s="3">
        <f>IFERROR(__xludf.DUMMYFUNCTION("""COMPUTED_VALUE"""),4488.7)</f>
        <v>4488.7</v>
      </c>
      <c r="E1747" s="3">
        <f>IFERROR(__xludf.DUMMYFUNCTION("""COMPUTED_VALUE"""),4496.75)</f>
        <v>4496.75</v>
      </c>
      <c r="F1747" s="3">
        <f>IFERROR(__xludf.DUMMYFUNCTION("""COMPUTED_VALUE"""),0.0)</f>
        <v>0</v>
      </c>
    </row>
    <row r="1748">
      <c r="A1748" s="7">
        <f>IFERROR(__xludf.DUMMYFUNCTION("""COMPUTED_VALUE"""),39281.645833333336)</f>
        <v>39281.64583</v>
      </c>
      <c r="B1748" s="3">
        <f>IFERROR(__xludf.DUMMYFUNCTION("""COMPUTED_VALUE"""),4499.15)</f>
        <v>4499.15</v>
      </c>
      <c r="C1748" s="3">
        <f>IFERROR(__xludf.DUMMYFUNCTION("""COMPUTED_VALUE"""),4508.85)</f>
        <v>4508.85</v>
      </c>
      <c r="D1748" s="3">
        <f>IFERROR(__xludf.DUMMYFUNCTION("""COMPUTED_VALUE"""),4453.3)</f>
        <v>4453.3</v>
      </c>
      <c r="E1748" s="3">
        <f>IFERROR(__xludf.DUMMYFUNCTION("""COMPUTED_VALUE"""),4499.55)</f>
        <v>4499.55</v>
      </c>
      <c r="F1748" s="3">
        <f>IFERROR(__xludf.DUMMYFUNCTION("""COMPUTED_VALUE"""),0.0)</f>
        <v>0</v>
      </c>
    </row>
    <row r="1749">
      <c r="A1749" s="7">
        <f>IFERROR(__xludf.DUMMYFUNCTION("""COMPUTED_VALUE"""),39282.645833333336)</f>
        <v>39282.64583</v>
      </c>
      <c r="B1749" s="3">
        <f>IFERROR(__xludf.DUMMYFUNCTION("""COMPUTED_VALUE"""),4501.6)</f>
        <v>4501.6</v>
      </c>
      <c r="C1749" s="3">
        <f>IFERROR(__xludf.DUMMYFUNCTION("""COMPUTED_VALUE"""),4571.75)</f>
        <v>4571.75</v>
      </c>
      <c r="D1749" s="3">
        <f>IFERROR(__xludf.DUMMYFUNCTION("""COMPUTED_VALUE"""),4501.6)</f>
        <v>4501.6</v>
      </c>
      <c r="E1749" s="3">
        <f>IFERROR(__xludf.DUMMYFUNCTION("""COMPUTED_VALUE"""),4562.1)</f>
        <v>4562.1</v>
      </c>
      <c r="F1749" s="3">
        <f>IFERROR(__xludf.DUMMYFUNCTION("""COMPUTED_VALUE"""),0.0)</f>
        <v>0</v>
      </c>
    </row>
    <row r="1750">
      <c r="A1750" s="7">
        <f>IFERROR(__xludf.DUMMYFUNCTION("""COMPUTED_VALUE"""),39283.645833333336)</f>
        <v>39283.64583</v>
      </c>
      <c r="B1750" s="3">
        <f>IFERROR(__xludf.DUMMYFUNCTION("""COMPUTED_VALUE"""),4573.4)</f>
        <v>4573.4</v>
      </c>
      <c r="C1750" s="3">
        <f>IFERROR(__xludf.DUMMYFUNCTION("""COMPUTED_VALUE"""),4600.1)</f>
        <v>4600.1</v>
      </c>
      <c r="D1750" s="3">
        <f>IFERROR(__xludf.DUMMYFUNCTION("""COMPUTED_VALUE"""),4554.0)</f>
        <v>4554</v>
      </c>
      <c r="E1750" s="3">
        <f>IFERROR(__xludf.DUMMYFUNCTION("""COMPUTED_VALUE"""),4566.05)</f>
        <v>4566.05</v>
      </c>
      <c r="F1750" s="3">
        <f>IFERROR(__xludf.DUMMYFUNCTION("""COMPUTED_VALUE"""),0.0)</f>
        <v>0</v>
      </c>
    </row>
    <row r="1751">
      <c r="A1751" s="7">
        <f>IFERROR(__xludf.DUMMYFUNCTION("""COMPUTED_VALUE"""),39286.645833333336)</f>
        <v>39286.64583</v>
      </c>
      <c r="B1751" s="3">
        <f>IFERROR(__xludf.DUMMYFUNCTION("""COMPUTED_VALUE"""),4561.55)</f>
        <v>4561.55</v>
      </c>
      <c r="C1751" s="3">
        <f>IFERROR(__xludf.DUMMYFUNCTION("""COMPUTED_VALUE"""),4628.0)</f>
        <v>4628</v>
      </c>
      <c r="D1751" s="3">
        <f>IFERROR(__xludf.DUMMYFUNCTION("""COMPUTED_VALUE"""),4548.8)</f>
        <v>4548.8</v>
      </c>
      <c r="E1751" s="3">
        <f>IFERROR(__xludf.DUMMYFUNCTION("""COMPUTED_VALUE"""),4619.35)</f>
        <v>4619.35</v>
      </c>
      <c r="F1751" s="3">
        <f>IFERROR(__xludf.DUMMYFUNCTION("""COMPUTED_VALUE"""),0.0)</f>
        <v>0</v>
      </c>
    </row>
    <row r="1752">
      <c r="A1752" s="7">
        <f>IFERROR(__xludf.DUMMYFUNCTION("""COMPUTED_VALUE"""),39287.645833333336)</f>
        <v>39287.64583</v>
      </c>
      <c r="B1752" s="3">
        <f>IFERROR(__xludf.DUMMYFUNCTION("""COMPUTED_VALUE"""),4627.6)</f>
        <v>4627.6</v>
      </c>
      <c r="C1752" s="3">
        <f>IFERROR(__xludf.DUMMYFUNCTION("""COMPUTED_VALUE"""),4647.6)</f>
        <v>4647.6</v>
      </c>
      <c r="D1752" s="3">
        <f>IFERROR(__xludf.DUMMYFUNCTION("""COMPUTED_VALUE"""),4610.15)</f>
        <v>4610.15</v>
      </c>
      <c r="E1752" s="3">
        <f>IFERROR(__xludf.DUMMYFUNCTION("""COMPUTED_VALUE"""),4620.75)</f>
        <v>4620.75</v>
      </c>
      <c r="F1752" s="3">
        <f>IFERROR(__xludf.DUMMYFUNCTION("""COMPUTED_VALUE"""),0.0)</f>
        <v>0</v>
      </c>
    </row>
    <row r="1753">
      <c r="A1753" s="7">
        <f>IFERROR(__xludf.DUMMYFUNCTION("""COMPUTED_VALUE"""),39288.645833333336)</f>
        <v>39288.64583</v>
      </c>
      <c r="B1753" s="3">
        <f>IFERROR(__xludf.DUMMYFUNCTION("""COMPUTED_VALUE"""),4607.95)</f>
        <v>4607.95</v>
      </c>
      <c r="C1753" s="3">
        <f>IFERROR(__xludf.DUMMYFUNCTION("""COMPUTED_VALUE"""),4613.2)</f>
        <v>4613.2</v>
      </c>
      <c r="D1753" s="3">
        <f>IFERROR(__xludf.DUMMYFUNCTION("""COMPUTED_VALUE"""),4556.75)</f>
        <v>4556.75</v>
      </c>
      <c r="E1753" s="3">
        <f>IFERROR(__xludf.DUMMYFUNCTION("""COMPUTED_VALUE"""),4588.7)</f>
        <v>4588.7</v>
      </c>
      <c r="F1753" s="3">
        <f>IFERROR(__xludf.DUMMYFUNCTION("""COMPUTED_VALUE"""),0.0)</f>
        <v>0</v>
      </c>
    </row>
    <row r="1754">
      <c r="A1754" s="7">
        <f>IFERROR(__xludf.DUMMYFUNCTION("""COMPUTED_VALUE"""),39289.645833333336)</f>
        <v>39289.64583</v>
      </c>
      <c r="B1754" s="3">
        <f>IFERROR(__xludf.DUMMYFUNCTION("""COMPUTED_VALUE"""),4600.25)</f>
        <v>4600.25</v>
      </c>
      <c r="C1754" s="3">
        <f>IFERROR(__xludf.DUMMYFUNCTION("""COMPUTED_VALUE"""),4623.35)</f>
        <v>4623.35</v>
      </c>
      <c r="D1754" s="3">
        <f>IFERROR(__xludf.DUMMYFUNCTION("""COMPUTED_VALUE"""),4571.45)</f>
        <v>4571.45</v>
      </c>
      <c r="E1754" s="3">
        <f>IFERROR(__xludf.DUMMYFUNCTION("""COMPUTED_VALUE"""),4619.8)</f>
        <v>4619.8</v>
      </c>
      <c r="F1754" s="3">
        <f>IFERROR(__xludf.DUMMYFUNCTION("""COMPUTED_VALUE"""),0.0)</f>
        <v>0</v>
      </c>
    </row>
    <row r="1755">
      <c r="A1755" s="7">
        <f>IFERROR(__xludf.DUMMYFUNCTION("""COMPUTED_VALUE"""),39290.645833333336)</f>
        <v>39290.64583</v>
      </c>
      <c r="B1755" s="3">
        <f>IFERROR(__xludf.DUMMYFUNCTION("""COMPUTED_VALUE"""),4564.8)</f>
        <v>4564.8</v>
      </c>
      <c r="C1755" s="3">
        <f>IFERROR(__xludf.DUMMYFUNCTION("""COMPUTED_VALUE"""),4564.8)</f>
        <v>4564.8</v>
      </c>
      <c r="D1755" s="3">
        <f>IFERROR(__xludf.DUMMYFUNCTION("""COMPUTED_VALUE"""),4424.95)</f>
        <v>4424.95</v>
      </c>
      <c r="E1755" s="3">
        <f>IFERROR(__xludf.DUMMYFUNCTION("""COMPUTED_VALUE"""),4445.2)</f>
        <v>4445.2</v>
      </c>
      <c r="F1755" s="3">
        <f>IFERROR(__xludf.DUMMYFUNCTION("""COMPUTED_VALUE"""),0.0)</f>
        <v>0</v>
      </c>
    </row>
    <row r="1756">
      <c r="A1756" s="7">
        <f>IFERROR(__xludf.DUMMYFUNCTION("""COMPUTED_VALUE"""),39293.645833333336)</f>
        <v>39293.64583</v>
      </c>
      <c r="B1756" s="3">
        <f>IFERROR(__xludf.DUMMYFUNCTION("""COMPUTED_VALUE"""),4447.45)</f>
        <v>4447.45</v>
      </c>
      <c r="C1756" s="3">
        <f>IFERROR(__xludf.DUMMYFUNCTION("""COMPUTED_VALUE"""),4493.0)</f>
        <v>4493</v>
      </c>
      <c r="D1756" s="3">
        <f>IFERROR(__xludf.DUMMYFUNCTION("""COMPUTED_VALUE"""),4405.55)</f>
        <v>4405.55</v>
      </c>
      <c r="E1756" s="3">
        <f>IFERROR(__xludf.DUMMYFUNCTION("""COMPUTED_VALUE"""),4440.05)</f>
        <v>4440.05</v>
      </c>
      <c r="F1756" s="3">
        <f>IFERROR(__xludf.DUMMYFUNCTION("""COMPUTED_VALUE"""),0.0)</f>
        <v>0</v>
      </c>
    </row>
    <row r="1757">
      <c r="A1757" s="7">
        <f>IFERROR(__xludf.DUMMYFUNCTION("""COMPUTED_VALUE"""),39294.645833333336)</f>
        <v>39294.64583</v>
      </c>
      <c r="B1757" s="3">
        <f>IFERROR(__xludf.DUMMYFUNCTION("""COMPUTED_VALUE"""),4462.4)</f>
        <v>4462.4</v>
      </c>
      <c r="C1757" s="3">
        <f>IFERROR(__xludf.DUMMYFUNCTION("""COMPUTED_VALUE"""),4533.8)</f>
        <v>4533.8</v>
      </c>
      <c r="D1757" s="3">
        <f>IFERROR(__xludf.DUMMYFUNCTION("""COMPUTED_VALUE"""),4433.45)</f>
        <v>4433.45</v>
      </c>
      <c r="E1757" s="3">
        <f>IFERROR(__xludf.DUMMYFUNCTION("""COMPUTED_VALUE"""),4528.85)</f>
        <v>4528.85</v>
      </c>
      <c r="F1757" s="3">
        <f>IFERROR(__xludf.DUMMYFUNCTION("""COMPUTED_VALUE"""),0.0)</f>
        <v>0</v>
      </c>
    </row>
    <row r="1758">
      <c r="A1758" s="7">
        <f>IFERROR(__xludf.DUMMYFUNCTION("""COMPUTED_VALUE"""),39295.645833333336)</f>
        <v>39295.64583</v>
      </c>
      <c r="B1758" s="3">
        <f>IFERROR(__xludf.DUMMYFUNCTION("""COMPUTED_VALUE"""),4508.5)</f>
        <v>4508.5</v>
      </c>
      <c r="C1758" s="3">
        <f>IFERROR(__xludf.DUMMYFUNCTION("""COMPUTED_VALUE"""),4508.5)</f>
        <v>4508.5</v>
      </c>
      <c r="D1758" s="3">
        <f>IFERROR(__xludf.DUMMYFUNCTION("""COMPUTED_VALUE"""),4339.9)</f>
        <v>4339.9</v>
      </c>
      <c r="E1758" s="3">
        <f>IFERROR(__xludf.DUMMYFUNCTION("""COMPUTED_VALUE"""),4345.85)</f>
        <v>4345.85</v>
      </c>
      <c r="F1758" s="3">
        <f>IFERROR(__xludf.DUMMYFUNCTION("""COMPUTED_VALUE"""),0.0)</f>
        <v>0</v>
      </c>
    </row>
    <row r="1759">
      <c r="A1759" s="7">
        <f>IFERROR(__xludf.DUMMYFUNCTION("""COMPUTED_VALUE"""),39296.645833333336)</f>
        <v>39296.64583</v>
      </c>
      <c r="B1759" s="3">
        <f>IFERROR(__xludf.DUMMYFUNCTION("""COMPUTED_VALUE"""),4369.35)</f>
        <v>4369.35</v>
      </c>
      <c r="C1759" s="3">
        <f>IFERROR(__xludf.DUMMYFUNCTION("""COMPUTED_VALUE"""),4399.6)</f>
        <v>4399.6</v>
      </c>
      <c r="D1759" s="3">
        <f>IFERROR(__xludf.DUMMYFUNCTION("""COMPUTED_VALUE"""),4327.65)</f>
        <v>4327.65</v>
      </c>
      <c r="E1759" s="3">
        <f>IFERROR(__xludf.DUMMYFUNCTION("""COMPUTED_VALUE"""),4356.35)</f>
        <v>4356.35</v>
      </c>
      <c r="F1759" s="3">
        <f>IFERROR(__xludf.DUMMYFUNCTION("""COMPUTED_VALUE"""),0.0)</f>
        <v>0</v>
      </c>
    </row>
    <row r="1760">
      <c r="A1760" s="7">
        <f>IFERROR(__xludf.DUMMYFUNCTION("""COMPUTED_VALUE"""),39297.645833333336)</f>
        <v>39297.64583</v>
      </c>
      <c r="B1760" s="3">
        <f>IFERROR(__xludf.DUMMYFUNCTION("""COMPUTED_VALUE"""),4371.6)</f>
        <v>4371.6</v>
      </c>
      <c r="C1760" s="3">
        <f>IFERROR(__xludf.DUMMYFUNCTION("""COMPUTED_VALUE"""),4427.9)</f>
        <v>4427.9</v>
      </c>
      <c r="D1760" s="3">
        <f>IFERROR(__xludf.DUMMYFUNCTION("""COMPUTED_VALUE"""),4371.6)</f>
        <v>4371.6</v>
      </c>
      <c r="E1760" s="3">
        <f>IFERROR(__xludf.DUMMYFUNCTION("""COMPUTED_VALUE"""),4401.55)</f>
        <v>4401.55</v>
      </c>
      <c r="F1760" s="3">
        <f>IFERROR(__xludf.DUMMYFUNCTION("""COMPUTED_VALUE"""),0.0)</f>
        <v>0</v>
      </c>
    </row>
    <row r="1761">
      <c r="A1761" s="7">
        <f>IFERROR(__xludf.DUMMYFUNCTION("""COMPUTED_VALUE"""),39300.645833333336)</f>
        <v>39300.64583</v>
      </c>
      <c r="B1761" s="3">
        <f>IFERROR(__xludf.DUMMYFUNCTION("""COMPUTED_VALUE"""),4388.1)</f>
        <v>4388.1</v>
      </c>
      <c r="C1761" s="3">
        <f>IFERROR(__xludf.DUMMYFUNCTION("""COMPUTED_VALUE"""),4388.1)</f>
        <v>4388.1</v>
      </c>
      <c r="D1761" s="3">
        <f>IFERROR(__xludf.DUMMYFUNCTION("""COMPUTED_VALUE"""),4274.3)</f>
        <v>4274.3</v>
      </c>
      <c r="E1761" s="3">
        <f>IFERROR(__xludf.DUMMYFUNCTION("""COMPUTED_VALUE"""),4339.5)</f>
        <v>4339.5</v>
      </c>
      <c r="F1761" s="3">
        <f>IFERROR(__xludf.DUMMYFUNCTION("""COMPUTED_VALUE"""),0.0)</f>
        <v>0</v>
      </c>
    </row>
    <row r="1762">
      <c r="A1762" s="7">
        <f>IFERROR(__xludf.DUMMYFUNCTION("""COMPUTED_VALUE"""),39301.645833333336)</f>
        <v>39301.64583</v>
      </c>
      <c r="B1762" s="3">
        <f>IFERROR(__xludf.DUMMYFUNCTION("""COMPUTED_VALUE"""),4382.95)</f>
        <v>4382.95</v>
      </c>
      <c r="C1762" s="3">
        <f>IFERROR(__xludf.DUMMYFUNCTION("""COMPUTED_VALUE"""),4405.2)</f>
        <v>4405.2</v>
      </c>
      <c r="D1762" s="3">
        <f>IFERROR(__xludf.DUMMYFUNCTION("""COMPUTED_VALUE"""),4348.5)</f>
        <v>4348.5</v>
      </c>
      <c r="E1762" s="3">
        <f>IFERROR(__xludf.DUMMYFUNCTION("""COMPUTED_VALUE"""),4356.35)</f>
        <v>4356.35</v>
      </c>
      <c r="F1762" s="3">
        <f>IFERROR(__xludf.DUMMYFUNCTION("""COMPUTED_VALUE"""),0.0)</f>
        <v>0</v>
      </c>
    </row>
    <row r="1763">
      <c r="A1763" s="7">
        <f>IFERROR(__xludf.DUMMYFUNCTION("""COMPUTED_VALUE"""),39302.645833333336)</f>
        <v>39302.64583</v>
      </c>
      <c r="B1763" s="3">
        <f>IFERROR(__xludf.DUMMYFUNCTION("""COMPUTED_VALUE"""),4383.8)</f>
        <v>4383.8</v>
      </c>
      <c r="C1763" s="3">
        <f>IFERROR(__xludf.DUMMYFUNCTION("""COMPUTED_VALUE"""),4471.8)</f>
        <v>4471.8</v>
      </c>
      <c r="D1763" s="3">
        <f>IFERROR(__xludf.DUMMYFUNCTION("""COMPUTED_VALUE"""),4383.8)</f>
        <v>4383.8</v>
      </c>
      <c r="E1763" s="3">
        <f>IFERROR(__xludf.DUMMYFUNCTION("""COMPUTED_VALUE"""),4462.1)</f>
        <v>4462.1</v>
      </c>
      <c r="F1763" s="3">
        <f>IFERROR(__xludf.DUMMYFUNCTION("""COMPUTED_VALUE"""),0.0)</f>
        <v>0</v>
      </c>
    </row>
    <row r="1764">
      <c r="A1764" s="7">
        <f>IFERROR(__xludf.DUMMYFUNCTION("""COMPUTED_VALUE"""),39303.645833333336)</f>
        <v>39303.64583</v>
      </c>
      <c r="B1764" s="3">
        <f>IFERROR(__xludf.DUMMYFUNCTION("""COMPUTED_VALUE"""),4474.4)</f>
        <v>4474.4</v>
      </c>
      <c r="C1764" s="3">
        <f>IFERROR(__xludf.DUMMYFUNCTION("""COMPUTED_VALUE"""),4529.8)</f>
        <v>4529.8</v>
      </c>
      <c r="D1764" s="3">
        <f>IFERROR(__xludf.DUMMYFUNCTION("""COMPUTED_VALUE"""),4391.3)</f>
        <v>4391.3</v>
      </c>
      <c r="E1764" s="3">
        <f>IFERROR(__xludf.DUMMYFUNCTION("""COMPUTED_VALUE"""),4403.2)</f>
        <v>4403.2</v>
      </c>
      <c r="F1764" s="3">
        <f>IFERROR(__xludf.DUMMYFUNCTION("""COMPUTED_VALUE"""),0.0)</f>
        <v>0</v>
      </c>
    </row>
    <row r="1765">
      <c r="A1765" s="7">
        <f>IFERROR(__xludf.DUMMYFUNCTION("""COMPUTED_VALUE"""),39304.645833333336)</f>
        <v>39304.64583</v>
      </c>
      <c r="B1765" s="3">
        <f>IFERROR(__xludf.DUMMYFUNCTION("""COMPUTED_VALUE"""),4395.5)</f>
        <v>4395.5</v>
      </c>
      <c r="C1765" s="3">
        <f>IFERROR(__xludf.DUMMYFUNCTION("""COMPUTED_VALUE"""),4395.5)</f>
        <v>4395.5</v>
      </c>
      <c r="D1765" s="3">
        <f>IFERROR(__xludf.DUMMYFUNCTION("""COMPUTED_VALUE"""),4247.4)</f>
        <v>4247.4</v>
      </c>
      <c r="E1765" s="3">
        <f>IFERROR(__xludf.DUMMYFUNCTION("""COMPUTED_VALUE"""),4333.35)</f>
        <v>4333.35</v>
      </c>
      <c r="F1765" s="3">
        <f>IFERROR(__xludf.DUMMYFUNCTION("""COMPUTED_VALUE"""),0.0)</f>
        <v>0</v>
      </c>
    </row>
    <row r="1766">
      <c r="A1766" s="7">
        <f>IFERROR(__xludf.DUMMYFUNCTION("""COMPUTED_VALUE"""),39307.645833333336)</f>
        <v>39307.64583</v>
      </c>
      <c r="B1766" s="3">
        <f>IFERROR(__xludf.DUMMYFUNCTION("""COMPUTED_VALUE"""),4343.6)</f>
        <v>4343.6</v>
      </c>
      <c r="C1766" s="3">
        <f>IFERROR(__xludf.DUMMYFUNCTION("""COMPUTED_VALUE"""),4383.6)</f>
        <v>4383.6</v>
      </c>
      <c r="D1766" s="3">
        <f>IFERROR(__xludf.DUMMYFUNCTION("""COMPUTED_VALUE"""),4335.1)</f>
        <v>4335.1</v>
      </c>
      <c r="E1766" s="3">
        <f>IFERROR(__xludf.DUMMYFUNCTION("""COMPUTED_VALUE"""),4373.65)</f>
        <v>4373.65</v>
      </c>
      <c r="F1766" s="3">
        <f>IFERROR(__xludf.DUMMYFUNCTION("""COMPUTED_VALUE"""),0.0)</f>
        <v>0</v>
      </c>
    </row>
    <row r="1767">
      <c r="A1767" s="7">
        <f>IFERROR(__xludf.DUMMYFUNCTION("""COMPUTED_VALUE"""),39308.645833333336)</f>
        <v>39308.64583</v>
      </c>
      <c r="B1767" s="3">
        <f>IFERROR(__xludf.DUMMYFUNCTION("""COMPUTED_VALUE"""),4366.35)</f>
        <v>4366.35</v>
      </c>
      <c r="C1767" s="3">
        <f>IFERROR(__xludf.DUMMYFUNCTION("""COMPUTED_VALUE"""),4391.8)</f>
        <v>4391.8</v>
      </c>
      <c r="D1767" s="3">
        <f>IFERROR(__xludf.DUMMYFUNCTION("""COMPUTED_VALUE"""),4354.5)</f>
        <v>4354.5</v>
      </c>
      <c r="E1767" s="3">
        <f>IFERROR(__xludf.DUMMYFUNCTION("""COMPUTED_VALUE"""),4370.2)</f>
        <v>4370.2</v>
      </c>
      <c r="F1767" s="3">
        <f>IFERROR(__xludf.DUMMYFUNCTION("""COMPUTED_VALUE"""),0.0)</f>
        <v>0</v>
      </c>
    </row>
    <row r="1768">
      <c r="A1768" s="7">
        <f>IFERROR(__xludf.DUMMYFUNCTION("""COMPUTED_VALUE"""),39310.645833333336)</f>
        <v>39310.64583</v>
      </c>
      <c r="B1768" s="3">
        <f>IFERROR(__xludf.DUMMYFUNCTION("""COMPUTED_VALUE"""),4220.55)</f>
        <v>4220.55</v>
      </c>
      <c r="C1768" s="3">
        <f>IFERROR(__xludf.DUMMYFUNCTION("""COMPUTED_VALUE"""),4220.55)</f>
        <v>4220.55</v>
      </c>
      <c r="D1768" s="3">
        <f>IFERROR(__xludf.DUMMYFUNCTION("""COMPUTED_VALUE"""),4172.8)</f>
        <v>4172.8</v>
      </c>
      <c r="E1768" s="3">
        <f>IFERROR(__xludf.DUMMYFUNCTION("""COMPUTED_VALUE"""),4178.6)</f>
        <v>4178.6</v>
      </c>
      <c r="F1768" s="3">
        <f>IFERROR(__xludf.DUMMYFUNCTION("""COMPUTED_VALUE"""),0.0)</f>
        <v>0</v>
      </c>
    </row>
    <row r="1769">
      <c r="A1769" s="7">
        <f>IFERROR(__xludf.DUMMYFUNCTION("""COMPUTED_VALUE"""),39311.645833333336)</f>
        <v>39311.64583</v>
      </c>
      <c r="B1769" s="3">
        <f>IFERROR(__xludf.DUMMYFUNCTION("""COMPUTED_VALUE"""),4165.2)</f>
        <v>4165.2</v>
      </c>
      <c r="C1769" s="3">
        <f>IFERROR(__xludf.DUMMYFUNCTION("""COMPUTED_VALUE"""),4167.2)</f>
        <v>4167.2</v>
      </c>
      <c r="D1769" s="3">
        <f>IFERROR(__xludf.DUMMYFUNCTION("""COMPUTED_VALUE"""),4003.2)</f>
        <v>4003.2</v>
      </c>
      <c r="E1769" s="3">
        <f>IFERROR(__xludf.DUMMYFUNCTION("""COMPUTED_VALUE"""),4108.05)</f>
        <v>4108.05</v>
      </c>
      <c r="F1769" s="3">
        <f>IFERROR(__xludf.DUMMYFUNCTION("""COMPUTED_VALUE"""),0.0)</f>
        <v>0</v>
      </c>
    </row>
    <row r="1770">
      <c r="A1770" s="7">
        <f>IFERROR(__xludf.DUMMYFUNCTION("""COMPUTED_VALUE"""),39314.645833333336)</f>
        <v>39314.64583</v>
      </c>
      <c r="B1770" s="3">
        <f>IFERROR(__xludf.DUMMYFUNCTION("""COMPUTED_VALUE"""),4149.95)</f>
        <v>4149.95</v>
      </c>
      <c r="C1770" s="3">
        <f>IFERROR(__xludf.DUMMYFUNCTION("""COMPUTED_VALUE"""),4261.15)</f>
        <v>4261.15</v>
      </c>
      <c r="D1770" s="3">
        <f>IFERROR(__xludf.DUMMYFUNCTION("""COMPUTED_VALUE"""),4149.95)</f>
        <v>4149.95</v>
      </c>
      <c r="E1770" s="3">
        <f>IFERROR(__xludf.DUMMYFUNCTION("""COMPUTED_VALUE"""),4209.05)</f>
        <v>4209.05</v>
      </c>
      <c r="F1770" s="3">
        <f>IFERROR(__xludf.DUMMYFUNCTION("""COMPUTED_VALUE"""),0.0)</f>
        <v>0</v>
      </c>
    </row>
    <row r="1771">
      <c r="A1771" s="7">
        <f>IFERROR(__xludf.DUMMYFUNCTION("""COMPUTED_VALUE"""),39315.645833333336)</f>
        <v>39315.64583</v>
      </c>
      <c r="B1771" s="3">
        <f>IFERROR(__xludf.DUMMYFUNCTION("""COMPUTED_VALUE"""),4224.6)</f>
        <v>4224.6</v>
      </c>
      <c r="C1771" s="3">
        <f>IFERROR(__xludf.DUMMYFUNCTION("""COMPUTED_VALUE"""),4235.25)</f>
        <v>4235.25</v>
      </c>
      <c r="D1771" s="3">
        <f>IFERROR(__xludf.DUMMYFUNCTION("""COMPUTED_VALUE"""),4059.1)</f>
        <v>4059.1</v>
      </c>
      <c r="E1771" s="3">
        <f>IFERROR(__xludf.DUMMYFUNCTION("""COMPUTED_VALUE"""),4074.9)</f>
        <v>4074.9</v>
      </c>
      <c r="F1771" s="3">
        <f>IFERROR(__xludf.DUMMYFUNCTION("""COMPUTED_VALUE"""),0.0)</f>
        <v>0</v>
      </c>
    </row>
    <row r="1772">
      <c r="A1772" s="7">
        <f>IFERROR(__xludf.DUMMYFUNCTION("""COMPUTED_VALUE"""),39316.645833333336)</f>
        <v>39316.64583</v>
      </c>
      <c r="B1772" s="3">
        <f>IFERROR(__xludf.DUMMYFUNCTION("""COMPUTED_VALUE"""),4106.55)</f>
        <v>4106.55</v>
      </c>
      <c r="C1772" s="3">
        <f>IFERROR(__xludf.DUMMYFUNCTION("""COMPUTED_VALUE"""),4164.45)</f>
        <v>4164.45</v>
      </c>
      <c r="D1772" s="3">
        <f>IFERROR(__xludf.DUMMYFUNCTION("""COMPUTED_VALUE"""),4040.5)</f>
        <v>4040.5</v>
      </c>
      <c r="E1772" s="3">
        <f>IFERROR(__xludf.DUMMYFUNCTION("""COMPUTED_VALUE"""),4153.15)</f>
        <v>4153.15</v>
      </c>
      <c r="F1772" s="3">
        <f>IFERROR(__xludf.DUMMYFUNCTION("""COMPUTED_VALUE"""),0.0)</f>
        <v>0</v>
      </c>
    </row>
    <row r="1773">
      <c r="A1773" s="7">
        <f>IFERROR(__xludf.DUMMYFUNCTION("""COMPUTED_VALUE"""),39317.645833333336)</f>
        <v>39317.64583</v>
      </c>
      <c r="B1773" s="3">
        <f>IFERROR(__xludf.DUMMYFUNCTION("""COMPUTED_VALUE"""),4191.65)</f>
        <v>4191.65</v>
      </c>
      <c r="C1773" s="3">
        <f>IFERROR(__xludf.DUMMYFUNCTION("""COMPUTED_VALUE"""),4245.7)</f>
        <v>4245.7</v>
      </c>
      <c r="D1773" s="3">
        <f>IFERROR(__xludf.DUMMYFUNCTION("""COMPUTED_VALUE"""),4102.35)</f>
        <v>4102.35</v>
      </c>
      <c r="E1773" s="3">
        <f>IFERROR(__xludf.DUMMYFUNCTION("""COMPUTED_VALUE"""),4114.95)</f>
        <v>4114.95</v>
      </c>
      <c r="F1773" s="3">
        <f>IFERROR(__xludf.DUMMYFUNCTION("""COMPUTED_VALUE"""),0.0)</f>
        <v>0</v>
      </c>
    </row>
    <row r="1774">
      <c r="A1774" s="7">
        <f>IFERROR(__xludf.DUMMYFUNCTION("""COMPUTED_VALUE"""),39318.645833333336)</f>
        <v>39318.64583</v>
      </c>
      <c r="B1774" s="3">
        <f>IFERROR(__xludf.DUMMYFUNCTION("""COMPUTED_VALUE"""),4131.55)</f>
        <v>4131.55</v>
      </c>
      <c r="C1774" s="3">
        <f>IFERROR(__xludf.DUMMYFUNCTION("""COMPUTED_VALUE"""),4201.1)</f>
        <v>4201.1</v>
      </c>
      <c r="D1774" s="3">
        <f>IFERROR(__xludf.DUMMYFUNCTION("""COMPUTED_VALUE"""),4110.65)</f>
        <v>4110.65</v>
      </c>
      <c r="E1774" s="3">
        <f>IFERROR(__xludf.DUMMYFUNCTION("""COMPUTED_VALUE"""),4190.15)</f>
        <v>4190.15</v>
      </c>
      <c r="F1774" s="3">
        <f>IFERROR(__xludf.DUMMYFUNCTION("""COMPUTED_VALUE"""),0.0)</f>
        <v>0</v>
      </c>
    </row>
    <row r="1775">
      <c r="A1775" s="7">
        <f>IFERROR(__xludf.DUMMYFUNCTION("""COMPUTED_VALUE"""),39321.645833333336)</f>
        <v>39321.64583</v>
      </c>
      <c r="B1775" s="3">
        <f>IFERROR(__xludf.DUMMYFUNCTION("""COMPUTED_VALUE"""),4225.65)</f>
        <v>4225.65</v>
      </c>
      <c r="C1775" s="3">
        <f>IFERROR(__xludf.DUMMYFUNCTION("""COMPUTED_VALUE"""),4309.35)</f>
        <v>4309.35</v>
      </c>
      <c r="D1775" s="3">
        <f>IFERROR(__xludf.DUMMYFUNCTION("""COMPUTED_VALUE"""),4225.65)</f>
        <v>4225.65</v>
      </c>
      <c r="E1775" s="3">
        <f>IFERROR(__xludf.DUMMYFUNCTION("""COMPUTED_VALUE"""),4302.6)</f>
        <v>4302.6</v>
      </c>
      <c r="F1775" s="3">
        <f>IFERROR(__xludf.DUMMYFUNCTION("""COMPUTED_VALUE"""),0.0)</f>
        <v>0</v>
      </c>
    </row>
    <row r="1776">
      <c r="A1776" s="7">
        <f>IFERROR(__xludf.DUMMYFUNCTION("""COMPUTED_VALUE"""),39322.645833333336)</f>
        <v>39322.64583</v>
      </c>
      <c r="B1776" s="3">
        <f>IFERROR(__xludf.DUMMYFUNCTION("""COMPUTED_VALUE"""),4296.55)</f>
        <v>4296.55</v>
      </c>
      <c r="C1776" s="3">
        <f>IFERROR(__xludf.DUMMYFUNCTION("""COMPUTED_VALUE"""),4328.95)</f>
        <v>4328.95</v>
      </c>
      <c r="D1776" s="3">
        <f>IFERROR(__xludf.DUMMYFUNCTION("""COMPUTED_VALUE"""),4280.95)</f>
        <v>4280.95</v>
      </c>
      <c r="E1776" s="3">
        <f>IFERROR(__xludf.DUMMYFUNCTION("""COMPUTED_VALUE"""),4320.7)</f>
        <v>4320.7</v>
      </c>
      <c r="F1776" s="3">
        <f>IFERROR(__xludf.DUMMYFUNCTION("""COMPUTED_VALUE"""),0.0)</f>
        <v>0</v>
      </c>
    </row>
    <row r="1777">
      <c r="A1777" s="7">
        <f>IFERROR(__xludf.DUMMYFUNCTION("""COMPUTED_VALUE"""),39323.645833333336)</f>
        <v>39323.64583</v>
      </c>
      <c r="B1777" s="3">
        <f>IFERROR(__xludf.DUMMYFUNCTION("""COMPUTED_VALUE"""),4279.9)</f>
        <v>4279.9</v>
      </c>
      <c r="C1777" s="3">
        <f>IFERROR(__xludf.DUMMYFUNCTION("""COMPUTED_VALUE"""),4368.55)</f>
        <v>4368.55</v>
      </c>
      <c r="D1777" s="3">
        <f>IFERROR(__xludf.DUMMYFUNCTION("""COMPUTED_VALUE"""),4229.85)</f>
        <v>4229.85</v>
      </c>
      <c r="E1777" s="3">
        <f>IFERROR(__xludf.DUMMYFUNCTION("""COMPUTED_VALUE"""),4359.3)</f>
        <v>4359.3</v>
      </c>
      <c r="F1777" s="3">
        <f>IFERROR(__xludf.DUMMYFUNCTION("""COMPUTED_VALUE"""),0.0)</f>
        <v>0</v>
      </c>
    </row>
    <row r="1778">
      <c r="A1778" s="7">
        <f>IFERROR(__xludf.DUMMYFUNCTION("""COMPUTED_VALUE"""),39324.645833333336)</f>
        <v>39324.64583</v>
      </c>
      <c r="B1778" s="3">
        <f>IFERROR(__xludf.DUMMYFUNCTION("""COMPUTED_VALUE"""),4373.0)</f>
        <v>4373</v>
      </c>
      <c r="C1778" s="3">
        <f>IFERROR(__xludf.DUMMYFUNCTION("""COMPUTED_VALUE"""),4421.65)</f>
        <v>4421.65</v>
      </c>
      <c r="D1778" s="3">
        <f>IFERROR(__xludf.DUMMYFUNCTION("""COMPUTED_VALUE"""),4373.0)</f>
        <v>4373</v>
      </c>
      <c r="E1778" s="3">
        <f>IFERROR(__xludf.DUMMYFUNCTION("""COMPUTED_VALUE"""),4412.3)</f>
        <v>4412.3</v>
      </c>
      <c r="F1778" s="3">
        <f>IFERROR(__xludf.DUMMYFUNCTION("""COMPUTED_VALUE"""),0.0)</f>
        <v>0</v>
      </c>
    </row>
    <row r="1779">
      <c r="A1779" s="7">
        <f>IFERROR(__xludf.DUMMYFUNCTION("""COMPUTED_VALUE"""),39325.645833333336)</f>
        <v>39325.64583</v>
      </c>
      <c r="B1779" s="3">
        <f>IFERROR(__xludf.DUMMYFUNCTION("""COMPUTED_VALUE"""),4417.35)</f>
        <v>4417.35</v>
      </c>
      <c r="C1779" s="3">
        <f>IFERROR(__xludf.DUMMYFUNCTION("""COMPUTED_VALUE"""),4471.15)</f>
        <v>4471.15</v>
      </c>
      <c r="D1779" s="3">
        <f>IFERROR(__xludf.DUMMYFUNCTION("""COMPUTED_VALUE"""),4403.9)</f>
        <v>4403.9</v>
      </c>
      <c r="E1779" s="3">
        <f>IFERROR(__xludf.DUMMYFUNCTION("""COMPUTED_VALUE"""),4464.0)</f>
        <v>4464</v>
      </c>
      <c r="F1779" s="3">
        <f>IFERROR(__xludf.DUMMYFUNCTION("""COMPUTED_VALUE"""),0.0)</f>
        <v>0</v>
      </c>
    </row>
    <row r="1780">
      <c r="A1780" s="7">
        <f>IFERROR(__xludf.DUMMYFUNCTION("""COMPUTED_VALUE"""),39328.645833333336)</f>
        <v>39328.64583</v>
      </c>
      <c r="B1780" s="3">
        <f>IFERROR(__xludf.DUMMYFUNCTION("""COMPUTED_VALUE"""),4486.9)</f>
        <v>4486.9</v>
      </c>
      <c r="C1780" s="3">
        <f>IFERROR(__xludf.DUMMYFUNCTION("""COMPUTED_VALUE"""),4489.55)</f>
        <v>4489.55</v>
      </c>
      <c r="D1780" s="3">
        <f>IFERROR(__xludf.DUMMYFUNCTION("""COMPUTED_VALUE"""),4452.95)</f>
        <v>4452.95</v>
      </c>
      <c r="E1780" s="3">
        <f>IFERROR(__xludf.DUMMYFUNCTION("""COMPUTED_VALUE"""),4474.75)</f>
        <v>4474.75</v>
      </c>
      <c r="F1780" s="3">
        <f>IFERROR(__xludf.DUMMYFUNCTION("""COMPUTED_VALUE"""),0.0)</f>
        <v>0</v>
      </c>
    </row>
    <row r="1781">
      <c r="A1781" s="7">
        <f>IFERROR(__xludf.DUMMYFUNCTION("""COMPUTED_VALUE"""),39329.645833333336)</f>
        <v>39329.64583</v>
      </c>
      <c r="B1781" s="3">
        <f>IFERROR(__xludf.DUMMYFUNCTION("""COMPUTED_VALUE"""),4496.75)</f>
        <v>4496.75</v>
      </c>
      <c r="C1781" s="3">
        <f>IFERROR(__xludf.DUMMYFUNCTION("""COMPUTED_VALUE"""),4501.05)</f>
        <v>4501.05</v>
      </c>
      <c r="D1781" s="3">
        <f>IFERROR(__xludf.DUMMYFUNCTION("""COMPUTED_VALUE"""),4460.95)</f>
        <v>4460.95</v>
      </c>
      <c r="E1781" s="3">
        <f>IFERROR(__xludf.DUMMYFUNCTION("""COMPUTED_VALUE"""),4479.25)</f>
        <v>4479.25</v>
      </c>
      <c r="F1781" s="3">
        <f>IFERROR(__xludf.DUMMYFUNCTION("""COMPUTED_VALUE"""),0.0)</f>
        <v>0</v>
      </c>
    </row>
    <row r="1782">
      <c r="A1782" s="7">
        <f>IFERROR(__xludf.DUMMYFUNCTION("""COMPUTED_VALUE"""),39331.645833333336)</f>
        <v>39331.64583</v>
      </c>
      <c r="B1782" s="3">
        <f>IFERROR(__xludf.DUMMYFUNCTION("""COMPUTED_VALUE"""),4466.8)</f>
        <v>4466.8</v>
      </c>
      <c r="C1782" s="3">
        <f>IFERROR(__xludf.DUMMYFUNCTION("""COMPUTED_VALUE"""),4521.85)</f>
        <v>4521.85</v>
      </c>
      <c r="D1782" s="3">
        <f>IFERROR(__xludf.DUMMYFUNCTION("""COMPUTED_VALUE"""),4447.1)</f>
        <v>4447.1</v>
      </c>
      <c r="E1782" s="3">
        <f>IFERROR(__xludf.DUMMYFUNCTION("""COMPUTED_VALUE"""),4518.6)</f>
        <v>4518.6</v>
      </c>
      <c r="F1782" s="3">
        <f>IFERROR(__xludf.DUMMYFUNCTION("""COMPUTED_VALUE"""),0.0)</f>
        <v>0</v>
      </c>
    </row>
    <row r="1783">
      <c r="A1783" s="7">
        <f>IFERROR(__xludf.DUMMYFUNCTION("""COMPUTED_VALUE"""),39332.645833333336)</f>
        <v>39332.64583</v>
      </c>
      <c r="B1783" s="3">
        <f>IFERROR(__xludf.DUMMYFUNCTION("""COMPUTED_VALUE"""),4520.5)</f>
        <v>4520.5</v>
      </c>
      <c r="C1783" s="3">
        <f>IFERROR(__xludf.DUMMYFUNCTION("""COMPUTED_VALUE"""),4547.35)</f>
        <v>4547.35</v>
      </c>
      <c r="D1783" s="3">
        <f>IFERROR(__xludf.DUMMYFUNCTION("""COMPUTED_VALUE"""),4500.55)</f>
        <v>4500.55</v>
      </c>
      <c r="E1783" s="3">
        <f>IFERROR(__xludf.DUMMYFUNCTION("""COMPUTED_VALUE"""),4509.5)</f>
        <v>4509.5</v>
      </c>
      <c r="F1783" s="3">
        <f>IFERROR(__xludf.DUMMYFUNCTION("""COMPUTED_VALUE"""),0.0)</f>
        <v>0</v>
      </c>
    </row>
    <row r="1784">
      <c r="A1784" s="7">
        <f>IFERROR(__xludf.DUMMYFUNCTION("""COMPUTED_VALUE"""),39335.645833333336)</f>
        <v>39335.64583</v>
      </c>
      <c r="B1784" s="3">
        <f>IFERROR(__xludf.DUMMYFUNCTION("""COMPUTED_VALUE"""),4478.55)</f>
        <v>4478.55</v>
      </c>
      <c r="C1784" s="3">
        <f>IFERROR(__xludf.DUMMYFUNCTION("""COMPUTED_VALUE"""),4515.1)</f>
        <v>4515.1</v>
      </c>
      <c r="D1784" s="3">
        <f>IFERROR(__xludf.DUMMYFUNCTION("""COMPUTED_VALUE"""),4453.0)</f>
        <v>4453</v>
      </c>
      <c r="E1784" s="3">
        <f>IFERROR(__xludf.DUMMYFUNCTION("""COMPUTED_VALUE"""),4507.85)</f>
        <v>4507.85</v>
      </c>
      <c r="F1784" s="3">
        <f>IFERROR(__xludf.DUMMYFUNCTION("""COMPUTED_VALUE"""),0.0)</f>
        <v>0</v>
      </c>
    </row>
    <row r="1785">
      <c r="A1785" s="7">
        <f>IFERROR(__xludf.DUMMYFUNCTION("""COMPUTED_VALUE"""),39336.645833333336)</f>
        <v>39336.64583</v>
      </c>
      <c r="B1785" s="3">
        <f>IFERROR(__xludf.DUMMYFUNCTION("""COMPUTED_VALUE"""),4518.8)</f>
        <v>4518.8</v>
      </c>
      <c r="C1785" s="3">
        <f>IFERROR(__xludf.DUMMYFUNCTION("""COMPUTED_VALUE"""),4538.45)</f>
        <v>4538.45</v>
      </c>
      <c r="D1785" s="3">
        <f>IFERROR(__xludf.DUMMYFUNCTION("""COMPUTED_VALUE"""),4487.7)</f>
        <v>4487.7</v>
      </c>
      <c r="E1785" s="3">
        <f>IFERROR(__xludf.DUMMYFUNCTION("""COMPUTED_VALUE"""),4497.05)</f>
        <v>4497.05</v>
      </c>
      <c r="F1785" s="3">
        <f>IFERROR(__xludf.DUMMYFUNCTION("""COMPUTED_VALUE"""),0.0)</f>
        <v>0</v>
      </c>
    </row>
    <row r="1786">
      <c r="A1786" s="7">
        <f>IFERROR(__xludf.DUMMYFUNCTION("""COMPUTED_VALUE"""),39337.645833333336)</f>
        <v>39337.64583</v>
      </c>
      <c r="B1786" s="3">
        <f>IFERROR(__xludf.DUMMYFUNCTION("""COMPUTED_VALUE"""),4497.2)</f>
        <v>4497.2</v>
      </c>
      <c r="C1786" s="3">
        <f>IFERROR(__xludf.DUMMYFUNCTION("""COMPUTED_VALUE"""),4529.5)</f>
        <v>4529.5</v>
      </c>
      <c r="D1786" s="3">
        <f>IFERROR(__xludf.DUMMYFUNCTION("""COMPUTED_VALUE"""),4491.25)</f>
        <v>4491.25</v>
      </c>
      <c r="E1786" s="3">
        <f>IFERROR(__xludf.DUMMYFUNCTION("""COMPUTED_VALUE"""),4496.85)</f>
        <v>4496.85</v>
      </c>
      <c r="F1786" s="3">
        <f>IFERROR(__xludf.DUMMYFUNCTION("""COMPUTED_VALUE"""),0.0)</f>
        <v>0</v>
      </c>
    </row>
    <row r="1787">
      <c r="A1787" s="7">
        <f>IFERROR(__xludf.DUMMYFUNCTION("""COMPUTED_VALUE"""),39338.645833333336)</f>
        <v>39338.64583</v>
      </c>
      <c r="B1787" s="3">
        <f>IFERROR(__xludf.DUMMYFUNCTION("""COMPUTED_VALUE"""),4500.95)</f>
        <v>4500.95</v>
      </c>
      <c r="C1787" s="3">
        <f>IFERROR(__xludf.DUMMYFUNCTION("""COMPUTED_VALUE"""),4540.5)</f>
        <v>4540.5</v>
      </c>
      <c r="D1787" s="3">
        <f>IFERROR(__xludf.DUMMYFUNCTION("""COMPUTED_VALUE"""),4500.95)</f>
        <v>4500.95</v>
      </c>
      <c r="E1787" s="3">
        <f>IFERROR(__xludf.DUMMYFUNCTION("""COMPUTED_VALUE"""),4528.95)</f>
        <v>4528.95</v>
      </c>
      <c r="F1787" s="3">
        <f>IFERROR(__xludf.DUMMYFUNCTION("""COMPUTED_VALUE"""),0.0)</f>
        <v>0</v>
      </c>
    </row>
    <row r="1788">
      <c r="A1788" s="7">
        <f>IFERROR(__xludf.DUMMYFUNCTION("""COMPUTED_VALUE"""),39339.645833333336)</f>
        <v>39339.64583</v>
      </c>
      <c r="B1788" s="3">
        <f>IFERROR(__xludf.DUMMYFUNCTION("""COMPUTED_VALUE"""),4555.25)</f>
        <v>4555.25</v>
      </c>
      <c r="C1788" s="3">
        <f>IFERROR(__xludf.DUMMYFUNCTION("""COMPUTED_VALUE"""),4582.2)</f>
        <v>4582.2</v>
      </c>
      <c r="D1788" s="3">
        <f>IFERROR(__xludf.DUMMYFUNCTION("""COMPUTED_VALUE"""),4509.1)</f>
        <v>4509.1</v>
      </c>
      <c r="E1788" s="3">
        <f>IFERROR(__xludf.DUMMYFUNCTION("""COMPUTED_VALUE"""),4518.0)</f>
        <v>4518</v>
      </c>
      <c r="F1788" s="3">
        <f>IFERROR(__xludf.DUMMYFUNCTION("""COMPUTED_VALUE"""),0.0)</f>
        <v>0</v>
      </c>
    </row>
    <row r="1789">
      <c r="A1789" s="7">
        <f>IFERROR(__xludf.DUMMYFUNCTION("""COMPUTED_VALUE"""),39342.645833333336)</f>
        <v>39342.64583</v>
      </c>
      <c r="B1789" s="3">
        <f>IFERROR(__xludf.DUMMYFUNCTION("""COMPUTED_VALUE"""),4527.65)</f>
        <v>4527.65</v>
      </c>
      <c r="C1789" s="3">
        <f>IFERROR(__xludf.DUMMYFUNCTION("""COMPUTED_VALUE"""),4548.7)</f>
        <v>4548.7</v>
      </c>
      <c r="D1789" s="3">
        <f>IFERROR(__xludf.DUMMYFUNCTION("""COMPUTED_VALUE"""),4483.75)</f>
        <v>4483.75</v>
      </c>
      <c r="E1789" s="3">
        <f>IFERROR(__xludf.DUMMYFUNCTION("""COMPUTED_VALUE"""),4494.65)</f>
        <v>4494.65</v>
      </c>
      <c r="F1789" s="3">
        <f>IFERROR(__xludf.DUMMYFUNCTION("""COMPUTED_VALUE"""),0.0)</f>
        <v>0</v>
      </c>
    </row>
    <row r="1790">
      <c r="A1790" s="7">
        <f>IFERROR(__xludf.DUMMYFUNCTION("""COMPUTED_VALUE"""),39343.645833333336)</f>
        <v>39343.64583</v>
      </c>
      <c r="B1790" s="3">
        <f>IFERROR(__xludf.DUMMYFUNCTION("""COMPUTED_VALUE"""),4495.3)</f>
        <v>4495.3</v>
      </c>
      <c r="C1790" s="3">
        <f>IFERROR(__xludf.DUMMYFUNCTION("""COMPUTED_VALUE"""),4551.35)</f>
        <v>4551.35</v>
      </c>
      <c r="D1790" s="3">
        <f>IFERROR(__xludf.DUMMYFUNCTION("""COMPUTED_VALUE"""),4481.8)</f>
        <v>4481.8</v>
      </c>
      <c r="E1790" s="3">
        <f>IFERROR(__xludf.DUMMYFUNCTION("""COMPUTED_VALUE"""),4546.2)</f>
        <v>4546.2</v>
      </c>
      <c r="F1790" s="3">
        <f>IFERROR(__xludf.DUMMYFUNCTION("""COMPUTED_VALUE"""),0.0)</f>
        <v>0</v>
      </c>
    </row>
    <row r="1791">
      <c r="A1791" s="7">
        <f>IFERROR(__xludf.DUMMYFUNCTION("""COMPUTED_VALUE"""),39344.645833333336)</f>
        <v>39344.64583</v>
      </c>
      <c r="B1791" s="3">
        <f>IFERROR(__xludf.DUMMYFUNCTION("""COMPUTED_VALUE"""),4584.95)</f>
        <v>4584.95</v>
      </c>
      <c r="C1791" s="3">
        <f>IFERROR(__xludf.DUMMYFUNCTION("""COMPUTED_VALUE"""),4738.35)</f>
        <v>4738.35</v>
      </c>
      <c r="D1791" s="3">
        <f>IFERROR(__xludf.DUMMYFUNCTION("""COMPUTED_VALUE"""),4584.95)</f>
        <v>4584.95</v>
      </c>
      <c r="E1791" s="3">
        <f>IFERROR(__xludf.DUMMYFUNCTION("""COMPUTED_VALUE"""),4732.35)</f>
        <v>4732.35</v>
      </c>
      <c r="F1791" s="3">
        <f>IFERROR(__xludf.DUMMYFUNCTION("""COMPUTED_VALUE"""),0.0)</f>
        <v>0</v>
      </c>
    </row>
    <row r="1792">
      <c r="A1792" s="7">
        <f>IFERROR(__xludf.DUMMYFUNCTION("""COMPUTED_VALUE"""),39345.645833333336)</f>
        <v>39345.64583</v>
      </c>
      <c r="B1792" s="3">
        <f>IFERROR(__xludf.DUMMYFUNCTION("""COMPUTED_VALUE"""),4746.45)</f>
        <v>4746.45</v>
      </c>
      <c r="C1792" s="3">
        <f>IFERROR(__xludf.DUMMYFUNCTION("""COMPUTED_VALUE"""),4760.45)</f>
        <v>4760.45</v>
      </c>
      <c r="D1792" s="3">
        <f>IFERROR(__xludf.DUMMYFUNCTION("""COMPUTED_VALUE"""),4721.7)</f>
        <v>4721.7</v>
      </c>
      <c r="E1792" s="3">
        <f>IFERROR(__xludf.DUMMYFUNCTION("""COMPUTED_VALUE"""),4747.55)</f>
        <v>4747.55</v>
      </c>
      <c r="F1792" s="3">
        <f>IFERROR(__xludf.DUMMYFUNCTION("""COMPUTED_VALUE"""),0.0)</f>
        <v>0</v>
      </c>
    </row>
    <row r="1793">
      <c r="A1793" s="7">
        <f>IFERROR(__xludf.DUMMYFUNCTION("""COMPUTED_VALUE"""),39346.645833333336)</f>
        <v>39346.64583</v>
      </c>
      <c r="B1793" s="3">
        <f>IFERROR(__xludf.DUMMYFUNCTION("""COMPUTED_VALUE"""),4738.0)</f>
        <v>4738</v>
      </c>
      <c r="C1793" s="3">
        <f>IFERROR(__xludf.DUMMYFUNCTION("""COMPUTED_VALUE"""),4855.15)</f>
        <v>4855.15</v>
      </c>
      <c r="D1793" s="3">
        <f>IFERROR(__xludf.DUMMYFUNCTION("""COMPUTED_VALUE"""),4738.0)</f>
        <v>4738</v>
      </c>
      <c r="E1793" s="3">
        <f>IFERROR(__xludf.DUMMYFUNCTION("""COMPUTED_VALUE"""),4837.55)</f>
        <v>4837.55</v>
      </c>
      <c r="F1793" s="3">
        <f>IFERROR(__xludf.DUMMYFUNCTION("""COMPUTED_VALUE"""),0.0)</f>
        <v>0</v>
      </c>
    </row>
    <row r="1794">
      <c r="A1794" s="7">
        <f>IFERROR(__xludf.DUMMYFUNCTION("""COMPUTED_VALUE"""),39349.645833333336)</f>
        <v>39349.64583</v>
      </c>
      <c r="B1794" s="3">
        <f>IFERROR(__xludf.DUMMYFUNCTION("""COMPUTED_VALUE"""),4852.9)</f>
        <v>4852.9</v>
      </c>
      <c r="C1794" s="3">
        <f>IFERROR(__xludf.DUMMYFUNCTION("""COMPUTED_VALUE"""),4939.75)</f>
        <v>4939.75</v>
      </c>
      <c r="D1794" s="3">
        <f>IFERROR(__xludf.DUMMYFUNCTION("""COMPUTED_VALUE"""),4852.9)</f>
        <v>4852.9</v>
      </c>
      <c r="E1794" s="3">
        <f>IFERROR(__xludf.DUMMYFUNCTION("""COMPUTED_VALUE"""),4932.2)</f>
        <v>4932.2</v>
      </c>
      <c r="F1794" s="3">
        <f>IFERROR(__xludf.DUMMYFUNCTION("""COMPUTED_VALUE"""),0.0)</f>
        <v>0</v>
      </c>
    </row>
    <row r="1795">
      <c r="A1795" s="7">
        <f>IFERROR(__xludf.DUMMYFUNCTION("""COMPUTED_VALUE"""),39350.645833333336)</f>
        <v>39350.64583</v>
      </c>
      <c r="B1795" s="3">
        <f>IFERROR(__xludf.DUMMYFUNCTION("""COMPUTED_VALUE"""),4939.1)</f>
        <v>4939.1</v>
      </c>
      <c r="C1795" s="3">
        <f>IFERROR(__xludf.DUMMYFUNCTION("""COMPUTED_VALUE"""),4953.9)</f>
        <v>4953.9</v>
      </c>
      <c r="D1795" s="3">
        <f>IFERROR(__xludf.DUMMYFUNCTION("""COMPUTED_VALUE"""),4878.15)</f>
        <v>4878.15</v>
      </c>
      <c r="E1795" s="3">
        <f>IFERROR(__xludf.DUMMYFUNCTION("""COMPUTED_VALUE"""),4938.85)</f>
        <v>4938.85</v>
      </c>
      <c r="F1795" s="3">
        <f>IFERROR(__xludf.DUMMYFUNCTION("""COMPUTED_VALUE"""),0.0)</f>
        <v>0</v>
      </c>
    </row>
    <row r="1796">
      <c r="A1796" s="7">
        <f>IFERROR(__xludf.DUMMYFUNCTION("""COMPUTED_VALUE"""),39351.645833333336)</f>
        <v>39351.64583</v>
      </c>
      <c r="B1796" s="3">
        <f>IFERROR(__xludf.DUMMYFUNCTION("""COMPUTED_VALUE"""),4937.6)</f>
        <v>4937.6</v>
      </c>
      <c r="C1796" s="3">
        <f>IFERROR(__xludf.DUMMYFUNCTION("""COMPUTED_VALUE"""),4980.65)</f>
        <v>4980.65</v>
      </c>
      <c r="D1796" s="3">
        <f>IFERROR(__xludf.DUMMYFUNCTION("""COMPUTED_VALUE"""),4931.6)</f>
        <v>4931.6</v>
      </c>
      <c r="E1796" s="3">
        <f>IFERROR(__xludf.DUMMYFUNCTION("""COMPUTED_VALUE"""),4940.5)</f>
        <v>4940.5</v>
      </c>
      <c r="F1796" s="3">
        <f>IFERROR(__xludf.DUMMYFUNCTION("""COMPUTED_VALUE"""),0.0)</f>
        <v>0</v>
      </c>
    </row>
    <row r="1797">
      <c r="A1797" s="7">
        <f>IFERROR(__xludf.DUMMYFUNCTION("""COMPUTED_VALUE"""),39352.645833333336)</f>
        <v>39352.64583</v>
      </c>
      <c r="B1797" s="3">
        <f>IFERROR(__xludf.DUMMYFUNCTION("""COMPUTED_VALUE"""),4970.4)</f>
        <v>4970.4</v>
      </c>
      <c r="C1797" s="3">
        <f>IFERROR(__xludf.DUMMYFUNCTION("""COMPUTED_VALUE"""),5014.2)</f>
        <v>5014.2</v>
      </c>
      <c r="D1797" s="3">
        <f>IFERROR(__xludf.DUMMYFUNCTION("""COMPUTED_VALUE"""),4970.0)</f>
        <v>4970</v>
      </c>
      <c r="E1797" s="3">
        <f>IFERROR(__xludf.DUMMYFUNCTION("""COMPUTED_VALUE"""),5000.55)</f>
        <v>5000.55</v>
      </c>
      <c r="F1797" s="3">
        <f>IFERROR(__xludf.DUMMYFUNCTION("""COMPUTED_VALUE"""),0.0)</f>
        <v>0</v>
      </c>
    </row>
    <row r="1798">
      <c r="A1798" s="7">
        <f>IFERROR(__xludf.DUMMYFUNCTION("""COMPUTED_VALUE"""),39353.645833333336)</f>
        <v>39353.64583</v>
      </c>
      <c r="B1798" s="3">
        <f>IFERROR(__xludf.DUMMYFUNCTION("""COMPUTED_VALUE"""),5012.25)</f>
        <v>5012.25</v>
      </c>
      <c r="C1798" s="3">
        <f>IFERROR(__xludf.DUMMYFUNCTION("""COMPUTED_VALUE"""),5055.4)</f>
        <v>5055.4</v>
      </c>
      <c r="D1798" s="3">
        <f>IFERROR(__xludf.DUMMYFUNCTION("""COMPUTED_VALUE"""),5001.3)</f>
        <v>5001.3</v>
      </c>
      <c r="E1798" s="3">
        <f>IFERROR(__xludf.DUMMYFUNCTION("""COMPUTED_VALUE"""),5021.35)</f>
        <v>5021.35</v>
      </c>
      <c r="F1798" s="3">
        <f>IFERROR(__xludf.DUMMYFUNCTION("""COMPUTED_VALUE"""),0.0)</f>
        <v>0</v>
      </c>
    </row>
    <row r="1799">
      <c r="A1799" s="7">
        <f>IFERROR(__xludf.DUMMYFUNCTION("""COMPUTED_VALUE"""),39356.645833333336)</f>
        <v>39356.64583</v>
      </c>
      <c r="B1799" s="3">
        <f>IFERROR(__xludf.DUMMYFUNCTION("""COMPUTED_VALUE"""),5022.9)</f>
        <v>5022.9</v>
      </c>
      <c r="C1799" s="3">
        <f>IFERROR(__xludf.DUMMYFUNCTION("""COMPUTED_VALUE"""),5088.45)</f>
        <v>5088.45</v>
      </c>
      <c r="D1799" s="3">
        <f>IFERROR(__xludf.DUMMYFUNCTION("""COMPUTED_VALUE"""),5001.5)</f>
        <v>5001.5</v>
      </c>
      <c r="E1799" s="3">
        <f>IFERROR(__xludf.DUMMYFUNCTION("""COMPUTED_VALUE"""),5068.95)</f>
        <v>5068.95</v>
      </c>
      <c r="F1799" s="3">
        <f>IFERROR(__xludf.DUMMYFUNCTION("""COMPUTED_VALUE"""),0.0)</f>
        <v>0</v>
      </c>
    </row>
    <row r="1800">
      <c r="A1800" s="7">
        <f>IFERROR(__xludf.DUMMYFUNCTION("""COMPUTED_VALUE"""),39358.645833333336)</f>
        <v>39358.64583</v>
      </c>
      <c r="B1800" s="3">
        <f>IFERROR(__xludf.DUMMYFUNCTION("""COMPUTED_VALUE"""),5096.9)</f>
        <v>5096.9</v>
      </c>
      <c r="C1800" s="3">
        <f>IFERROR(__xludf.DUMMYFUNCTION("""COMPUTED_VALUE"""),5260.95)</f>
        <v>5260.95</v>
      </c>
      <c r="D1800" s="3">
        <f>IFERROR(__xludf.DUMMYFUNCTION("""COMPUTED_VALUE"""),5035.8)</f>
        <v>5035.8</v>
      </c>
      <c r="E1800" s="3">
        <f>IFERROR(__xludf.DUMMYFUNCTION("""COMPUTED_VALUE"""),5210.8)</f>
        <v>5210.8</v>
      </c>
      <c r="F1800" s="3">
        <f>IFERROR(__xludf.DUMMYFUNCTION("""COMPUTED_VALUE"""),0.0)</f>
        <v>0</v>
      </c>
    </row>
    <row r="1801">
      <c r="A1801" s="7">
        <f>IFERROR(__xludf.DUMMYFUNCTION("""COMPUTED_VALUE"""),39359.645833333336)</f>
        <v>39359.64583</v>
      </c>
      <c r="B1801" s="3">
        <f>IFERROR(__xludf.DUMMYFUNCTION("""COMPUTED_VALUE"""),5211.2)</f>
        <v>5211.2</v>
      </c>
      <c r="C1801" s="3">
        <f>IFERROR(__xludf.DUMMYFUNCTION("""COMPUTED_VALUE"""),5232.0)</f>
        <v>5232</v>
      </c>
      <c r="D1801" s="3">
        <f>IFERROR(__xludf.DUMMYFUNCTION("""COMPUTED_VALUE"""),5127.5)</f>
        <v>5127.5</v>
      </c>
      <c r="E1801" s="3">
        <f>IFERROR(__xludf.DUMMYFUNCTION("""COMPUTED_VALUE"""),5208.65)</f>
        <v>5208.65</v>
      </c>
      <c r="F1801" s="3">
        <f>IFERROR(__xludf.DUMMYFUNCTION("""COMPUTED_VALUE"""),0.0)</f>
        <v>0</v>
      </c>
    </row>
    <row r="1802">
      <c r="A1802" s="7">
        <f>IFERROR(__xludf.DUMMYFUNCTION("""COMPUTED_VALUE"""),39360.645833333336)</f>
        <v>39360.64583</v>
      </c>
      <c r="B1802" s="3">
        <f>IFERROR(__xludf.DUMMYFUNCTION("""COMPUTED_VALUE"""),5212.35)</f>
        <v>5212.35</v>
      </c>
      <c r="C1802" s="3">
        <f>IFERROR(__xludf.DUMMYFUNCTION("""COMPUTED_VALUE"""),5248.1)</f>
        <v>5248.1</v>
      </c>
      <c r="D1802" s="3">
        <f>IFERROR(__xludf.DUMMYFUNCTION("""COMPUTED_VALUE"""),5166.4)</f>
        <v>5166.4</v>
      </c>
      <c r="E1802" s="3">
        <f>IFERROR(__xludf.DUMMYFUNCTION("""COMPUTED_VALUE"""),5185.85)</f>
        <v>5185.85</v>
      </c>
      <c r="F1802" s="3">
        <f>IFERROR(__xludf.DUMMYFUNCTION("""COMPUTED_VALUE"""),0.0)</f>
        <v>0</v>
      </c>
    </row>
    <row r="1803">
      <c r="A1803" s="7">
        <f>IFERROR(__xludf.DUMMYFUNCTION("""COMPUTED_VALUE"""),39363.645833333336)</f>
        <v>39363.64583</v>
      </c>
      <c r="B1803" s="3">
        <f>IFERROR(__xludf.DUMMYFUNCTION("""COMPUTED_VALUE"""),5204.55)</f>
        <v>5204.55</v>
      </c>
      <c r="C1803" s="3">
        <f>IFERROR(__xludf.DUMMYFUNCTION("""COMPUTED_VALUE"""),5247.65)</f>
        <v>5247.65</v>
      </c>
      <c r="D1803" s="3">
        <f>IFERROR(__xludf.DUMMYFUNCTION("""COMPUTED_VALUE"""),5025.6)</f>
        <v>5025.6</v>
      </c>
      <c r="E1803" s="3">
        <f>IFERROR(__xludf.DUMMYFUNCTION("""COMPUTED_VALUE"""),5085.1)</f>
        <v>5085.1</v>
      </c>
      <c r="F1803" s="3">
        <f>IFERROR(__xludf.DUMMYFUNCTION("""COMPUTED_VALUE"""),0.0)</f>
        <v>0</v>
      </c>
    </row>
    <row r="1804">
      <c r="A1804" s="7">
        <f>IFERROR(__xludf.DUMMYFUNCTION("""COMPUTED_VALUE"""),39364.645833333336)</f>
        <v>39364.64583</v>
      </c>
      <c r="B1804" s="3">
        <f>IFERROR(__xludf.DUMMYFUNCTION("""COMPUTED_VALUE"""),5051.6)</f>
        <v>5051.6</v>
      </c>
      <c r="C1804" s="3">
        <f>IFERROR(__xludf.DUMMYFUNCTION("""COMPUTED_VALUE"""),5344.7)</f>
        <v>5344.7</v>
      </c>
      <c r="D1804" s="3">
        <f>IFERROR(__xludf.DUMMYFUNCTION("""COMPUTED_VALUE"""),5051.6)</f>
        <v>5051.6</v>
      </c>
      <c r="E1804" s="3">
        <f>IFERROR(__xludf.DUMMYFUNCTION("""COMPUTED_VALUE"""),5327.25)</f>
        <v>5327.25</v>
      </c>
      <c r="F1804" s="3">
        <f>IFERROR(__xludf.DUMMYFUNCTION("""COMPUTED_VALUE"""),0.0)</f>
        <v>0</v>
      </c>
    </row>
    <row r="1805">
      <c r="A1805" s="7">
        <f>IFERROR(__xludf.DUMMYFUNCTION("""COMPUTED_VALUE"""),39365.645833333336)</f>
        <v>39365.64583</v>
      </c>
      <c r="B1805" s="3">
        <f>IFERROR(__xludf.DUMMYFUNCTION("""COMPUTED_VALUE"""),5349.45)</f>
        <v>5349.45</v>
      </c>
      <c r="C1805" s="3">
        <f>IFERROR(__xludf.DUMMYFUNCTION("""COMPUTED_VALUE"""),5453.95)</f>
        <v>5453.95</v>
      </c>
      <c r="D1805" s="3">
        <f>IFERROR(__xludf.DUMMYFUNCTION("""COMPUTED_VALUE"""),5349.45)</f>
        <v>5349.45</v>
      </c>
      <c r="E1805" s="3">
        <f>IFERROR(__xludf.DUMMYFUNCTION("""COMPUTED_VALUE"""),5441.45)</f>
        <v>5441.45</v>
      </c>
      <c r="F1805" s="3">
        <f>IFERROR(__xludf.DUMMYFUNCTION("""COMPUTED_VALUE"""),0.0)</f>
        <v>0</v>
      </c>
    </row>
    <row r="1806">
      <c r="A1806" s="7">
        <f>IFERROR(__xludf.DUMMYFUNCTION("""COMPUTED_VALUE"""),39366.645833333336)</f>
        <v>39366.64583</v>
      </c>
      <c r="B1806" s="3">
        <f>IFERROR(__xludf.DUMMYFUNCTION("""COMPUTED_VALUE"""),5465.65)</f>
        <v>5465.65</v>
      </c>
      <c r="C1806" s="3">
        <f>IFERROR(__xludf.DUMMYFUNCTION("""COMPUTED_VALUE"""),5531.5)</f>
        <v>5531.5</v>
      </c>
      <c r="D1806" s="3">
        <f>IFERROR(__xludf.DUMMYFUNCTION("""COMPUTED_VALUE"""),5424.5)</f>
        <v>5424.5</v>
      </c>
      <c r="E1806" s="3">
        <f>IFERROR(__xludf.DUMMYFUNCTION("""COMPUTED_VALUE"""),5524.85)</f>
        <v>5524.85</v>
      </c>
      <c r="F1806" s="3">
        <f>IFERROR(__xludf.DUMMYFUNCTION("""COMPUTED_VALUE"""),0.0)</f>
        <v>0</v>
      </c>
    </row>
    <row r="1807">
      <c r="A1807" s="7">
        <f>IFERROR(__xludf.DUMMYFUNCTION("""COMPUTED_VALUE"""),39367.645833333336)</f>
        <v>39367.64583</v>
      </c>
      <c r="B1807" s="3">
        <f>IFERROR(__xludf.DUMMYFUNCTION("""COMPUTED_VALUE"""),5523.5)</f>
        <v>5523.5</v>
      </c>
      <c r="C1807" s="3">
        <f>IFERROR(__xludf.DUMMYFUNCTION("""COMPUTED_VALUE"""),5548.8)</f>
        <v>5548.8</v>
      </c>
      <c r="D1807" s="3">
        <f>IFERROR(__xludf.DUMMYFUNCTION("""COMPUTED_VALUE"""),5405.05)</f>
        <v>5405.05</v>
      </c>
      <c r="E1807" s="3">
        <f>IFERROR(__xludf.DUMMYFUNCTION("""COMPUTED_VALUE"""),5428.25)</f>
        <v>5428.25</v>
      </c>
      <c r="F1807" s="3">
        <f>IFERROR(__xludf.DUMMYFUNCTION("""COMPUTED_VALUE"""),0.0)</f>
        <v>0</v>
      </c>
    </row>
    <row r="1808">
      <c r="A1808" s="7">
        <f>IFERROR(__xludf.DUMMYFUNCTION("""COMPUTED_VALUE"""),39370.645833333336)</f>
        <v>39370.64583</v>
      </c>
      <c r="B1808" s="3">
        <f>IFERROR(__xludf.DUMMYFUNCTION("""COMPUTED_VALUE"""),5465.9)</f>
        <v>5465.9</v>
      </c>
      <c r="C1808" s="3">
        <f>IFERROR(__xludf.DUMMYFUNCTION("""COMPUTED_VALUE"""),5682.2)</f>
        <v>5682.2</v>
      </c>
      <c r="D1808" s="3">
        <f>IFERROR(__xludf.DUMMYFUNCTION("""COMPUTED_VALUE"""),5465.9)</f>
        <v>5465.9</v>
      </c>
      <c r="E1808" s="3">
        <f>IFERROR(__xludf.DUMMYFUNCTION("""COMPUTED_VALUE"""),5670.4)</f>
        <v>5670.4</v>
      </c>
      <c r="F1808" s="3">
        <f>IFERROR(__xludf.DUMMYFUNCTION("""COMPUTED_VALUE"""),0.0)</f>
        <v>0</v>
      </c>
    </row>
    <row r="1809">
      <c r="A1809" s="7">
        <f>IFERROR(__xludf.DUMMYFUNCTION("""COMPUTED_VALUE"""),39371.645833333336)</f>
        <v>39371.64583</v>
      </c>
      <c r="B1809" s="3">
        <f>IFERROR(__xludf.DUMMYFUNCTION("""COMPUTED_VALUE"""),5686.45)</f>
        <v>5686.45</v>
      </c>
      <c r="C1809" s="3">
        <f>IFERROR(__xludf.DUMMYFUNCTION("""COMPUTED_VALUE"""),5706.55)</f>
        <v>5706.55</v>
      </c>
      <c r="D1809" s="3">
        <f>IFERROR(__xludf.DUMMYFUNCTION("""COMPUTED_VALUE"""),5580.05)</f>
        <v>5580.05</v>
      </c>
      <c r="E1809" s="3">
        <f>IFERROR(__xludf.DUMMYFUNCTION("""COMPUTED_VALUE"""),5668.05)</f>
        <v>5668.05</v>
      </c>
      <c r="F1809" s="3">
        <f>IFERROR(__xludf.DUMMYFUNCTION("""COMPUTED_VALUE"""),0.0)</f>
        <v>0</v>
      </c>
    </row>
    <row r="1810">
      <c r="A1810" s="7">
        <f>IFERROR(__xludf.DUMMYFUNCTION("""COMPUTED_VALUE"""),39372.645833333336)</f>
        <v>39372.64583</v>
      </c>
      <c r="B1810" s="3">
        <f>IFERROR(__xludf.DUMMYFUNCTION("""COMPUTED_VALUE"""),5383.8)</f>
        <v>5383.8</v>
      </c>
      <c r="C1810" s="3">
        <f>IFERROR(__xludf.DUMMYFUNCTION("""COMPUTED_VALUE"""),5595.1)</f>
        <v>5595.1</v>
      </c>
      <c r="D1810" s="3">
        <f>IFERROR(__xludf.DUMMYFUNCTION("""COMPUTED_VALUE"""),5143.9)</f>
        <v>5143.9</v>
      </c>
      <c r="E1810" s="3">
        <f>IFERROR(__xludf.DUMMYFUNCTION("""COMPUTED_VALUE"""),5559.3)</f>
        <v>5559.3</v>
      </c>
      <c r="F1810" s="3">
        <f>IFERROR(__xludf.DUMMYFUNCTION("""COMPUTED_VALUE"""),0.0)</f>
        <v>0</v>
      </c>
    </row>
    <row r="1811">
      <c r="A1811" s="7">
        <f>IFERROR(__xludf.DUMMYFUNCTION("""COMPUTED_VALUE"""),39373.645833333336)</f>
        <v>39373.64583</v>
      </c>
      <c r="B1811" s="3">
        <f>IFERROR(__xludf.DUMMYFUNCTION("""COMPUTED_VALUE"""),5594.15)</f>
        <v>5594.15</v>
      </c>
      <c r="C1811" s="3">
        <f>IFERROR(__xludf.DUMMYFUNCTION("""COMPUTED_VALUE"""),5736.6)</f>
        <v>5736.6</v>
      </c>
      <c r="D1811" s="3">
        <f>IFERROR(__xludf.DUMMYFUNCTION("""COMPUTED_VALUE"""),5271.25)</f>
        <v>5271.25</v>
      </c>
      <c r="E1811" s="3">
        <f>IFERROR(__xludf.DUMMYFUNCTION("""COMPUTED_VALUE"""),5351.0)</f>
        <v>5351</v>
      </c>
      <c r="F1811" s="3">
        <f>IFERROR(__xludf.DUMMYFUNCTION("""COMPUTED_VALUE"""),0.0)</f>
        <v>0</v>
      </c>
    </row>
    <row r="1812">
      <c r="A1812" s="7">
        <f>IFERROR(__xludf.DUMMYFUNCTION("""COMPUTED_VALUE"""),39374.645833333336)</f>
        <v>39374.64583</v>
      </c>
      <c r="B1812" s="3">
        <f>IFERROR(__xludf.DUMMYFUNCTION("""COMPUTED_VALUE"""),5367.95)</f>
        <v>5367.95</v>
      </c>
      <c r="C1812" s="3">
        <f>IFERROR(__xludf.DUMMYFUNCTION("""COMPUTED_VALUE"""),5367.95)</f>
        <v>5367.95</v>
      </c>
      <c r="D1812" s="3">
        <f>IFERROR(__xludf.DUMMYFUNCTION("""COMPUTED_VALUE"""),5102.55)</f>
        <v>5102.55</v>
      </c>
      <c r="E1812" s="3">
        <f>IFERROR(__xludf.DUMMYFUNCTION("""COMPUTED_VALUE"""),5215.3)</f>
        <v>5215.3</v>
      </c>
      <c r="F1812" s="3">
        <f>IFERROR(__xludf.DUMMYFUNCTION("""COMPUTED_VALUE"""),0.0)</f>
        <v>0</v>
      </c>
    </row>
    <row r="1813">
      <c r="A1813" s="7">
        <f>IFERROR(__xludf.DUMMYFUNCTION("""COMPUTED_VALUE"""),39377.645833333336)</f>
        <v>39377.64583</v>
      </c>
      <c r="B1813" s="3">
        <f>IFERROR(__xludf.DUMMYFUNCTION("""COMPUTED_VALUE"""),5125.25)</f>
        <v>5125.25</v>
      </c>
      <c r="C1813" s="3">
        <f>IFERROR(__xludf.DUMMYFUNCTION("""COMPUTED_VALUE"""),5247.15)</f>
        <v>5247.15</v>
      </c>
      <c r="D1813" s="3">
        <f>IFERROR(__xludf.DUMMYFUNCTION("""COMPUTED_VALUE"""),5075.05)</f>
        <v>5075.05</v>
      </c>
      <c r="E1813" s="3">
        <f>IFERROR(__xludf.DUMMYFUNCTION("""COMPUTED_VALUE"""),5184.0)</f>
        <v>5184</v>
      </c>
      <c r="F1813" s="3">
        <f>IFERROR(__xludf.DUMMYFUNCTION("""COMPUTED_VALUE"""),0.0)</f>
        <v>0</v>
      </c>
    </row>
    <row r="1814">
      <c r="A1814" s="7">
        <f>IFERROR(__xludf.DUMMYFUNCTION("""COMPUTED_VALUE"""),39378.645833333336)</f>
        <v>39378.64583</v>
      </c>
      <c r="B1814" s="3">
        <f>IFERROR(__xludf.DUMMYFUNCTION("""COMPUTED_VALUE"""),5268.65)</f>
        <v>5268.65</v>
      </c>
      <c r="C1814" s="3">
        <f>IFERROR(__xludf.DUMMYFUNCTION("""COMPUTED_VALUE"""),5486.65)</f>
        <v>5486.65</v>
      </c>
      <c r="D1814" s="3">
        <f>IFERROR(__xludf.DUMMYFUNCTION("""COMPUTED_VALUE"""),5268.65)</f>
        <v>5268.65</v>
      </c>
      <c r="E1814" s="3">
        <f>IFERROR(__xludf.DUMMYFUNCTION("""COMPUTED_VALUE"""),5473.7)</f>
        <v>5473.7</v>
      </c>
      <c r="F1814" s="3">
        <f>IFERROR(__xludf.DUMMYFUNCTION("""COMPUTED_VALUE"""),0.0)</f>
        <v>0</v>
      </c>
    </row>
    <row r="1815">
      <c r="A1815" s="7">
        <f>IFERROR(__xludf.DUMMYFUNCTION("""COMPUTED_VALUE"""),39379.645833333336)</f>
        <v>39379.64583</v>
      </c>
      <c r="B1815" s="3">
        <f>IFERROR(__xludf.DUMMYFUNCTION("""COMPUTED_VALUE"""),5543.6)</f>
        <v>5543.6</v>
      </c>
      <c r="C1815" s="3">
        <f>IFERROR(__xludf.DUMMYFUNCTION("""COMPUTED_VALUE"""),5577.1)</f>
        <v>5577.1</v>
      </c>
      <c r="D1815" s="3">
        <f>IFERROR(__xludf.DUMMYFUNCTION("""COMPUTED_VALUE"""),5419.65)</f>
        <v>5419.65</v>
      </c>
      <c r="E1815" s="3">
        <f>IFERROR(__xludf.DUMMYFUNCTION("""COMPUTED_VALUE"""),5496.15)</f>
        <v>5496.15</v>
      </c>
      <c r="F1815" s="3">
        <f>IFERROR(__xludf.DUMMYFUNCTION("""COMPUTED_VALUE"""),0.0)</f>
        <v>0</v>
      </c>
    </row>
    <row r="1816">
      <c r="A1816" s="7">
        <f>IFERROR(__xludf.DUMMYFUNCTION("""COMPUTED_VALUE"""),39380.645833333336)</f>
        <v>39380.64583</v>
      </c>
      <c r="B1816" s="3">
        <f>IFERROR(__xludf.DUMMYFUNCTION("""COMPUTED_VALUE"""),5495.75)</f>
        <v>5495.75</v>
      </c>
      <c r="C1816" s="3">
        <f>IFERROR(__xludf.DUMMYFUNCTION("""COMPUTED_VALUE"""),5602.5)</f>
        <v>5602.5</v>
      </c>
      <c r="D1816" s="3">
        <f>IFERROR(__xludf.DUMMYFUNCTION("""COMPUTED_VALUE"""),5470.6)</f>
        <v>5470.6</v>
      </c>
      <c r="E1816" s="3">
        <f>IFERROR(__xludf.DUMMYFUNCTION("""COMPUTED_VALUE"""),5568.95)</f>
        <v>5568.95</v>
      </c>
      <c r="F1816" s="3">
        <f>IFERROR(__xludf.DUMMYFUNCTION("""COMPUTED_VALUE"""),0.0)</f>
        <v>0</v>
      </c>
    </row>
    <row r="1817">
      <c r="A1817" s="7">
        <f>IFERROR(__xludf.DUMMYFUNCTION("""COMPUTED_VALUE"""),39381.645833333336)</f>
        <v>39381.64583</v>
      </c>
      <c r="B1817" s="3">
        <f>IFERROR(__xludf.DUMMYFUNCTION("""COMPUTED_VALUE"""),5587.95)</f>
        <v>5587.95</v>
      </c>
      <c r="C1817" s="3">
        <f>IFERROR(__xludf.DUMMYFUNCTION("""COMPUTED_VALUE"""),5715.9)</f>
        <v>5715.9</v>
      </c>
      <c r="D1817" s="3">
        <f>IFERROR(__xludf.DUMMYFUNCTION("""COMPUTED_VALUE"""),5515.35)</f>
        <v>5515.35</v>
      </c>
      <c r="E1817" s="3">
        <f>IFERROR(__xludf.DUMMYFUNCTION("""COMPUTED_VALUE"""),5702.3)</f>
        <v>5702.3</v>
      </c>
      <c r="F1817" s="3">
        <f>IFERROR(__xludf.DUMMYFUNCTION("""COMPUTED_VALUE"""),0.0)</f>
        <v>0</v>
      </c>
    </row>
    <row r="1818">
      <c r="A1818" s="7">
        <f>IFERROR(__xludf.DUMMYFUNCTION("""COMPUTED_VALUE"""),39384.645833333336)</f>
        <v>39384.64583</v>
      </c>
      <c r="B1818" s="3">
        <f>IFERROR(__xludf.DUMMYFUNCTION("""COMPUTED_VALUE"""),5767.4)</f>
        <v>5767.4</v>
      </c>
      <c r="C1818" s="3">
        <f>IFERROR(__xludf.DUMMYFUNCTION("""COMPUTED_VALUE"""),5922.05)</f>
        <v>5922.05</v>
      </c>
      <c r="D1818" s="3">
        <f>IFERROR(__xludf.DUMMYFUNCTION("""COMPUTED_VALUE"""),5767.4)</f>
        <v>5767.4</v>
      </c>
      <c r="E1818" s="3">
        <f>IFERROR(__xludf.DUMMYFUNCTION("""COMPUTED_VALUE"""),5905.9)</f>
        <v>5905.9</v>
      </c>
      <c r="F1818" s="3">
        <f>IFERROR(__xludf.DUMMYFUNCTION("""COMPUTED_VALUE"""),0.0)</f>
        <v>0</v>
      </c>
    </row>
    <row r="1819">
      <c r="A1819" s="7">
        <f>IFERROR(__xludf.DUMMYFUNCTION("""COMPUTED_VALUE"""),39385.645833333336)</f>
        <v>39385.64583</v>
      </c>
      <c r="B1819" s="3">
        <f>IFERROR(__xludf.DUMMYFUNCTION("""COMPUTED_VALUE"""),5937.8)</f>
        <v>5937.8</v>
      </c>
      <c r="C1819" s="3">
        <f>IFERROR(__xludf.DUMMYFUNCTION("""COMPUTED_VALUE"""),5975.55)</f>
        <v>5975.55</v>
      </c>
      <c r="D1819" s="3">
        <f>IFERROR(__xludf.DUMMYFUNCTION("""COMPUTED_VALUE"""),5836.4)</f>
        <v>5836.4</v>
      </c>
      <c r="E1819" s="3">
        <f>IFERROR(__xludf.DUMMYFUNCTION("""COMPUTED_VALUE"""),5868.75)</f>
        <v>5868.75</v>
      </c>
      <c r="F1819" s="3">
        <f>IFERROR(__xludf.DUMMYFUNCTION("""COMPUTED_VALUE"""),0.0)</f>
        <v>0</v>
      </c>
    </row>
    <row r="1820">
      <c r="A1820" s="7">
        <f>IFERROR(__xludf.DUMMYFUNCTION("""COMPUTED_VALUE"""),39386.645833333336)</f>
        <v>39386.64583</v>
      </c>
      <c r="B1820" s="3">
        <f>IFERROR(__xludf.DUMMYFUNCTION("""COMPUTED_VALUE"""),5888.2)</f>
        <v>5888.2</v>
      </c>
      <c r="C1820" s="3">
        <f>IFERROR(__xludf.DUMMYFUNCTION("""COMPUTED_VALUE"""),5951.95)</f>
        <v>5951.95</v>
      </c>
      <c r="D1820" s="3">
        <f>IFERROR(__xludf.DUMMYFUNCTION("""COMPUTED_VALUE"""),5861.65)</f>
        <v>5861.65</v>
      </c>
      <c r="E1820" s="3">
        <f>IFERROR(__xludf.DUMMYFUNCTION("""COMPUTED_VALUE"""),5900.65)</f>
        <v>5900.65</v>
      </c>
      <c r="F1820" s="3">
        <f>IFERROR(__xludf.DUMMYFUNCTION("""COMPUTED_VALUE"""),0.0)</f>
        <v>0</v>
      </c>
    </row>
    <row r="1821">
      <c r="A1821" s="7">
        <f>IFERROR(__xludf.DUMMYFUNCTION("""COMPUTED_VALUE"""),39387.645833333336)</f>
        <v>39387.64583</v>
      </c>
      <c r="B1821" s="3">
        <f>IFERROR(__xludf.DUMMYFUNCTION("""COMPUTED_VALUE"""),5983.15)</f>
        <v>5983.15</v>
      </c>
      <c r="C1821" s="3">
        <f>IFERROR(__xludf.DUMMYFUNCTION("""COMPUTED_VALUE"""),6011.05)</f>
        <v>6011.05</v>
      </c>
      <c r="D1821" s="3">
        <f>IFERROR(__xludf.DUMMYFUNCTION("""COMPUTED_VALUE"""),5838.45)</f>
        <v>5838.45</v>
      </c>
      <c r="E1821" s="3">
        <f>IFERROR(__xludf.DUMMYFUNCTION("""COMPUTED_VALUE"""),5866.45)</f>
        <v>5866.45</v>
      </c>
      <c r="F1821" s="3">
        <f>IFERROR(__xludf.DUMMYFUNCTION("""COMPUTED_VALUE"""),0.0)</f>
        <v>0</v>
      </c>
    </row>
    <row r="1822">
      <c r="A1822" s="7">
        <f>IFERROR(__xludf.DUMMYFUNCTION("""COMPUTED_VALUE"""),39388.645833333336)</f>
        <v>39388.64583</v>
      </c>
      <c r="B1822" s="3">
        <f>IFERROR(__xludf.DUMMYFUNCTION("""COMPUTED_VALUE"""),5758.3)</f>
        <v>5758.3</v>
      </c>
      <c r="C1822" s="3">
        <f>IFERROR(__xludf.DUMMYFUNCTION("""COMPUTED_VALUE"""),5943.65)</f>
        <v>5943.65</v>
      </c>
      <c r="D1822" s="3">
        <f>IFERROR(__xludf.DUMMYFUNCTION("""COMPUTED_VALUE"""),5720.05)</f>
        <v>5720.05</v>
      </c>
      <c r="E1822" s="3">
        <f>IFERROR(__xludf.DUMMYFUNCTION("""COMPUTED_VALUE"""),5932.4)</f>
        <v>5932.4</v>
      </c>
      <c r="F1822" s="3">
        <f>IFERROR(__xludf.DUMMYFUNCTION("""COMPUTED_VALUE"""),0.0)</f>
        <v>0</v>
      </c>
    </row>
    <row r="1823">
      <c r="A1823" s="7">
        <f>IFERROR(__xludf.DUMMYFUNCTION("""COMPUTED_VALUE"""),39391.645833333336)</f>
        <v>39391.64583</v>
      </c>
      <c r="B1823" s="3">
        <f>IFERROR(__xludf.DUMMYFUNCTION("""COMPUTED_VALUE"""),5924.15)</f>
        <v>5924.15</v>
      </c>
      <c r="C1823" s="3">
        <f>IFERROR(__xludf.DUMMYFUNCTION("""COMPUTED_VALUE"""),5947.9)</f>
        <v>5947.9</v>
      </c>
      <c r="D1823" s="3">
        <f>IFERROR(__xludf.DUMMYFUNCTION("""COMPUTED_VALUE"""),5821.0)</f>
        <v>5821</v>
      </c>
      <c r="E1823" s="3">
        <f>IFERROR(__xludf.DUMMYFUNCTION("""COMPUTED_VALUE"""),5847.3)</f>
        <v>5847.3</v>
      </c>
      <c r="F1823" s="3">
        <f>IFERROR(__xludf.DUMMYFUNCTION("""COMPUTED_VALUE"""),0.0)</f>
        <v>0</v>
      </c>
    </row>
    <row r="1824">
      <c r="A1824" s="7">
        <f>IFERROR(__xludf.DUMMYFUNCTION("""COMPUTED_VALUE"""),39392.645833333336)</f>
        <v>39392.64583</v>
      </c>
      <c r="B1824" s="3">
        <f>IFERROR(__xludf.DUMMYFUNCTION("""COMPUTED_VALUE"""),5861.6)</f>
        <v>5861.6</v>
      </c>
      <c r="C1824" s="3">
        <f>IFERROR(__xludf.DUMMYFUNCTION("""COMPUTED_VALUE"""),5956.7)</f>
        <v>5956.7</v>
      </c>
      <c r="D1824" s="3">
        <f>IFERROR(__xludf.DUMMYFUNCTION("""COMPUTED_VALUE"""),5761.1)</f>
        <v>5761.1</v>
      </c>
      <c r="E1824" s="3">
        <f>IFERROR(__xludf.DUMMYFUNCTION("""COMPUTED_VALUE"""),5786.5)</f>
        <v>5786.5</v>
      </c>
      <c r="F1824" s="3">
        <f>IFERROR(__xludf.DUMMYFUNCTION("""COMPUTED_VALUE"""),0.0)</f>
        <v>0</v>
      </c>
    </row>
    <row r="1825">
      <c r="A1825" s="7">
        <f>IFERROR(__xludf.DUMMYFUNCTION("""COMPUTED_VALUE"""),39393.645833333336)</f>
        <v>39393.64583</v>
      </c>
      <c r="B1825" s="3">
        <f>IFERROR(__xludf.DUMMYFUNCTION("""COMPUTED_VALUE"""),5823.5)</f>
        <v>5823.5</v>
      </c>
      <c r="C1825" s="3">
        <f>IFERROR(__xludf.DUMMYFUNCTION("""COMPUTED_VALUE"""),5860.05)</f>
        <v>5860.05</v>
      </c>
      <c r="D1825" s="3">
        <f>IFERROR(__xludf.DUMMYFUNCTION("""COMPUTED_VALUE"""),5745.7)</f>
        <v>5745.7</v>
      </c>
      <c r="E1825" s="3">
        <f>IFERROR(__xludf.DUMMYFUNCTION("""COMPUTED_VALUE"""),5782.35)</f>
        <v>5782.35</v>
      </c>
      <c r="F1825" s="3">
        <f>IFERROR(__xludf.DUMMYFUNCTION("""COMPUTED_VALUE"""),0.0)</f>
        <v>0</v>
      </c>
    </row>
    <row r="1826">
      <c r="A1826" s="7">
        <f>IFERROR(__xludf.DUMMYFUNCTION("""COMPUTED_VALUE"""),39394.645833333336)</f>
        <v>39394.64583</v>
      </c>
      <c r="B1826" s="3">
        <f>IFERROR(__xludf.DUMMYFUNCTION("""COMPUTED_VALUE"""),5697.4)</f>
        <v>5697.4</v>
      </c>
      <c r="C1826" s="3">
        <f>IFERROR(__xludf.DUMMYFUNCTION("""COMPUTED_VALUE"""),5740.6)</f>
        <v>5740.6</v>
      </c>
      <c r="D1826" s="3">
        <f>IFERROR(__xludf.DUMMYFUNCTION("""COMPUTED_VALUE"""),5650.35)</f>
        <v>5650.35</v>
      </c>
      <c r="E1826" s="3">
        <f>IFERROR(__xludf.DUMMYFUNCTION("""COMPUTED_VALUE"""),5698.75)</f>
        <v>5698.75</v>
      </c>
      <c r="F1826" s="3">
        <f>IFERROR(__xludf.DUMMYFUNCTION("""COMPUTED_VALUE"""),0.0)</f>
        <v>0</v>
      </c>
    </row>
    <row r="1827">
      <c r="A1827" s="7">
        <f>IFERROR(__xludf.DUMMYFUNCTION("""COMPUTED_VALUE"""),39395.645833333336)</f>
        <v>39395.64583</v>
      </c>
      <c r="B1827" s="3">
        <f>IFERROR(__xludf.DUMMYFUNCTION("""COMPUTED_VALUE"""),5739.35)</f>
        <v>5739.35</v>
      </c>
      <c r="C1827" s="3">
        <f>IFERROR(__xludf.DUMMYFUNCTION("""COMPUTED_VALUE"""),5779.25)</f>
        <v>5779.25</v>
      </c>
      <c r="D1827" s="3">
        <f>IFERROR(__xludf.DUMMYFUNCTION("""COMPUTED_VALUE"""),5614.9)</f>
        <v>5614.9</v>
      </c>
      <c r="E1827" s="3">
        <f>IFERROR(__xludf.DUMMYFUNCTION("""COMPUTED_VALUE"""),5663.25)</f>
        <v>5663.25</v>
      </c>
      <c r="F1827" s="3">
        <f>IFERROR(__xludf.DUMMYFUNCTION("""COMPUTED_VALUE"""),0.0)</f>
        <v>0</v>
      </c>
    </row>
    <row r="1828">
      <c r="A1828" s="7">
        <f>IFERROR(__xludf.DUMMYFUNCTION("""COMPUTED_VALUE"""),39398.645833333336)</f>
        <v>39398.64583</v>
      </c>
      <c r="B1828" s="3">
        <f>IFERROR(__xludf.DUMMYFUNCTION("""COMPUTED_VALUE"""),5574.2)</f>
        <v>5574.2</v>
      </c>
      <c r="C1828" s="3">
        <f>IFERROR(__xludf.DUMMYFUNCTION("""COMPUTED_VALUE"""),5633.55)</f>
        <v>5633.55</v>
      </c>
      <c r="D1828" s="3">
        <f>IFERROR(__xludf.DUMMYFUNCTION("""COMPUTED_VALUE"""),5478.75)</f>
        <v>5478.75</v>
      </c>
      <c r="E1828" s="3">
        <f>IFERROR(__xludf.DUMMYFUNCTION("""COMPUTED_VALUE"""),5617.1)</f>
        <v>5617.1</v>
      </c>
      <c r="F1828" s="3">
        <f>IFERROR(__xludf.DUMMYFUNCTION("""COMPUTED_VALUE"""),0.0)</f>
        <v>0</v>
      </c>
    </row>
    <row r="1829">
      <c r="A1829" s="7">
        <f>IFERROR(__xludf.DUMMYFUNCTION("""COMPUTED_VALUE"""),39399.645833333336)</f>
        <v>39399.64583</v>
      </c>
      <c r="B1829" s="3">
        <f>IFERROR(__xludf.DUMMYFUNCTION("""COMPUTED_VALUE"""),5624.8)</f>
        <v>5624.8</v>
      </c>
      <c r="C1829" s="3">
        <f>IFERROR(__xludf.DUMMYFUNCTION("""COMPUTED_VALUE"""),5757.65)</f>
        <v>5757.65</v>
      </c>
      <c r="D1829" s="3">
        <f>IFERROR(__xludf.DUMMYFUNCTION("""COMPUTED_VALUE"""),5592.2)</f>
        <v>5592.2</v>
      </c>
      <c r="E1829" s="3">
        <f>IFERROR(__xludf.DUMMYFUNCTION("""COMPUTED_VALUE"""),5695.4)</f>
        <v>5695.4</v>
      </c>
      <c r="F1829" s="3">
        <f>IFERROR(__xludf.DUMMYFUNCTION("""COMPUTED_VALUE"""),0.0)</f>
        <v>0</v>
      </c>
    </row>
    <row r="1830">
      <c r="A1830" s="7">
        <f>IFERROR(__xludf.DUMMYFUNCTION("""COMPUTED_VALUE"""),39400.645833333336)</f>
        <v>39400.64583</v>
      </c>
      <c r="B1830" s="3">
        <f>IFERROR(__xludf.DUMMYFUNCTION("""COMPUTED_VALUE"""),5789.0)</f>
        <v>5789</v>
      </c>
      <c r="C1830" s="3">
        <f>IFERROR(__xludf.DUMMYFUNCTION("""COMPUTED_VALUE"""),5949.3)</f>
        <v>5949.3</v>
      </c>
      <c r="D1830" s="3">
        <f>IFERROR(__xludf.DUMMYFUNCTION("""COMPUTED_VALUE"""),5789.0)</f>
        <v>5789</v>
      </c>
      <c r="E1830" s="3">
        <f>IFERROR(__xludf.DUMMYFUNCTION("""COMPUTED_VALUE"""),5937.9)</f>
        <v>5937.9</v>
      </c>
      <c r="F1830" s="3">
        <f>IFERROR(__xludf.DUMMYFUNCTION("""COMPUTED_VALUE"""),0.0)</f>
        <v>0</v>
      </c>
    </row>
    <row r="1831">
      <c r="A1831" s="7">
        <f>IFERROR(__xludf.DUMMYFUNCTION("""COMPUTED_VALUE"""),39401.645833333336)</f>
        <v>39401.64583</v>
      </c>
      <c r="B1831" s="3">
        <f>IFERROR(__xludf.DUMMYFUNCTION("""COMPUTED_VALUE"""),5953.8)</f>
        <v>5953.8</v>
      </c>
      <c r="C1831" s="3">
        <f>IFERROR(__xludf.DUMMYFUNCTION("""COMPUTED_VALUE"""),5966.3)</f>
        <v>5966.3</v>
      </c>
      <c r="D1831" s="3">
        <f>IFERROR(__xludf.DUMMYFUNCTION("""COMPUTED_VALUE"""),5895.9)</f>
        <v>5895.9</v>
      </c>
      <c r="E1831" s="3">
        <f>IFERROR(__xludf.DUMMYFUNCTION("""COMPUTED_VALUE"""),5912.1)</f>
        <v>5912.1</v>
      </c>
      <c r="F1831" s="3">
        <f>IFERROR(__xludf.DUMMYFUNCTION("""COMPUTED_VALUE"""),0.0)</f>
        <v>0</v>
      </c>
    </row>
    <row r="1832">
      <c r="A1832" s="7">
        <f>IFERROR(__xludf.DUMMYFUNCTION("""COMPUTED_VALUE"""),39402.645833333336)</f>
        <v>39402.64583</v>
      </c>
      <c r="B1832" s="3">
        <f>IFERROR(__xludf.DUMMYFUNCTION("""COMPUTED_VALUE"""),5911.3)</f>
        <v>5911.3</v>
      </c>
      <c r="C1832" s="3">
        <f>IFERROR(__xludf.DUMMYFUNCTION("""COMPUTED_VALUE"""),5947.7)</f>
        <v>5947.7</v>
      </c>
      <c r="D1832" s="3">
        <f>IFERROR(__xludf.DUMMYFUNCTION("""COMPUTED_VALUE"""),5829.05)</f>
        <v>5829.05</v>
      </c>
      <c r="E1832" s="3">
        <f>IFERROR(__xludf.DUMMYFUNCTION("""COMPUTED_VALUE"""),5906.85)</f>
        <v>5906.85</v>
      </c>
      <c r="F1832" s="3">
        <f>IFERROR(__xludf.DUMMYFUNCTION("""COMPUTED_VALUE"""),0.0)</f>
        <v>0</v>
      </c>
    </row>
    <row r="1833">
      <c r="A1833" s="7">
        <f>IFERROR(__xludf.DUMMYFUNCTION("""COMPUTED_VALUE"""),39405.645833333336)</f>
        <v>39405.64583</v>
      </c>
      <c r="B1833" s="3">
        <f>IFERROR(__xludf.DUMMYFUNCTION("""COMPUTED_VALUE"""),5945.3)</f>
        <v>5945.3</v>
      </c>
      <c r="C1833" s="3">
        <f>IFERROR(__xludf.DUMMYFUNCTION("""COMPUTED_VALUE"""),5978.9)</f>
        <v>5978.9</v>
      </c>
      <c r="D1833" s="3">
        <f>IFERROR(__xludf.DUMMYFUNCTION("""COMPUTED_VALUE"""),5894.5)</f>
        <v>5894.5</v>
      </c>
      <c r="E1833" s="3">
        <f>IFERROR(__xludf.DUMMYFUNCTION("""COMPUTED_VALUE"""),5907.65)</f>
        <v>5907.65</v>
      </c>
      <c r="F1833" s="3">
        <f>IFERROR(__xludf.DUMMYFUNCTION("""COMPUTED_VALUE"""),0.0)</f>
        <v>0</v>
      </c>
    </row>
    <row r="1834">
      <c r="A1834" s="7">
        <f>IFERROR(__xludf.DUMMYFUNCTION("""COMPUTED_VALUE"""),39406.645833333336)</f>
        <v>39406.64583</v>
      </c>
      <c r="B1834" s="3">
        <f>IFERROR(__xludf.DUMMYFUNCTION("""COMPUTED_VALUE"""),5873.35)</f>
        <v>5873.35</v>
      </c>
      <c r="C1834" s="3">
        <f>IFERROR(__xludf.DUMMYFUNCTION("""COMPUTED_VALUE"""),5923.45)</f>
        <v>5923.45</v>
      </c>
      <c r="D1834" s="3">
        <f>IFERROR(__xludf.DUMMYFUNCTION("""COMPUTED_VALUE"""),5756.45)</f>
        <v>5756.45</v>
      </c>
      <c r="E1834" s="3">
        <f>IFERROR(__xludf.DUMMYFUNCTION("""COMPUTED_VALUE"""),5780.9)</f>
        <v>5780.9</v>
      </c>
      <c r="F1834" s="3">
        <f>IFERROR(__xludf.DUMMYFUNCTION("""COMPUTED_VALUE"""),0.0)</f>
        <v>0</v>
      </c>
    </row>
    <row r="1835">
      <c r="A1835" s="7">
        <f>IFERROR(__xludf.DUMMYFUNCTION("""COMPUTED_VALUE"""),39407.645833333336)</f>
        <v>39407.64583</v>
      </c>
      <c r="B1835" s="3">
        <f>IFERROR(__xludf.DUMMYFUNCTION("""COMPUTED_VALUE"""),5780.25)</f>
        <v>5780.25</v>
      </c>
      <c r="C1835" s="3">
        <f>IFERROR(__xludf.DUMMYFUNCTION("""COMPUTED_VALUE"""),5780.25)</f>
        <v>5780.25</v>
      </c>
      <c r="D1835" s="3">
        <f>IFERROR(__xludf.DUMMYFUNCTION("""COMPUTED_VALUE"""),5531.8)</f>
        <v>5531.8</v>
      </c>
      <c r="E1835" s="3">
        <f>IFERROR(__xludf.DUMMYFUNCTION("""COMPUTED_VALUE"""),5561.05)</f>
        <v>5561.05</v>
      </c>
      <c r="F1835" s="3">
        <f>IFERROR(__xludf.DUMMYFUNCTION("""COMPUTED_VALUE"""),0.0)</f>
        <v>0</v>
      </c>
    </row>
    <row r="1836">
      <c r="A1836" s="7">
        <f>IFERROR(__xludf.DUMMYFUNCTION("""COMPUTED_VALUE"""),39408.645833333336)</f>
        <v>39408.64583</v>
      </c>
      <c r="B1836" s="3">
        <f>IFERROR(__xludf.DUMMYFUNCTION("""COMPUTED_VALUE"""),5588.05)</f>
        <v>5588.05</v>
      </c>
      <c r="C1836" s="3">
        <f>IFERROR(__xludf.DUMMYFUNCTION("""COMPUTED_VALUE"""),5607.45)</f>
        <v>5607.45</v>
      </c>
      <c r="D1836" s="3">
        <f>IFERROR(__xludf.DUMMYFUNCTION("""COMPUTED_VALUE"""),5395.5)</f>
        <v>5395.5</v>
      </c>
      <c r="E1836" s="3">
        <f>IFERROR(__xludf.DUMMYFUNCTION("""COMPUTED_VALUE"""),5519.35)</f>
        <v>5519.35</v>
      </c>
      <c r="F1836" s="3">
        <f>IFERROR(__xludf.DUMMYFUNCTION("""COMPUTED_VALUE"""),0.0)</f>
        <v>0</v>
      </c>
    </row>
    <row r="1837">
      <c r="A1837" s="7">
        <f>IFERROR(__xludf.DUMMYFUNCTION("""COMPUTED_VALUE"""),39409.645833333336)</f>
        <v>39409.64583</v>
      </c>
      <c r="B1837" s="3">
        <f>IFERROR(__xludf.DUMMYFUNCTION("""COMPUTED_VALUE"""),5586.2)</f>
        <v>5586.2</v>
      </c>
      <c r="C1837" s="3">
        <f>IFERROR(__xludf.DUMMYFUNCTION("""COMPUTED_VALUE"""),5638.25)</f>
        <v>5638.25</v>
      </c>
      <c r="D1837" s="3">
        <f>IFERROR(__xludf.DUMMYFUNCTION("""COMPUTED_VALUE"""),5515.3)</f>
        <v>5515.3</v>
      </c>
      <c r="E1837" s="3">
        <f>IFERROR(__xludf.DUMMYFUNCTION("""COMPUTED_VALUE"""),5608.6)</f>
        <v>5608.6</v>
      </c>
      <c r="F1837" s="3">
        <f>IFERROR(__xludf.DUMMYFUNCTION("""COMPUTED_VALUE"""),0.0)</f>
        <v>0</v>
      </c>
    </row>
    <row r="1838">
      <c r="A1838" s="7">
        <f>IFERROR(__xludf.DUMMYFUNCTION("""COMPUTED_VALUE"""),39412.645833333336)</f>
        <v>39412.64583</v>
      </c>
      <c r="B1838" s="3">
        <f>IFERROR(__xludf.DUMMYFUNCTION("""COMPUTED_VALUE"""),5665.0)</f>
        <v>5665</v>
      </c>
      <c r="C1838" s="3">
        <f>IFERROR(__xludf.DUMMYFUNCTION("""COMPUTED_VALUE"""),5771.45)</f>
        <v>5771.45</v>
      </c>
      <c r="D1838" s="3">
        <f>IFERROR(__xludf.DUMMYFUNCTION("""COMPUTED_VALUE"""),5665.0)</f>
        <v>5665</v>
      </c>
      <c r="E1838" s="3">
        <f>IFERROR(__xludf.DUMMYFUNCTION("""COMPUTED_VALUE"""),5731.7)</f>
        <v>5731.7</v>
      </c>
      <c r="F1838" s="3">
        <f>IFERROR(__xludf.DUMMYFUNCTION("""COMPUTED_VALUE"""),0.0)</f>
        <v>0</v>
      </c>
    </row>
    <row r="1839">
      <c r="A1839" s="7">
        <f>IFERROR(__xludf.DUMMYFUNCTION("""COMPUTED_VALUE"""),39413.645833333336)</f>
        <v>39413.64583</v>
      </c>
      <c r="B1839" s="3">
        <f>IFERROR(__xludf.DUMMYFUNCTION("""COMPUTED_VALUE"""),5743.55)</f>
        <v>5743.55</v>
      </c>
      <c r="C1839" s="3">
        <f>IFERROR(__xludf.DUMMYFUNCTION("""COMPUTED_VALUE"""),5743.55)</f>
        <v>5743.55</v>
      </c>
      <c r="D1839" s="3">
        <f>IFERROR(__xludf.DUMMYFUNCTION("""COMPUTED_VALUE"""),5655.75)</f>
        <v>5655.75</v>
      </c>
      <c r="E1839" s="3">
        <f>IFERROR(__xludf.DUMMYFUNCTION("""COMPUTED_VALUE"""),5698.15)</f>
        <v>5698.15</v>
      </c>
      <c r="F1839" s="3">
        <f>IFERROR(__xludf.DUMMYFUNCTION("""COMPUTED_VALUE"""),0.0)</f>
        <v>0</v>
      </c>
    </row>
    <row r="1840">
      <c r="A1840" s="7">
        <f>IFERROR(__xludf.DUMMYFUNCTION("""COMPUTED_VALUE"""),39414.645833333336)</f>
        <v>39414.64583</v>
      </c>
      <c r="B1840" s="3">
        <f>IFERROR(__xludf.DUMMYFUNCTION("""COMPUTED_VALUE"""),5707.7)</f>
        <v>5707.7</v>
      </c>
      <c r="C1840" s="3">
        <f>IFERROR(__xludf.DUMMYFUNCTION("""COMPUTED_VALUE"""),5747.8)</f>
        <v>5747.8</v>
      </c>
      <c r="D1840" s="3">
        <f>IFERROR(__xludf.DUMMYFUNCTION("""COMPUTED_VALUE"""),5597.4)</f>
        <v>5597.4</v>
      </c>
      <c r="E1840" s="3">
        <f>IFERROR(__xludf.DUMMYFUNCTION("""COMPUTED_VALUE"""),5617.55)</f>
        <v>5617.55</v>
      </c>
      <c r="F1840" s="3">
        <f>IFERROR(__xludf.DUMMYFUNCTION("""COMPUTED_VALUE"""),0.0)</f>
        <v>0</v>
      </c>
    </row>
    <row r="1841">
      <c r="A1841" s="7">
        <f>IFERROR(__xludf.DUMMYFUNCTION("""COMPUTED_VALUE"""),39415.645833333336)</f>
        <v>39415.64583</v>
      </c>
      <c r="B1841" s="3">
        <f>IFERROR(__xludf.DUMMYFUNCTION("""COMPUTED_VALUE"""),5701.95)</f>
        <v>5701.95</v>
      </c>
      <c r="C1841" s="3">
        <f>IFERROR(__xludf.DUMMYFUNCTION("""COMPUTED_VALUE"""),5723.1)</f>
        <v>5723.1</v>
      </c>
      <c r="D1841" s="3">
        <f>IFERROR(__xludf.DUMMYFUNCTION("""COMPUTED_VALUE"""),5613.45)</f>
        <v>5613.45</v>
      </c>
      <c r="E1841" s="3">
        <f>IFERROR(__xludf.DUMMYFUNCTION("""COMPUTED_VALUE"""),5634.6)</f>
        <v>5634.6</v>
      </c>
      <c r="F1841" s="3">
        <f>IFERROR(__xludf.DUMMYFUNCTION("""COMPUTED_VALUE"""),0.0)</f>
        <v>0</v>
      </c>
    </row>
    <row r="1842">
      <c r="A1842" s="7">
        <f>IFERROR(__xludf.DUMMYFUNCTION("""COMPUTED_VALUE"""),39416.645833333336)</f>
        <v>39416.64583</v>
      </c>
      <c r="B1842" s="3">
        <f>IFERROR(__xludf.DUMMYFUNCTION("""COMPUTED_VALUE"""),5656.4)</f>
        <v>5656.4</v>
      </c>
      <c r="C1842" s="3">
        <f>IFERROR(__xludf.DUMMYFUNCTION("""COMPUTED_VALUE"""),5781.7)</f>
        <v>5781.7</v>
      </c>
      <c r="D1842" s="3">
        <f>IFERROR(__xludf.DUMMYFUNCTION("""COMPUTED_VALUE"""),5656.4)</f>
        <v>5656.4</v>
      </c>
      <c r="E1842" s="3">
        <f>IFERROR(__xludf.DUMMYFUNCTION("""COMPUTED_VALUE"""),5762.75)</f>
        <v>5762.75</v>
      </c>
      <c r="F1842" s="3">
        <f>IFERROR(__xludf.DUMMYFUNCTION("""COMPUTED_VALUE"""),0.0)</f>
        <v>0</v>
      </c>
    </row>
    <row r="1843">
      <c r="A1843" s="7">
        <f>IFERROR(__xludf.DUMMYFUNCTION("""COMPUTED_VALUE"""),39419.645833333336)</f>
        <v>39419.64583</v>
      </c>
      <c r="B1843" s="3">
        <f>IFERROR(__xludf.DUMMYFUNCTION("""COMPUTED_VALUE"""),5784.4)</f>
        <v>5784.4</v>
      </c>
      <c r="C1843" s="3">
        <f>IFERROR(__xludf.DUMMYFUNCTION("""COMPUTED_VALUE"""),5878.8)</f>
        <v>5878.8</v>
      </c>
      <c r="D1843" s="3">
        <f>IFERROR(__xludf.DUMMYFUNCTION("""COMPUTED_VALUE"""),5784.4)</f>
        <v>5784.4</v>
      </c>
      <c r="E1843" s="3">
        <f>IFERROR(__xludf.DUMMYFUNCTION("""COMPUTED_VALUE"""),5865.0)</f>
        <v>5865</v>
      </c>
      <c r="F1843" s="3">
        <f>IFERROR(__xludf.DUMMYFUNCTION("""COMPUTED_VALUE"""),0.0)</f>
        <v>0</v>
      </c>
    </row>
    <row r="1844">
      <c r="A1844" s="7">
        <f>IFERROR(__xludf.DUMMYFUNCTION("""COMPUTED_VALUE"""),39420.645833333336)</f>
        <v>39420.64583</v>
      </c>
      <c r="B1844" s="3">
        <f>IFERROR(__xludf.DUMMYFUNCTION("""COMPUTED_VALUE"""),5870.2)</f>
        <v>5870.2</v>
      </c>
      <c r="C1844" s="3">
        <f>IFERROR(__xludf.DUMMYFUNCTION("""COMPUTED_VALUE"""),5896.85)</f>
        <v>5896.85</v>
      </c>
      <c r="D1844" s="3">
        <f>IFERROR(__xludf.DUMMYFUNCTION("""COMPUTED_VALUE"""),5840.8)</f>
        <v>5840.8</v>
      </c>
      <c r="E1844" s="3">
        <f>IFERROR(__xludf.DUMMYFUNCTION("""COMPUTED_VALUE"""),5858.35)</f>
        <v>5858.35</v>
      </c>
      <c r="F1844" s="3">
        <f>IFERROR(__xludf.DUMMYFUNCTION("""COMPUTED_VALUE"""),0.0)</f>
        <v>0</v>
      </c>
    </row>
    <row r="1845">
      <c r="A1845" s="7">
        <f>IFERROR(__xludf.DUMMYFUNCTION("""COMPUTED_VALUE"""),39421.645833333336)</f>
        <v>39421.64583</v>
      </c>
      <c r="B1845" s="3">
        <f>IFERROR(__xludf.DUMMYFUNCTION("""COMPUTED_VALUE"""),5874.2)</f>
        <v>5874.2</v>
      </c>
      <c r="C1845" s="3">
        <f>IFERROR(__xludf.DUMMYFUNCTION("""COMPUTED_VALUE"""),5947.4)</f>
        <v>5947.4</v>
      </c>
      <c r="D1845" s="3">
        <f>IFERROR(__xludf.DUMMYFUNCTION("""COMPUTED_VALUE"""),5869.9)</f>
        <v>5869.9</v>
      </c>
      <c r="E1845" s="3">
        <f>IFERROR(__xludf.DUMMYFUNCTION("""COMPUTED_VALUE"""),5940.0)</f>
        <v>5940</v>
      </c>
      <c r="F1845" s="3">
        <f>IFERROR(__xludf.DUMMYFUNCTION("""COMPUTED_VALUE"""),0.0)</f>
        <v>0</v>
      </c>
    </row>
    <row r="1846">
      <c r="A1846" s="7">
        <f>IFERROR(__xludf.DUMMYFUNCTION("""COMPUTED_VALUE"""),39422.645833333336)</f>
        <v>39422.64583</v>
      </c>
      <c r="B1846" s="3">
        <f>IFERROR(__xludf.DUMMYFUNCTION("""COMPUTED_VALUE"""),5987.7)</f>
        <v>5987.7</v>
      </c>
      <c r="C1846" s="3">
        <f>IFERROR(__xludf.DUMMYFUNCTION("""COMPUTED_VALUE"""),6025.8)</f>
        <v>6025.8</v>
      </c>
      <c r="D1846" s="3">
        <f>IFERROR(__xludf.DUMMYFUNCTION("""COMPUTED_VALUE"""),5920.9)</f>
        <v>5920.9</v>
      </c>
      <c r="E1846" s="3">
        <f>IFERROR(__xludf.DUMMYFUNCTION("""COMPUTED_VALUE"""),5954.7)</f>
        <v>5954.7</v>
      </c>
      <c r="F1846" s="3">
        <f>IFERROR(__xludf.DUMMYFUNCTION("""COMPUTED_VALUE"""),0.0)</f>
        <v>0</v>
      </c>
    </row>
    <row r="1847">
      <c r="A1847" s="7">
        <f>IFERROR(__xludf.DUMMYFUNCTION("""COMPUTED_VALUE"""),39423.645833333336)</f>
        <v>39423.64583</v>
      </c>
      <c r="B1847" s="3">
        <f>IFERROR(__xludf.DUMMYFUNCTION("""COMPUTED_VALUE"""),5990.3)</f>
        <v>5990.3</v>
      </c>
      <c r="C1847" s="3">
        <f>IFERROR(__xludf.DUMMYFUNCTION("""COMPUTED_VALUE"""),6039.8)</f>
        <v>6039.8</v>
      </c>
      <c r="D1847" s="3">
        <f>IFERROR(__xludf.DUMMYFUNCTION("""COMPUTED_VALUE"""),5895.0)</f>
        <v>5895</v>
      </c>
      <c r="E1847" s="3">
        <f>IFERROR(__xludf.DUMMYFUNCTION("""COMPUTED_VALUE"""),5974.3)</f>
        <v>5974.3</v>
      </c>
      <c r="F1847" s="3">
        <f>IFERROR(__xludf.DUMMYFUNCTION("""COMPUTED_VALUE"""),0.0)</f>
        <v>0</v>
      </c>
    </row>
    <row r="1848">
      <c r="A1848" s="7">
        <f>IFERROR(__xludf.DUMMYFUNCTION("""COMPUTED_VALUE"""),39426.645833333336)</f>
        <v>39426.64583</v>
      </c>
      <c r="B1848" s="3">
        <f>IFERROR(__xludf.DUMMYFUNCTION("""COMPUTED_VALUE"""),6007.8)</f>
        <v>6007.8</v>
      </c>
      <c r="C1848" s="3">
        <f>IFERROR(__xludf.DUMMYFUNCTION("""COMPUTED_VALUE"""),6009.25)</f>
        <v>6009.25</v>
      </c>
      <c r="D1848" s="3">
        <f>IFERROR(__xludf.DUMMYFUNCTION("""COMPUTED_VALUE"""),5924.05)</f>
        <v>5924.05</v>
      </c>
      <c r="E1848" s="3">
        <f>IFERROR(__xludf.DUMMYFUNCTION("""COMPUTED_VALUE"""),5960.6)</f>
        <v>5960.6</v>
      </c>
      <c r="F1848" s="3">
        <f>IFERROR(__xludf.DUMMYFUNCTION("""COMPUTED_VALUE"""),0.0)</f>
        <v>0</v>
      </c>
    </row>
    <row r="1849">
      <c r="A1849" s="7">
        <f>IFERROR(__xludf.DUMMYFUNCTION("""COMPUTED_VALUE"""),39427.645833333336)</f>
        <v>39427.64583</v>
      </c>
      <c r="B1849" s="3">
        <f>IFERROR(__xludf.DUMMYFUNCTION("""COMPUTED_VALUE"""),5973.3)</f>
        <v>5973.3</v>
      </c>
      <c r="C1849" s="3">
        <f>IFERROR(__xludf.DUMMYFUNCTION("""COMPUTED_VALUE"""),6110.3)</f>
        <v>6110.3</v>
      </c>
      <c r="D1849" s="3">
        <f>IFERROR(__xludf.DUMMYFUNCTION("""COMPUTED_VALUE"""),5973.3)</f>
        <v>5973.3</v>
      </c>
      <c r="E1849" s="3">
        <f>IFERROR(__xludf.DUMMYFUNCTION("""COMPUTED_VALUE"""),6097.25)</f>
        <v>6097.25</v>
      </c>
      <c r="F1849" s="3">
        <f>IFERROR(__xludf.DUMMYFUNCTION("""COMPUTED_VALUE"""),0.0)</f>
        <v>0</v>
      </c>
    </row>
    <row r="1850">
      <c r="A1850" s="7">
        <f>IFERROR(__xludf.DUMMYFUNCTION("""COMPUTED_VALUE"""),39428.645833333336)</f>
        <v>39428.64583</v>
      </c>
      <c r="B1850" s="3">
        <f>IFERROR(__xludf.DUMMYFUNCTION("""COMPUTED_VALUE"""),6063.05)</f>
        <v>6063.05</v>
      </c>
      <c r="C1850" s="3">
        <f>IFERROR(__xludf.DUMMYFUNCTION("""COMPUTED_VALUE"""),6173.75)</f>
        <v>6173.75</v>
      </c>
      <c r="D1850" s="3">
        <f>IFERROR(__xludf.DUMMYFUNCTION("""COMPUTED_VALUE"""),6009.05)</f>
        <v>6009.05</v>
      </c>
      <c r="E1850" s="3">
        <f>IFERROR(__xludf.DUMMYFUNCTION("""COMPUTED_VALUE"""),6159.3)</f>
        <v>6159.3</v>
      </c>
      <c r="F1850" s="3">
        <f>IFERROR(__xludf.DUMMYFUNCTION("""COMPUTED_VALUE"""),0.0)</f>
        <v>0</v>
      </c>
    </row>
    <row r="1851">
      <c r="A1851" s="7">
        <f>IFERROR(__xludf.DUMMYFUNCTION("""COMPUTED_VALUE"""),39429.645833333336)</f>
        <v>39429.64583</v>
      </c>
      <c r="B1851" s="3">
        <f>IFERROR(__xludf.DUMMYFUNCTION("""COMPUTED_VALUE"""),6168.8)</f>
        <v>6168.8</v>
      </c>
      <c r="C1851" s="3">
        <f>IFERROR(__xludf.DUMMYFUNCTION("""COMPUTED_VALUE"""),6180.2)</f>
        <v>6180.2</v>
      </c>
      <c r="D1851" s="3">
        <f>IFERROR(__xludf.DUMMYFUNCTION("""COMPUTED_VALUE"""),6041.3)</f>
        <v>6041.3</v>
      </c>
      <c r="E1851" s="3">
        <f>IFERROR(__xludf.DUMMYFUNCTION("""COMPUTED_VALUE"""),6058.1)</f>
        <v>6058.1</v>
      </c>
      <c r="F1851" s="3">
        <f>IFERROR(__xludf.DUMMYFUNCTION("""COMPUTED_VALUE"""),0.0)</f>
        <v>0</v>
      </c>
    </row>
    <row r="1852">
      <c r="A1852" s="7">
        <f>IFERROR(__xludf.DUMMYFUNCTION("""COMPUTED_VALUE"""),39430.645833333336)</f>
        <v>39430.64583</v>
      </c>
      <c r="B1852" s="3">
        <f>IFERROR(__xludf.DUMMYFUNCTION("""COMPUTED_VALUE"""),6041.0)</f>
        <v>6041</v>
      </c>
      <c r="C1852" s="3">
        <f>IFERROR(__xludf.DUMMYFUNCTION("""COMPUTED_VALUE"""),6077.95)</f>
        <v>6077.95</v>
      </c>
      <c r="D1852" s="3">
        <f>IFERROR(__xludf.DUMMYFUNCTION("""COMPUTED_VALUE"""),6016.0)</f>
        <v>6016</v>
      </c>
      <c r="E1852" s="3">
        <f>IFERROR(__xludf.DUMMYFUNCTION("""COMPUTED_VALUE"""),6047.7)</f>
        <v>6047.7</v>
      </c>
      <c r="F1852" s="3">
        <f>IFERROR(__xludf.DUMMYFUNCTION("""COMPUTED_VALUE"""),0.0)</f>
        <v>0</v>
      </c>
    </row>
    <row r="1853">
      <c r="A1853" s="7">
        <f>IFERROR(__xludf.DUMMYFUNCTION("""COMPUTED_VALUE"""),39433.645833333336)</f>
        <v>39433.64583</v>
      </c>
      <c r="B1853" s="3">
        <f>IFERROR(__xludf.DUMMYFUNCTION("""COMPUTED_VALUE"""),6037.95)</f>
        <v>6037.95</v>
      </c>
      <c r="C1853" s="3">
        <f>IFERROR(__xludf.DUMMYFUNCTION("""COMPUTED_VALUE"""),6039.95)</f>
        <v>6039.95</v>
      </c>
      <c r="D1853" s="3">
        <f>IFERROR(__xludf.DUMMYFUNCTION("""COMPUTED_VALUE"""),5740.6)</f>
        <v>5740.6</v>
      </c>
      <c r="E1853" s="3">
        <f>IFERROR(__xludf.DUMMYFUNCTION("""COMPUTED_VALUE"""),5777.0)</f>
        <v>5777</v>
      </c>
      <c r="F1853" s="3">
        <f>IFERROR(__xludf.DUMMYFUNCTION("""COMPUTED_VALUE"""),0.0)</f>
        <v>0</v>
      </c>
    </row>
    <row r="1854">
      <c r="A1854" s="7">
        <f>IFERROR(__xludf.DUMMYFUNCTION("""COMPUTED_VALUE"""),39435.645833333336)</f>
        <v>39435.64583</v>
      </c>
      <c r="B1854" s="3">
        <f>IFERROR(__xludf.DUMMYFUNCTION("""COMPUTED_VALUE"""),5730.25)</f>
        <v>5730.25</v>
      </c>
      <c r="C1854" s="3">
        <f>IFERROR(__xludf.DUMMYFUNCTION("""COMPUTED_VALUE"""),5840.8)</f>
        <v>5840.8</v>
      </c>
      <c r="D1854" s="3">
        <f>IFERROR(__xludf.DUMMYFUNCTION("""COMPUTED_VALUE"""),5676.7)</f>
        <v>5676.7</v>
      </c>
      <c r="E1854" s="3">
        <f>IFERROR(__xludf.DUMMYFUNCTION("""COMPUTED_VALUE"""),5751.15)</f>
        <v>5751.15</v>
      </c>
      <c r="F1854" s="3">
        <f>IFERROR(__xludf.DUMMYFUNCTION("""COMPUTED_VALUE"""),0.0)</f>
        <v>0</v>
      </c>
    </row>
    <row r="1855">
      <c r="A1855" s="7">
        <f>IFERROR(__xludf.DUMMYFUNCTION("""COMPUTED_VALUE"""),39436.645833333336)</f>
        <v>39436.64583</v>
      </c>
      <c r="B1855" s="3">
        <f>IFERROR(__xludf.DUMMYFUNCTION("""COMPUTED_VALUE"""),5751.75)</f>
        <v>5751.75</v>
      </c>
      <c r="C1855" s="3">
        <f>IFERROR(__xludf.DUMMYFUNCTION("""COMPUTED_VALUE"""),5799.5)</f>
        <v>5799.5</v>
      </c>
      <c r="D1855" s="3">
        <f>IFERROR(__xludf.DUMMYFUNCTION("""COMPUTED_VALUE"""),5742.75)</f>
        <v>5742.75</v>
      </c>
      <c r="E1855" s="3">
        <f>IFERROR(__xludf.DUMMYFUNCTION("""COMPUTED_VALUE"""),5766.5)</f>
        <v>5766.5</v>
      </c>
      <c r="F1855" s="3">
        <f>IFERROR(__xludf.DUMMYFUNCTION("""COMPUTED_VALUE"""),0.0)</f>
        <v>0</v>
      </c>
    </row>
    <row r="1856">
      <c r="A1856" s="7">
        <f>IFERROR(__xludf.DUMMYFUNCTION("""COMPUTED_VALUE"""),39440.645833333336)</f>
        <v>39440.64583</v>
      </c>
      <c r="B1856" s="3">
        <f>IFERROR(__xludf.DUMMYFUNCTION("""COMPUTED_VALUE"""),5771.3)</f>
        <v>5771.3</v>
      </c>
      <c r="C1856" s="3">
        <f>IFERROR(__xludf.DUMMYFUNCTION("""COMPUTED_VALUE"""),6001.05)</f>
        <v>6001.05</v>
      </c>
      <c r="D1856" s="3">
        <f>IFERROR(__xludf.DUMMYFUNCTION("""COMPUTED_VALUE"""),5771.3)</f>
        <v>5771.3</v>
      </c>
      <c r="E1856" s="3">
        <f>IFERROR(__xludf.DUMMYFUNCTION("""COMPUTED_VALUE"""),5985.1)</f>
        <v>5985.1</v>
      </c>
      <c r="F1856" s="3">
        <f>IFERROR(__xludf.DUMMYFUNCTION("""COMPUTED_VALUE"""),0.0)</f>
        <v>0</v>
      </c>
    </row>
    <row r="1857">
      <c r="A1857" s="7">
        <f>IFERROR(__xludf.DUMMYFUNCTION("""COMPUTED_VALUE"""),39442.645833333336)</f>
        <v>39442.64583</v>
      </c>
      <c r="B1857" s="3">
        <f>IFERROR(__xludf.DUMMYFUNCTION("""COMPUTED_VALUE"""),5988.45)</f>
        <v>5988.45</v>
      </c>
      <c r="C1857" s="3">
        <f>IFERROR(__xludf.DUMMYFUNCTION("""COMPUTED_VALUE"""),6085.25)</f>
        <v>6085.25</v>
      </c>
      <c r="D1857" s="3">
        <f>IFERROR(__xludf.DUMMYFUNCTION("""COMPUTED_VALUE"""),5988.45)</f>
        <v>5988.45</v>
      </c>
      <c r="E1857" s="3">
        <f>IFERROR(__xludf.DUMMYFUNCTION("""COMPUTED_VALUE"""),6070.75)</f>
        <v>6070.75</v>
      </c>
      <c r="F1857" s="3">
        <f>IFERROR(__xludf.DUMMYFUNCTION("""COMPUTED_VALUE"""),0.0)</f>
        <v>0</v>
      </c>
    </row>
    <row r="1858">
      <c r="A1858" s="7">
        <f>IFERROR(__xludf.DUMMYFUNCTION("""COMPUTED_VALUE"""),39443.645833333336)</f>
        <v>39443.64583</v>
      </c>
      <c r="B1858" s="3">
        <f>IFERROR(__xludf.DUMMYFUNCTION("""COMPUTED_VALUE"""),6069.0)</f>
        <v>6069</v>
      </c>
      <c r="C1858" s="3">
        <f>IFERROR(__xludf.DUMMYFUNCTION("""COMPUTED_VALUE"""),6110.85)</f>
        <v>6110.85</v>
      </c>
      <c r="D1858" s="3">
        <f>IFERROR(__xludf.DUMMYFUNCTION("""COMPUTED_VALUE"""),6060.2)</f>
        <v>6060.2</v>
      </c>
      <c r="E1858" s="3">
        <f>IFERROR(__xludf.DUMMYFUNCTION("""COMPUTED_VALUE"""),6081.5)</f>
        <v>6081.5</v>
      </c>
      <c r="F1858" s="3">
        <f>IFERROR(__xludf.DUMMYFUNCTION("""COMPUTED_VALUE"""),0.0)</f>
        <v>0</v>
      </c>
    </row>
    <row r="1859">
      <c r="A1859" s="7">
        <f>IFERROR(__xludf.DUMMYFUNCTION("""COMPUTED_VALUE"""),39444.645833333336)</f>
        <v>39444.64583</v>
      </c>
      <c r="B1859" s="3">
        <f>IFERROR(__xludf.DUMMYFUNCTION("""COMPUTED_VALUE"""),6079.55)</f>
        <v>6079.55</v>
      </c>
      <c r="C1859" s="3">
        <f>IFERROR(__xludf.DUMMYFUNCTION("""COMPUTED_VALUE"""),6098.6)</f>
        <v>6098.6</v>
      </c>
      <c r="D1859" s="3">
        <f>IFERROR(__xludf.DUMMYFUNCTION("""COMPUTED_VALUE"""),6021.9)</f>
        <v>6021.9</v>
      </c>
      <c r="E1859" s="3">
        <f>IFERROR(__xludf.DUMMYFUNCTION("""COMPUTED_VALUE"""),6079.7)</f>
        <v>6079.7</v>
      </c>
      <c r="F1859" s="3">
        <f>IFERROR(__xludf.DUMMYFUNCTION("""COMPUTED_VALUE"""),0.0)</f>
        <v>0</v>
      </c>
    </row>
    <row r="1860">
      <c r="A1860" s="7">
        <f>IFERROR(__xludf.DUMMYFUNCTION("""COMPUTED_VALUE"""),39447.645833333336)</f>
        <v>39447.64583</v>
      </c>
      <c r="B1860" s="3">
        <f>IFERROR(__xludf.DUMMYFUNCTION("""COMPUTED_VALUE"""),6095.0)</f>
        <v>6095</v>
      </c>
      <c r="C1860" s="3">
        <f>IFERROR(__xludf.DUMMYFUNCTION("""COMPUTED_VALUE"""),6167.75)</f>
        <v>6167.75</v>
      </c>
      <c r="D1860" s="3">
        <f>IFERROR(__xludf.DUMMYFUNCTION("""COMPUTED_VALUE"""),6095.0)</f>
        <v>6095</v>
      </c>
      <c r="E1860" s="3">
        <f>IFERROR(__xludf.DUMMYFUNCTION("""COMPUTED_VALUE"""),6138.6)</f>
        <v>6138.6</v>
      </c>
      <c r="F1860" s="3">
        <f>IFERROR(__xludf.DUMMYFUNCTION("""COMPUTED_VALUE"""),0.0)</f>
        <v>0</v>
      </c>
    </row>
    <row r="1861">
      <c r="A1861" s="7">
        <f>IFERROR(__xludf.DUMMYFUNCTION("""COMPUTED_VALUE"""),39448.645833333336)</f>
        <v>39448.64583</v>
      </c>
      <c r="B1861" s="3">
        <f>IFERROR(__xludf.DUMMYFUNCTION("""COMPUTED_VALUE"""),6136.75)</f>
        <v>6136.75</v>
      </c>
      <c r="C1861" s="3">
        <f>IFERROR(__xludf.DUMMYFUNCTION("""COMPUTED_VALUE"""),6165.35)</f>
        <v>6165.35</v>
      </c>
      <c r="D1861" s="3">
        <f>IFERROR(__xludf.DUMMYFUNCTION("""COMPUTED_VALUE"""),6109.85)</f>
        <v>6109.85</v>
      </c>
      <c r="E1861" s="3">
        <f>IFERROR(__xludf.DUMMYFUNCTION("""COMPUTED_VALUE"""),6144.35)</f>
        <v>6144.35</v>
      </c>
      <c r="F1861" s="3">
        <f>IFERROR(__xludf.DUMMYFUNCTION("""COMPUTED_VALUE"""),0.0)</f>
        <v>0</v>
      </c>
    </row>
    <row r="1862">
      <c r="A1862" s="7">
        <f>IFERROR(__xludf.DUMMYFUNCTION("""COMPUTED_VALUE"""),39449.645833333336)</f>
        <v>39449.64583</v>
      </c>
      <c r="B1862" s="3">
        <f>IFERROR(__xludf.DUMMYFUNCTION("""COMPUTED_VALUE"""),6144.7)</f>
        <v>6144.7</v>
      </c>
      <c r="C1862" s="3">
        <f>IFERROR(__xludf.DUMMYFUNCTION("""COMPUTED_VALUE"""),6197.0)</f>
        <v>6197</v>
      </c>
      <c r="D1862" s="3">
        <f>IFERROR(__xludf.DUMMYFUNCTION("""COMPUTED_VALUE"""),6060.85)</f>
        <v>6060.85</v>
      </c>
      <c r="E1862" s="3">
        <f>IFERROR(__xludf.DUMMYFUNCTION("""COMPUTED_VALUE"""),6179.4)</f>
        <v>6179.4</v>
      </c>
      <c r="F1862" s="3">
        <f>IFERROR(__xludf.DUMMYFUNCTION("""COMPUTED_VALUE"""),0.0)</f>
        <v>0</v>
      </c>
    </row>
    <row r="1863">
      <c r="A1863" s="7">
        <f>IFERROR(__xludf.DUMMYFUNCTION("""COMPUTED_VALUE"""),39450.645833333336)</f>
        <v>39450.64583</v>
      </c>
      <c r="B1863" s="3">
        <f>IFERROR(__xludf.DUMMYFUNCTION("""COMPUTED_VALUE"""),6184.25)</f>
        <v>6184.25</v>
      </c>
      <c r="C1863" s="3">
        <f>IFERROR(__xludf.DUMMYFUNCTION("""COMPUTED_VALUE"""),6230.15)</f>
        <v>6230.15</v>
      </c>
      <c r="D1863" s="3">
        <f>IFERROR(__xludf.DUMMYFUNCTION("""COMPUTED_VALUE"""),6126.4)</f>
        <v>6126.4</v>
      </c>
      <c r="E1863" s="3">
        <f>IFERROR(__xludf.DUMMYFUNCTION("""COMPUTED_VALUE"""),6178.55)</f>
        <v>6178.55</v>
      </c>
      <c r="F1863" s="3">
        <f>IFERROR(__xludf.DUMMYFUNCTION("""COMPUTED_VALUE"""),0.0)</f>
        <v>0</v>
      </c>
    </row>
    <row r="1864">
      <c r="A1864" s="7">
        <f>IFERROR(__xludf.DUMMYFUNCTION("""COMPUTED_VALUE"""),39451.645833333336)</f>
        <v>39451.64583</v>
      </c>
      <c r="B1864" s="3">
        <f>IFERROR(__xludf.DUMMYFUNCTION("""COMPUTED_VALUE"""),6179.1)</f>
        <v>6179.1</v>
      </c>
      <c r="C1864" s="3">
        <f>IFERROR(__xludf.DUMMYFUNCTION("""COMPUTED_VALUE"""),6300.05)</f>
        <v>6300.05</v>
      </c>
      <c r="D1864" s="3">
        <f>IFERROR(__xludf.DUMMYFUNCTION("""COMPUTED_VALUE"""),6179.1)</f>
        <v>6179.1</v>
      </c>
      <c r="E1864" s="3">
        <f>IFERROR(__xludf.DUMMYFUNCTION("""COMPUTED_VALUE"""),6274.3)</f>
        <v>6274.3</v>
      </c>
      <c r="F1864" s="3">
        <f>IFERROR(__xludf.DUMMYFUNCTION("""COMPUTED_VALUE"""),0.0)</f>
        <v>0</v>
      </c>
    </row>
    <row r="1865">
      <c r="A1865" s="7">
        <f>IFERROR(__xludf.DUMMYFUNCTION("""COMPUTED_VALUE"""),39454.645833333336)</f>
        <v>39454.64583</v>
      </c>
      <c r="B1865" s="3">
        <f>IFERROR(__xludf.DUMMYFUNCTION("""COMPUTED_VALUE"""),6271.0)</f>
        <v>6271</v>
      </c>
      <c r="C1865" s="3">
        <f>IFERROR(__xludf.DUMMYFUNCTION("""COMPUTED_VALUE"""),6289.8)</f>
        <v>6289.8</v>
      </c>
      <c r="D1865" s="3">
        <f>IFERROR(__xludf.DUMMYFUNCTION("""COMPUTED_VALUE"""),6193.35)</f>
        <v>6193.35</v>
      </c>
      <c r="E1865" s="3">
        <f>IFERROR(__xludf.DUMMYFUNCTION("""COMPUTED_VALUE"""),6279.1)</f>
        <v>6279.1</v>
      </c>
      <c r="F1865" s="3">
        <f>IFERROR(__xludf.DUMMYFUNCTION("""COMPUTED_VALUE"""),0.0)</f>
        <v>0</v>
      </c>
    </row>
    <row r="1866">
      <c r="A1866" s="7">
        <f>IFERROR(__xludf.DUMMYFUNCTION("""COMPUTED_VALUE"""),39455.645833333336)</f>
        <v>39455.64583</v>
      </c>
      <c r="B1866" s="3">
        <f>IFERROR(__xludf.DUMMYFUNCTION("""COMPUTED_VALUE"""),6282.45)</f>
        <v>6282.45</v>
      </c>
      <c r="C1866" s="3">
        <f>IFERROR(__xludf.DUMMYFUNCTION("""COMPUTED_VALUE"""),6357.1)</f>
        <v>6357.1</v>
      </c>
      <c r="D1866" s="3">
        <f>IFERROR(__xludf.DUMMYFUNCTION("""COMPUTED_VALUE"""),6221.6)</f>
        <v>6221.6</v>
      </c>
      <c r="E1866" s="3">
        <f>IFERROR(__xludf.DUMMYFUNCTION("""COMPUTED_VALUE"""),6287.85)</f>
        <v>6287.85</v>
      </c>
      <c r="F1866" s="3">
        <f>IFERROR(__xludf.DUMMYFUNCTION("""COMPUTED_VALUE"""),0.0)</f>
        <v>0</v>
      </c>
    </row>
    <row r="1867">
      <c r="A1867" s="7">
        <f>IFERROR(__xludf.DUMMYFUNCTION("""COMPUTED_VALUE"""),39456.645833333336)</f>
        <v>39456.64583</v>
      </c>
      <c r="B1867" s="3">
        <f>IFERROR(__xludf.DUMMYFUNCTION("""COMPUTED_VALUE"""),6287.55)</f>
        <v>6287.55</v>
      </c>
      <c r="C1867" s="3">
        <f>IFERROR(__xludf.DUMMYFUNCTION("""COMPUTED_VALUE"""),6338.3)</f>
        <v>6338.3</v>
      </c>
      <c r="D1867" s="3">
        <f>IFERROR(__xludf.DUMMYFUNCTION("""COMPUTED_VALUE"""),6231.25)</f>
        <v>6231.25</v>
      </c>
      <c r="E1867" s="3">
        <f>IFERROR(__xludf.DUMMYFUNCTION("""COMPUTED_VALUE"""),6272.0)</f>
        <v>6272</v>
      </c>
      <c r="F1867" s="3">
        <f>IFERROR(__xludf.DUMMYFUNCTION("""COMPUTED_VALUE"""),0.0)</f>
        <v>0</v>
      </c>
    </row>
    <row r="1868">
      <c r="A1868" s="7">
        <f>IFERROR(__xludf.DUMMYFUNCTION("""COMPUTED_VALUE"""),39457.645833333336)</f>
        <v>39457.64583</v>
      </c>
      <c r="B1868" s="3">
        <f>IFERROR(__xludf.DUMMYFUNCTION("""COMPUTED_VALUE"""),6278.1)</f>
        <v>6278.1</v>
      </c>
      <c r="C1868" s="3">
        <f>IFERROR(__xludf.DUMMYFUNCTION("""COMPUTED_VALUE"""),6347.0)</f>
        <v>6347</v>
      </c>
      <c r="D1868" s="3">
        <f>IFERROR(__xludf.DUMMYFUNCTION("""COMPUTED_VALUE"""),6142.9)</f>
        <v>6142.9</v>
      </c>
      <c r="E1868" s="3">
        <f>IFERROR(__xludf.DUMMYFUNCTION("""COMPUTED_VALUE"""),6156.95)</f>
        <v>6156.95</v>
      </c>
      <c r="F1868" s="3">
        <f>IFERROR(__xludf.DUMMYFUNCTION("""COMPUTED_VALUE"""),0.0)</f>
        <v>0</v>
      </c>
    </row>
    <row r="1869">
      <c r="A1869" s="7">
        <f>IFERROR(__xludf.DUMMYFUNCTION("""COMPUTED_VALUE"""),39458.645833333336)</f>
        <v>39458.64583</v>
      </c>
      <c r="B1869" s="3">
        <f>IFERROR(__xludf.DUMMYFUNCTION("""COMPUTED_VALUE"""),6166.65)</f>
        <v>6166.65</v>
      </c>
      <c r="C1869" s="3">
        <f>IFERROR(__xludf.DUMMYFUNCTION("""COMPUTED_VALUE"""),6224.2)</f>
        <v>6224.2</v>
      </c>
      <c r="D1869" s="3">
        <f>IFERROR(__xludf.DUMMYFUNCTION("""COMPUTED_VALUE"""),6112.55)</f>
        <v>6112.55</v>
      </c>
      <c r="E1869" s="3">
        <f>IFERROR(__xludf.DUMMYFUNCTION("""COMPUTED_VALUE"""),6200.1)</f>
        <v>6200.1</v>
      </c>
      <c r="F1869" s="3">
        <f>IFERROR(__xludf.DUMMYFUNCTION("""COMPUTED_VALUE"""),0.0)</f>
        <v>0</v>
      </c>
    </row>
    <row r="1870">
      <c r="A1870" s="7">
        <f>IFERROR(__xludf.DUMMYFUNCTION("""COMPUTED_VALUE"""),39461.645833333336)</f>
        <v>39461.64583</v>
      </c>
      <c r="B1870" s="3">
        <f>IFERROR(__xludf.DUMMYFUNCTION("""COMPUTED_VALUE"""),6208.8)</f>
        <v>6208.8</v>
      </c>
      <c r="C1870" s="3">
        <f>IFERROR(__xludf.DUMMYFUNCTION("""COMPUTED_VALUE"""),6244.15)</f>
        <v>6244.15</v>
      </c>
      <c r="D1870" s="3">
        <f>IFERROR(__xludf.DUMMYFUNCTION("""COMPUTED_VALUE"""),6172.0)</f>
        <v>6172</v>
      </c>
      <c r="E1870" s="3">
        <f>IFERROR(__xludf.DUMMYFUNCTION("""COMPUTED_VALUE"""),6206.8)</f>
        <v>6206.8</v>
      </c>
      <c r="F1870" s="3">
        <f>IFERROR(__xludf.DUMMYFUNCTION("""COMPUTED_VALUE"""),0.0)</f>
        <v>0</v>
      </c>
    </row>
    <row r="1871">
      <c r="A1871" s="7">
        <f>IFERROR(__xludf.DUMMYFUNCTION("""COMPUTED_VALUE"""),39462.645833333336)</f>
        <v>39462.64583</v>
      </c>
      <c r="B1871" s="3">
        <f>IFERROR(__xludf.DUMMYFUNCTION("""COMPUTED_VALUE"""),6226.35)</f>
        <v>6226.35</v>
      </c>
      <c r="C1871" s="3">
        <f>IFERROR(__xludf.DUMMYFUNCTION("""COMPUTED_VALUE"""),6260.45)</f>
        <v>6260.45</v>
      </c>
      <c r="D1871" s="3">
        <f>IFERROR(__xludf.DUMMYFUNCTION("""COMPUTED_VALUE"""),6053.3)</f>
        <v>6053.3</v>
      </c>
      <c r="E1871" s="3">
        <f>IFERROR(__xludf.DUMMYFUNCTION("""COMPUTED_VALUE"""),6074.25)</f>
        <v>6074.25</v>
      </c>
      <c r="F1871" s="3">
        <f>IFERROR(__xludf.DUMMYFUNCTION("""COMPUTED_VALUE"""),0.0)</f>
        <v>0</v>
      </c>
    </row>
    <row r="1872">
      <c r="A1872" s="7">
        <f>IFERROR(__xludf.DUMMYFUNCTION("""COMPUTED_VALUE"""),39463.645833333336)</f>
        <v>39463.64583</v>
      </c>
      <c r="B1872" s="3">
        <f>IFERROR(__xludf.DUMMYFUNCTION("""COMPUTED_VALUE"""),6065.0)</f>
        <v>6065</v>
      </c>
      <c r="C1872" s="3">
        <f>IFERROR(__xludf.DUMMYFUNCTION("""COMPUTED_VALUE"""),6065.0)</f>
        <v>6065</v>
      </c>
      <c r="D1872" s="3">
        <f>IFERROR(__xludf.DUMMYFUNCTION("""COMPUTED_VALUE"""),5825.75)</f>
        <v>5825.75</v>
      </c>
      <c r="E1872" s="3">
        <f>IFERROR(__xludf.DUMMYFUNCTION("""COMPUTED_VALUE"""),5935.75)</f>
        <v>5935.75</v>
      </c>
      <c r="F1872" s="3">
        <f>IFERROR(__xludf.DUMMYFUNCTION("""COMPUTED_VALUE"""),0.0)</f>
        <v>0</v>
      </c>
    </row>
    <row r="1873">
      <c r="A1873" s="7">
        <f>IFERROR(__xludf.DUMMYFUNCTION("""COMPUTED_VALUE"""),39464.645833333336)</f>
        <v>39464.64583</v>
      </c>
      <c r="B1873" s="3">
        <f>IFERROR(__xludf.DUMMYFUNCTION("""COMPUTED_VALUE"""),5937.95)</f>
        <v>5937.95</v>
      </c>
      <c r="C1873" s="3">
        <f>IFERROR(__xludf.DUMMYFUNCTION("""COMPUTED_VALUE"""),6013.15)</f>
        <v>6013.15</v>
      </c>
      <c r="D1873" s="3">
        <f>IFERROR(__xludf.DUMMYFUNCTION("""COMPUTED_VALUE"""),5880.3)</f>
        <v>5880.3</v>
      </c>
      <c r="E1873" s="3">
        <f>IFERROR(__xludf.DUMMYFUNCTION("""COMPUTED_VALUE"""),5913.2)</f>
        <v>5913.2</v>
      </c>
      <c r="F1873" s="3">
        <f>IFERROR(__xludf.DUMMYFUNCTION("""COMPUTED_VALUE"""),0.0)</f>
        <v>0</v>
      </c>
    </row>
    <row r="1874">
      <c r="A1874" s="7">
        <f>IFERROR(__xludf.DUMMYFUNCTION("""COMPUTED_VALUE"""),39465.645833333336)</f>
        <v>39465.64583</v>
      </c>
      <c r="B1874" s="3">
        <f>IFERROR(__xludf.DUMMYFUNCTION("""COMPUTED_VALUE"""),5907.75)</f>
        <v>5907.75</v>
      </c>
      <c r="C1874" s="3">
        <f>IFERROR(__xludf.DUMMYFUNCTION("""COMPUTED_VALUE"""),5908.75)</f>
        <v>5908.75</v>
      </c>
      <c r="D1874" s="3">
        <f>IFERROR(__xludf.DUMMYFUNCTION("""COMPUTED_VALUE"""),5677.0)</f>
        <v>5677</v>
      </c>
      <c r="E1874" s="3">
        <f>IFERROR(__xludf.DUMMYFUNCTION("""COMPUTED_VALUE"""),5705.3)</f>
        <v>5705.3</v>
      </c>
      <c r="F1874" s="3">
        <f>IFERROR(__xludf.DUMMYFUNCTION("""COMPUTED_VALUE"""),0.0)</f>
        <v>0</v>
      </c>
    </row>
    <row r="1875">
      <c r="A1875" s="7">
        <f>IFERROR(__xludf.DUMMYFUNCTION("""COMPUTED_VALUE"""),39468.645833333336)</f>
        <v>39468.64583</v>
      </c>
      <c r="B1875" s="3">
        <f>IFERROR(__xludf.DUMMYFUNCTION("""COMPUTED_VALUE"""),5705.0)</f>
        <v>5705</v>
      </c>
      <c r="C1875" s="3">
        <f>IFERROR(__xludf.DUMMYFUNCTION("""COMPUTED_VALUE"""),5705.0)</f>
        <v>5705</v>
      </c>
      <c r="D1875" s="3">
        <f>IFERROR(__xludf.DUMMYFUNCTION("""COMPUTED_VALUE"""),4977.1)</f>
        <v>4977.1</v>
      </c>
      <c r="E1875" s="3">
        <f>IFERROR(__xludf.DUMMYFUNCTION("""COMPUTED_VALUE"""),5208.8)</f>
        <v>5208.8</v>
      </c>
      <c r="F1875" s="3">
        <f>IFERROR(__xludf.DUMMYFUNCTION("""COMPUTED_VALUE"""),0.0)</f>
        <v>0</v>
      </c>
    </row>
    <row r="1876">
      <c r="A1876" s="7">
        <f>IFERROR(__xludf.DUMMYFUNCTION("""COMPUTED_VALUE"""),39469.645833333336)</f>
        <v>39469.64583</v>
      </c>
      <c r="B1876" s="3">
        <f>IFERROR(__xludf.DUMMYFUNCTION("""COMPUTED_VALUE"""),5203.35)</f>
        <v>5203.35</v>
      </c>
      <c r="C1876" s="3">
        <f>IFERROR(__xludf.DUMMYFUNCTION("""COMPUTED_VALUE"""),5203.35)</f>
        <v>5203.35</v>
      </c>
      <c r="D1876" s="3">
        <f>IFERROR(__xludf.DUMMYFUNCTION("""COMPUTED_VALUE"""),4448.5)</f>
        <v>4448.5</v>
      </c>
      <c r="E1876" s="3">
        <f>IFERROR(__xludf.DUMMYFUNCTION("""COMPUTED_VALUE"""),4899.3)</f>
        <v>4899.3</v>
      </c>
      <c r="F1876" s="3">
        <f>IFERROR(__xludf.DUMMYFUNCTION("""COMPUTED_VALUE"""),0.0)</f>
        <v>0</v>
      </c>
    </row>
    <row r="1877">
      <c r="A1877" s="7">
        <f>IFERROR(__xludf.DUMMYFUNCTION("""COMPUTED_VALUE"""),39470.645833333336)</f>
        <v>39470.64583</v>
      </c>
      <c r="B1877" s="3">
        <f>IFERROR(__xludf.DUMMYFUNCTION("""COMPUTED_VALUE"""),4903.05)</f>
        <v>4903.05</v>
      </c>
      <c r="C1877" s="3">
        <f>IFERROR(__xludf.DUMMYFUNCTION("""COMPUTED_VALUE"""),5328.05)</f>
        <v>5328.05</v>
      </c>
      <c r="D1877" s="3">
        <f>IFERROR(__xludf.DUMMYFUNCTION("""COMPUTED_VALUE"""),4891.6)</f>
        <v>4891.6</v>
      </c>
      <c r="E1877" s="3">
        <f>IFERROR(__xludf.DUMMYFUNCTION("""COMPUTED_VALUE"""),5203.4)</f>
        <v>5203.4</v>
      </c>
      <c r="F1877" s="3">
        <f>IFERROR(__xludf.DUMMYFUNCTION("""COMPUTED_VALUE"""),0.0)</f>
        <v>0</v>
      </c>
    </row>
    <row r="1878">
      <c r="A1878" s="7">
        <f>IFERROR(__xludf.DUMMYFUNCTION("""COMPUTED_VALUE"""),39471.645833333336)</f>
        <v>39471.64583</v>
      </c>
      <c r="B1878" s="3">
        <f>IFERROR(__xludf.DUMMYFUNCTION("""COMPUTED_VALUE"""),5208.0)</f>
        <v>5208</v>
      </c>
      <c r="C1878" s="3">
        <f>IFERROR(__xludf.DUMMYFUNCTION("""COMPUTED_VALUE"""),5357.2)</f>
        <v>5357.2</v>
      </c>
      <c r="D1878" s="3">
        <f>IFERROR(__xludf.DUMMYFUNCTION("""COMPUTED_VALUE"""),4995.8)</f>
        <v>4995.8</v>
      </c>
      <c r="E1878" s="3">
        <f>IFERROR(__xludf.DUMMYFUNCTION("""COMPUTED_VALUE"""),5033.45)</f>
        <v>5033.45</v>
      </c>
      <c r="F1878" s="3">
        <f>IFERROR(__xludf.DUMMYFUNCTION("""COMPUTED_VALUE"""),0.0)</f>
        <v>0</v>
      </c>
    </row>
    <row r="1879">
      <c r="A1879" s="7">
        <f>IFERROR(__xludf.DUMMYFUNCTION("""COMPUTED_VALUE"""),39472.645833333336)</f>
        <v>39472.64583</v>
      </c>
      <c r="B1879" s="3">
        <f>IFERROR(__xludf.DUMMYFUNCTION("""COMPUTED_VALUE"""),5035.05)</f>
        <v>5035.05</v>
      </c>
      <c r="C1879" s="3">
        <f>IFERROR(__xludf.DUMMYFUNCTION("""COMPUTED_VALUE"""),5399.25)</f>
        <v>5399.25</v>
      </c>
      <c r="D1879" s="3">
        <f>IFERROR(__xludf.DUMMYFUNCTION("""COMPUTED_VALUE"""),5035.05)</f>
        <v>5035.05</v>
      </c>
      <c r="E1879" s="3">
        <f>IFERROR(__xludf.DUMMYFUNCTION("""COMPUTED_VALUE"""),5383.35)</f>
        <v>5383.35</v>
      </c>
      <c r="F1879" s="3">
        <f>IFERROR(__xludf.DUMMYFUNCTION("""COMPUTED_VALUE"""),0.0)</f>
        <v>0</v>
      </c>
    </row>
    <row r="1880">
      <c r="A1880" s="7">
        <f>IFERROR(__xludf.DUMMYFUNCTION("""COMPUTED_VALUE"""),39475.645833333336)</f>
        <v>39475.64583</v>
      </c>
      <c r="B1880" s="3">
        <f>IFERROR(__xludf.DUMMYFUNCTION("""COMPUTED_VALUE"""),5380.95)</f>
        <v>5380.95</v>
      </c>
      <c r="C1880" s="3">
        <f>IFERROR(__xludf.DUMMYFUNCTION("""COMPUTED_VALUE"""),5380.95)</f>
        <v>5380.95</v>
      </c>
      <c r="D1880" s="3">
        <f>IFERROR(__xludf.DUMMYFUNCTION("""COMPUTED_VALUE"""),5071.0)</f>
        <v>5071</v>
      </c>
      <c r="E1880" s="3">
        <f>IFERROR(__xludf.DUMMYFUNCTION("""COMPUTED_VALUE"""),5274.1)</f>
        <v>5274.1</v>
      </c>
      <c r="F1880" s="3">
        <f>IFERROR(__xludf.DUMMYFUNCTION("""COMPUTED_VALUE"""),0.0)</f>
        <v>0</v>
      </c>
    </row>
    <row r="1881">
      <c r="A1881" s="7">
        <f>IFERROR(__xludf.DUMMYFUNCTION("""COMPUTED_VALUE"""),39476.645833333336)</f>
        <v>39476.64583</v>
      </c>
      <c r="B1881" s="3">
        <f>IFERROR(__xludf.DUMMYFUNCTION("""COMPUTED_VALUE"""),5279.55)</f>
        <v>5279.55</v>
      </c>
      <c r="C1881" s="3">
        <f>IFERROR(__xludf.DUMMYFUNCTION("""COMPUTED_VALUE"""),5391.6)</f>
        <v>5391.6</v>
      </c>
      <c r="D1881" s="3">
        <f>IFERROR(__xludf.DUMMYFUNCTION("""COMPUTED_VALUE"""),5225.25)</f>
        <v>5225.25</v>
      </c>
      <c r="E1881" s="3">
        <f>IFERROR(__xludf.DUMMYFUNCTION("""COMPUTED_VALUE"""),5280.8)</f>
        <v>5280.8</v>
      </c>
      <c r="F1881" s="3">
        <f>IFERROR(__xludf.DUMMYFUNCTION("""COMPUTED_VALUE"""),0.0)</f>
        <v>0</v>
      </c>
    </row>
    <row r="1882">
      <c r="A1882" s="7">
        <f>IFERROR(__xludf.DUMMYFUNCTION("""COMPUTED_VALUE"""),39477.645833333336)</f>
        <v>39477.64583</v>
      </c>
      <c r="B1882" s="3">
        <f>IFERROR(__xludf.DUMMYFUNCTION("""COMPUTED_VALUE"""),5283.75)</f>
        <v>5283.75</v>
      </c>
      <c r="C1882" s="3">
        <f>IFERROR(__xludf.DUMMYFUNCTION("""COMPUTED_VALUE"""),5314.3)</f>
        <v>5314.3</v>
      </c>
      <c r="D1882" s="3">
        <f>IFERROR(__xludf.DUMMYFUNCTION("""COMPUTED_VALUE"""),5142.25)</f>
        <v>5142.25</v>
      </c>
      <c r="E1882" s="3">
        <f>IFERROR(__xludf.DUMMYFUNCTION("""COMPUTED_VALUE"""),5167.6)</f>
        <v>5167.6</v>
      </c>
      <c r="F1882" s="3">
        <f>IFERROR(__xludf.DUMMYFUNCTION("""COMPUTED_VALUE"""),0.0)</f>
        <v>0</v>
      </c>
    </row>
    <row r="1883">
      <c r="A1883" s="7">
        <f>IFERROR(__xludf.DUMMYFUNCTION("""COMPUTED_VALUE"""),39478.645833333336)</f>
        <v>39478.64583</v>
      </c>
      <c r="B1883" s="3">
        <f>IFERROR(__xludf.DUMMYFUNCTION("""COMPUTED_VALUE"""),5172.25)</f>
        <v>5172.25</v>
      </c>
      <c r="C1883" s="3">
        <f>IFERROR(__xludf.DUMMYFUNCTION("""COMPUTED_VALUE"""),5251.65)</f>
        <v>5251.65</v>
      </c>
      <c r="D1883" s="3">
        <f>IFERROR(__xludf.DUMMYFUNCTION("""COMPUTED_VALUE"""),5071.15)</f>
        <v>5071.15</v>
      </c>
      <c r="E1883" s="3">
        <f>IFERROR(__xludf.DUMMYFUNCTION("""COMPUTED_VALUE"""),5137.45)</f>
        <v>5137.45</v>
      </c>
      <c r="F1883" s="3">
        <f>IFERROR(__xludf.DUMMYFUNCTION("""COMPUTED_VALUE"""),0.0)</f>
        <v>0</v>
      </c>
    </row>
    <row r="1884">
      <c r="A1884" s="7">
        <f>IFERROR(__xludf.DUMMYFUNCTION("""COMPUTED_VALUE"""),39479.645833333336)</f>
        <v>39479.64583</v>
      </c>
      <c r="B1884" s="3">
        <f>IFERROR(__xludf.DUMMYFUNCTION("""COMPUTED_VALUE"""),5140.6)</f>
        <v>5140.6</v>
      </c>
      <c r="C1884" s="3">
        <f>IFERROR(__xludf.DUMMYFUNCTION("""COMPUTED_VALUE"""),5339.95)</f>
        <v>5339.95</v>
      </c>
      <c r="D1884" s="3">
        <f>IFERROR(__xludf.DUMMYFUNCTION("""COMPUTED_VALUE"""),5090.75)</f>
        <v>5090.75</v>
      </c>
      <c r="E1884" s="3">
        <f>IFERROR(__xludf.DUMMYFUNCTION("""COMPUTED_VALUE"""),5317.25)</f>
        <v>5317.25</v>
      </c>
      <c r="F1884" s="3">
        <f>IFERROR(__xludf.DUMMYFUNCTION("""COMPUTED_VALUE"""),0.0)</f>
        <v>0</v>
      </c>
    </row>
    <row r="1885">
      <c r="A1885" s="7">
        <f>IFERROR(__xludf.DUMMYFUNCTION("""COMPUTED_VALUE"""),39482.645833333336)</f>
        <v>39482.64583</v>
      </c>
      <c r="B1885" s="3">
        <f>IFERROR(__xludf.DUMMYFUNCTION("""COMPUTED_VALUE"""),5315.55)</f>
        <v>5315.55</v>
      </c>
      <c r="C1885" s="3">
        <f>IFERROR(__xludf.DUMMYFUNCTION("""COMPUTED_VALUE"""),5545.2)</f>
        <v>5545.2</v>
      </c>
      <c r="D1885" s="3">
        <f>IFERROR(__xludf.DUMMYFUNCTION("""COMPUTED_VALUE"""),5315.55)</f>
        <v>5315.55</v>
      </c>
      <c r="E1885" s="3">
        <f>IFERROR(__xludf.DUMMYFUNCTION("""COMPUTED_VALUE"""),5463.5)</f>
        <v>5463.5</v>
      </c>
      <c r="F1885" s="3">
        <f>IFERROR(__xludf.DUMMYFUNCTION("""COMPUTED_VALUE"""),0.0)</f>
        <v>0</v>
      </c>
    </row>
    <row r="1886">
      <c r="A1886" s="7">
        <f>IFERROR(__xludf.DUMMYFUNCTION("""COMPUTED_VALUE"""),39483.645833333336)</f>
        <v>39483.64583</v>
      </c>
      <c r="B1886" s="3">
        <f>IFERROR(__xludf.DUMMYFUNCTION("""COMPUTED_VALUE"""),5463.75)</f>
        <v>5463.75</v>
      </c>
      <c r="C1886" s="3">
        <f>IFERROR(__xludf.DUMMYFUNCTION("""COMPUTED_VALUE"""),5500.6)</f>
        <v>5500.6</v>
      </c>
      <c r="D1886" s="3">
        <f>IFERROR(__xludf.DUMMYFUNCTION("""COMPUTED_VALUE"""),5412.95)</f>
        <v>5412.95</v>
      </c>
      <c r="E1886" s="3">
        <f>IFERROR(__xludf.DUMMYFUNCTION("""COMPUTED_VALUE"""),5483.9)</f>
        <v>5483.9</v>
      </c>
      <c r="F1886" s="3">
        <f>IFERROR(__xludf.DUMMYFUNCTION("""COMPUTED_VALUE"""),0.0)</f>
        <v>0</v>
      </c>
    </row>
    <row r="1887">
      <c r="A1887" s="7">
        <f>IFERROR(__xludf.DUMMYFUNCTION("""COMPUTED_VALUE"""),39484.645833333336)</f>
        <v>39484.64583</v>
      </c>
      <c r="B1887" s="3">
        <f>IFERROR(__xludf.DUMMYFUNCTION("""COMPUTED_VALUE"""),5470.4)</f>
        <v>5470.4</v>
      </c>
      <c r="C1887" s="3">
        <f>IFERROR(__xludf.DUMMYFUNCTION("""COMPUTED_VALUE"""),5470.4)</f>
        <v>5470.4</v>
      </c>
      <c r="D1887" s="3">
        <f>IFERROR(__xludf.DUMMYFUNCTION("""COMPUTED_VALUE"""),5257.05)</f>
        <v>5257.05</v>
      </c>
      <c r="E1887" s="3">
        <f>IFERROR(__xludf.DUMMYFUNCTION("""COMPUTED_VALUE"""),5322.55)</f>
        <v>5322.55</v>
      </c>
      <c r="F1887" s="3">
        <f>IFERROR(__xludf.DUMMYFUNCTION("""COMPUTED_VALUE"""),0.0)</f>
        <v>0</v>
      </c>
    </row>
    <row r="1888">
      <c r="A1888" s="7">
        <f>IFERROR(__xludf.DUMMYFUNCTION("""COMPUTED_VALUE"""),39485.645833333336)</f>
        <v>39485.64583</v>
      </c>
      <c r="B1888" s="3">
        <f>IFERROR(__xludf.DUMMYFUNCTION("""COMPUTED_VALUE"""),5322.55)</f>
        <v>5322.55</v>
      </c>
      <c r="C1888" s="3">
        <f>IFERROR(__xludf.DUMMYFUNCTION("""COMPUTED_VALUE"""),5344.6)</f>
        <v>5344.6</v>
      </c>
      <c r="D1888" s="3">
        <f>IFERROR(__xludf.DUMMYFUNCTION("""COMPUTED_VALUE"""),5113.85)</f>
        <v>5113.85</v>
      </c>
      <c r="E1888" s="3">
        <f>IFERROR(__xludf.DUMMYFUNCTION("""COMPUTED_VALUE"""),5133.25)</f>
        <v>5133.25</v>
      </c>
      <c r="F1888" s="3">
        <f>IFERROR(__xludf.DUMMYFUNCTION("""COMPUTED_VALUE"""),0.0)</f>
        <v>0</v>
      </c>
    </row>
    <row r="1889">
      <c r="A1889" s="7">
        <f>IFERROR(__xludf.DUMMYFUNCTION("""COMPUTED_VALUE"""),39486.645833333336)</f>
        <v>39486.64583</v>
      </c>
      <c r="B1889" s="3">
        <f>IFERROR(__xludf.DUMMYFUNCTION("""COMPUTED_VALUE"""),5132.1)</f>
        <v>5132.1</v>
      </c>
      <c r="C1889" s="3">
        <f>IFERROR(__xludf.DUMMYFUNCTION("""COMPUTED_VALUE"""),5173.85)</f>
        <v>5173.85</v>
      </c>
      <c r="D1889" s="3">
        <f>IFERROR(__xludf.DUMMYFUNCTION("""COMPUTED_VALUE"""),5034.25)</f>
        <v>5034.25</v>
      </c>
      <c r="E1889" s="3">
        <f>IFERROR(__xludf.DUMMYFUNCTION("""COMPUTED_VALUE"""),5120.35)</f>
        <v>5120.35</v>
      </c>
      <c r="F1889" s="3">
        <f>IFERROR(__xludf.DUMMYFUNCTION("""COMPUTED_VALUE"""),0.0)</f>
        <v>0</v>
      </c>
    </row>
    <row r="1890">
      <c r="A1890" s="7">
        <f>IFERROR(__xludf.DUMMYFUNCTION("""COMPUTED_VALUE"""),39489.645833333336)</f>
        <v>39489.64583</v>
      </c>
      <c r="B1890" s="3">
        <f>IFERROR(__xludf.DUMMYFUNCTION("""COMPUTED_VALUE"""),5120.55)</f>
        <v>5120.55</v>
      </c>
      <c r="C1890" s="3">
        <f>IFERROR(__xludf.DUMMYFUNCTION("""COMPUTED_VALUE"""),5126.4)</f>
        <v>5126.4</v>
      </c>
      <c r="D1890" s="3">
        <f>IFERROR(__xludf.DUMMYFUNCTION("""COMPUTED_VALUE"""),4803.6)</f>
        <v>4803.6</v>
      </c>
      <c r="E1890" s="3">
        <f>IFERROR(__xludf.DUMMYFUNCTION("""COMPUTED_VALUE"""),4857.0)</f>
        <v>4857</v>
      </c>
      <c r="F1890" s="3">
        <f>IFERROR(__xludf.DUMMYFUNCTION("""COMPUTED_VALUE"""),0.0)</f>
        <v>0</v>
      </c>
    </row>
    <row r="1891">
      <c r="A1891" s="7">
        <f>IFERROR(__xludf.DUMMYFUNCTION("""COMPUTED_VALUE"""),39490.645833333336)</f>
        <v>39490.64583</v>
      </c>
      <c r="B1891" s="3">
        <f>IFERROR(__xludf.DUMMYFUNCTION("""COMPUTED_VALUE"""),4877.85)</f>
        <v>4877.85</v>
      </c>
      <c r="C1891" s="3">
        <f>IFERROR(__xludf.DUMMYFUNCTION("""COMPUTED_VALUE"""),4949.6)</f>
        <v>4949.6</v>
      </c>
      <c r="D1891" s="3">
        <f>IFERROR(__xludf.DUMMYFUNCTION("""COMPUTED_VALUE"""),4820.45)</f>
        <v>4820.45</v>
      </c>
      <c r="E1891" s="3">
        <f>IFERROR(__xludf.DUMMYFUNCTION("""COMPUTED_VALUE"""),4838.25)</f>
        <v>4838.25</v>
      </c>
      <c r="F1891" s="3">
        <f>IFERROR(__xludf.DUMMYFUNCTION("""COMPUTED_VALUE"""),0.0)</f>
        <v>0</v>
      </c>
    </row>
    <row r="1892">
      <c r="A1892" s="7">
        <f>IFERROR(__xludf.DUMMYFUNCTION("""COMPUTED_VALUE"""),39491.645833333336)</f>
        <v>39491.64583</v>
      </c>
      <c r="B1892" s="3">
        <f>IFERROR(__xludf.DUMMYFUNCTION("""COMPUTED_VALUE"""),4836.55)</f>
        <v>4836.55</v>
      </c>
      <c r="C1892" s="3">
        <f>IFERROR(__xludf.DUMMYFUNCTION("""COMPUTED_VALUE"""),4986.55)</f>
        <v>4986.55</v>
      </c>
      <c r="D1892" s="3">
        <f>IFERROR(__xludf.DUMMYFUNCTION("""COMPUTED_VALUE"""),4836.55)</f>
        <v>4836.55</v>
      </c>
      <c r="E1892" s="3">
        <f>IFERROR(__xludf.DUMMYFUNCTION("""COMPUTED_VALUE"""),4929.45)</f>
        <v>4929.45</v>
      </c>
      <c r="F1892" s="3">
        <f>IFERROR(__xludf.DUMMYFUNCTION("""COMPUTED_VALUE"""),0.0)</f>
        <v>0</v>
      </c>
    </row>
    <row r="1893">
      <c r="A1893" s="7">
        <f>IFERROR(__xludf.DUMMYFUNCTION("""COMPUTED_VALUE"""),39492.645833333336)</f>
        <v>39492.64583</v>
      </c>
      <c r="B1893" s="3">
        <f>IFERROR(__xludf.DUMMYFUNCTION("""COMPUTED_VALUE"""),4944.65)</f>
        <v>4944.65</v>
      </c>
      <c r="C1893" s="3">
        <f>IFERROR(__xludf.DUMMYFUNCTION("""COMPUTED_VALUE"""),5220.25)</f>
        <v>5220.25</v>
      </c>
      <c r="D1893" s="3">
        <f>IFERROR(__xludf.DUMMYFUNCTION("""COMPUTED_VALUE"""),4944.65)</f>
        <v>4944.65</v>
      </c>
      <c r="E1893" s="3">
        <f>IFERROR(__xludf.DUMMYFUNCTION("""COMPUTED_VALUE"""),5202.0)</f>
        <v>5202</v>
      </c>
      <c r="F1893" s="3">
        <f>IFERROR(__xludf.DUMMYFUNCTION("""COMPUTED_VALUE"""),0.0)</f>
        <v>0</v>
      </c>
    </row>
    <row r="1894">
      <c r="A1894" s="7">
        <f>IFERROR(__xludf.DUMMYFUNCTION("""COMPUTED_VALUE"""),39493.645833333336)</f>
        <v>39493.64583</v>
      </c>
      <c r="B1894" s="3">
        <f>IFERROR(__xludf.DUMMYFUNCTION("""COMPUTED_VALUE"""),5202.85)</f>
        <v>5202.85</v>
      </c>
      <c r="C1894" s="3">
        <f>IFERROR(__xludf.DUMMYFUNCTION("""COMPUTED_VALUE"""),5315.4)</f>
        <v>5315.4</v>
      </c>
      <c r="D1894" s="3">
        <f>IFERROR(__xludf.DUMMYFUNCTION("""COMPUTED_VALUE"""),5104.75)</f>
        <v>5104.75</v>
      </c>
      <c r="E1894" s="3">
        <f>IFERROR(__xludf.DUMMYFUNCTION("""COMPUTED_VALUE"""),5302.9)</f>
        <v>5302.9</v>
      </c>
      <c r="F1894" s="3">
        <f>IFERROR(__xludf.DUMMYFUNCTION("""COMPUTED_VALUE"""),0.0)</f>
        <v>0</v>
      </c>
    </row>
    <row r="1895">
      <c r="A1895" s="7">
        <f>IFERROR(__xludf.DUMMYFUNCTION("""COMPUTED_VALUE"""),39496.645833333336)</f>
        <v>39496.64583</v>
      </c>
      <c r="B1895" s="3">
        <f>IFERROR(__xludf.DUMMYFUNCTION("""COMPUTED_VALUE"""),5304.45)</f>
        <v>5304.45</v>
      </c>
      <c r="C1895" s="3">
        <f>IFERROR(__xludf.DUMMYFUNCTION("""COMPUTED_VALUE"""),5348.6)</f>
        <v>5348.6</v>
      </c>
      <c r="D1895" s="3">
        <f>IFERROR(__xludf.DUMMYFUNCTION("""COMPUTED_VALUE"""),5224.0)</f>
        <v>5224</v>
      </c>
      <c r="E1895" s="3">
        <f>IFERROR(__xludf.DUMMYFUNCTION("""COMPUTED_VALUE"""),5276.9)</f>
        <v>5276.9</v>
      </c>
      <c r="F1895" s="3">
        <f>IFERROR(__xludf.DUMMYFUNCTION("""COMPUTED_VALUE"""),0.0)</f>
        <v>0</v>
      </c>
    </row>
    <row r="1896">
      <c r="A1896" s="7">
        <f>IFERROR(__xludf.DUMMYFUNCTION("""COMPUTED_VALUE"""),39497.645833333336)</f>
        <v>39497.64583</v>
      </c>
      <c r="B1896" s="3">
        <f>IFERROR(__xludf.DUMMYFUNCTION("""COMPUTED_VALUE"""),5278.4)</f>
        <v>5278.4</v>
      </c>
      <c r="C1896" s="3">
        <f>IFERROR(__xludf.DUMMYFUNCTION("""COMPUTED_VALUE"""),5368.45)</f>
        <v>5368.45</v>
      </c>
      <c r="D1896" s="3">
        <f>IFERROR(__xludf.DUMMYFUNCTION("""COMPUTED_VALUE"""),5262.0)</f>
        <v>5262</v>
      </c>
      <c r="E1896" s="3">
        <f>IFERROR(__xludf.DUMMYFUNCTION("""COMPUTED_VALUE"""),5280.8)</f>
        <v>5280.8</v>
      </c>
      <c r="F1896" s="3">
        <f>IFERROR(__xludf.DUMMYFUNCTION("""COMPUTED_VALUE"""),0.0)</f>
        <v>0</v>
      </c>
    </row>
    <row r="1897">
      <c r="A1897" s="7">
        <f>IFERROR(__xludf.DUMMYFUNCTION("""COMPUTED_VALUE"""),39498.645833333336)</f>
        <v>39498.64583</v>
      </c>
      <c r="B1897" s="3">
        <f>IFERROR(__xludf.DUMMYFUNCTION("""COMPUTED_VALUE"""),5267.15)</f>
        <v>5267.15</v>
      </c>
      <c r="C1897" s="3">
        <f>IFERROR(__xludf.DUMMYFUNCTION("""COMPUTED_VALUE"""),5267.15)</f>
        <v>5267.15</v>
      </c>
      <c r="D1897" s="3">
        <f>IFERROR(__xludf.DUMMYFUNCTION("""COMPUTED_VALUE"""),5116.3)</f>
        <v>5116.3</v>
      </c>
      <c r="E1897" s="3">
        <f>IFERROR(__xludf.DUMMYFUNCTION("""COMPUTED_VALUE"""),5154.45)</f>
        <v>5154.45</v>
      </c>
      <c r="F1897" s="3">
        <f>IFERROR(__xludf.DUMMYFUNCTION("""COMPUTED_VALUE"""),0.0)</f>
        <v>0</v>
      </c>
    </row>
    <row r="1898">
      <c r="A1898" s="7">
        <f>IFERROR(__xludf.DUMMYFUNCTION("""COMPUTED_VALUE"""),39499.645833333336)</f>
        <v>39499.64583</v>
      </c>
      <c r="B1898" s="3">
        <f>IFERROR(__xludf.DUMMYFUNCTION("""COMPUTED_VALUE"""),5156.9)</f>
        <v>5156.9</v>
      </c>
      <c r="C1898" s="3">
        <f>IFERROR(__xludf.DUMMYFUNCTION("""COMPUTED_VALUE"""),5241.35)</f>
        <v>5241.35</v>
      </c>
      <c r="D1898" s="3">
        <f>IFERROR(__xludf.DUMMYFUNCTION("""COMPUTED_VALUE"""),5120.05)</f>
        <v>5120.05</v>
      </c>
      <c r="E1898" s="3">
        <f>IFERROR(__xludf.DUMMYFUNCTION("""COMPUTED_VALUE"""),5191.8)</f>
        <v>5191.8</v>
      </c>
      <c r="F1898" s="3">
        <f>IFERROR(__xludf.DUMMYFUNCTION("""COMPUTED_VALUE"""),0.0)</f>
        <v>0</v>
      </c>
    </row>
    <row r="1899">
      <c r="A1899" s="7">
        <f>IFERROR(__xludf.DUMMYFUNCTION("""COMPUTED_VALUE"""),39500.645833333336)</f>
        <v>39500.64583</v>
      </c>
      <c r="B1899" s="3">
        <f>IFERROR(__xludf.DUMMYFUNCTION("""COMPUTED_VALUE"""),5183.4)</f>
        <v>5183.4</v>
      </c>
      <c r="C1899" s="3">
        <f>IFERROR(__xludf.DUMMYFUNCTION("""COMPUTED_VALUE"""),5184.0)</f>
        <v>5184</v>
      </c>
      <c r="D1899" s="3">
        <f>IFERROR(__xludf.DUMMYFUNCTION("""COMPUTED_VALUE"""),5092.8)</f>
        <v>5092.8</v>
      </c>
      <c r="E1899" s="3">
        <f>IFERROR(__xludf.DUMMYFUNCTION("""COMPUTED_VALUE"""),5110.75)</f>
        <v>5110.75</v>
      </c>
      <c r="F1899" s="3">
        <f>IFERROR(__xludf.DUMMYFUNCTION("""COMPUTED_VALUE"""),0.0)</f>
        <v>0</v>
      </c>
    </row>
    <row r="1900">
      <c r="A1900" s="7">
        <f>IFERROR(__xludf.DUMMYFUNCTION("""COMPUTED_VALUE"""),39503.645833333336)</f>
        <v>39503.64583</v>
      </c>
      <c r="B1900" s="3">
        <f>IFERROR(__xludf.DUMMYFUNCTION("""COMPUTED_VALUE"""),5112.25)</f>
        <v>5112.25</v>
      </c>
      <c r="C1900" s="3">
        <f>IFERROR(__xludf.DUMMYFUNCTION("""COMPUTED_VALUE"""),5212.35)</f>
        <v>5212.35</v>
      </c>
      <c r="D1900" s="3">
        <f>IFERROR(__xludf.DUMMYFUNCTION("""COMPUTED_VALUE"""),5055.15)</f>
        <v>5055.15</v>
      </c>
      <c r="E1900" s="3">
        <f>IFERROR(__xludf.DUMMYFUNCTION("""COMPUTED_VALUE"""),5200.7)</f>
        <v>5200.7</v>
      </c>
      <c r="F1900" s="3">
        <f>IFERROR(__xludf.DUMMYFUNCTION("""COMPUTED_VALUE"""),0.0)</f>
        <v>0</v>
      </c>
    </row>
    <row r="1901">
      <c r="A1901" s="7">
        <f>IFERROR(__xludf.DUMMYFUNCTION("""COMPUTED_VALUE"""),39504.645833333336)</f>
        <v>39504.64583</v>
      </c>
      <c r="B1901" s="3">
        <f>IFERROR(__xludf.DUMMYFUNCTION("""COMPUTED_VALUE"""),5200.8)</f>
        <v>5200.8</v>
      </c>
      <c r="C1901" s="3">
        <f>IFERROR(__xludf.DUMMYFUNCTION("""COMPUTED_VALUE"""),5281.2)</f>
        <v>5281.2</v>
      </c>
      <c r="D1901" s="3">
        <f>IFERROR(__xludf.DUMMYFUNCTION("""COMPUTED_VALUE"""),5200.8)</f>
        <v>5200.8</v>
      </c>
      <c r="E1901" s="3">
        <f>IFERROR(__xludf.DUMMYFUNCTION("""COMPUTED_VALUE"""),5270.05)</f>
        <v>5270.05</v>
      </c>
      <c r="F1901" s="3">
        <f>IFERROR(__xludf.DUMMYFUNCTION("""COMPUTED_VALUE"""),0.0)</f>
        <v>0</v>
      </c>
    </row>
    <row r="1902">
      <c r="A1902" s="7">
        <f>IFERROR(__xludf.DUMMYFUNCTION("""COMPUTED_VALUE"""),39505.645833333336)</f>
        <v>39505.64583</v>
      </c>
      <c r="B1902" s="3">
        <f>IFERROR(__xludf.DUMMYFUNCTION("""COMPUTED_VALUE"""),5271.4)</f>
        <v>5271.4</v>
      </c>
      <c r="C1902" s="3">
        <f>IFERROR(__xludf.DUMMYFUNCTION("""COMPUTED_VALUE"""),5368.15)</f>
        <v>5368.15</v>
      </c>
      <c r="D1902" s="3">
        <f>IFERROR(__xludf.DUMMYFUNCTION("""COMPUTED_VALUE"""),5249.75)</f>
        <v>5249.75</v>
      </c>
      <c r="E1902" s="3">
        <f>IFERROR(__xludf.DUMMYFUNCTION("""COMPUTED_VALUE"""),5268.4)</f>
        <v>5268.4</v>
      </c>
      <c r="F1902" s="3">
        <f>IFERROR(__xludf.DUMMYFUNCTION("""COMPUTED_VALUE"""),0.0)</f>
        <v>0</v>
      </c>
    </row>
    <row r="1903">
      <c r="A1903" s="7">
        <f>IFERROR(__xludf.DUMMYFUNCTION("""COMPUTED_VALUE"""),39506.645833333336)</f>
        <v>39506.64583</v>
      </c>
      <c r="B1903" s="3">
        <f>IFERROR(__xludf.DUMMYFUNCTION("""COMPUTED_VALUE"""),5266.35)</f>
        <v>5266.35</v>
      </c>
      <c r="C1903" s="3">
        <f>IFERROR(__xludf.DUMMYFUNCTION("""COMPUTED_VALUE"""),5302.85)</f>
        <v>5302.85</v>
      </c>
      <c r="D1903" s="3">
        <f>IFERROR(__xludf.DUMMYFUNCTION("""COMPUTED_VALUE"""),5227.15)</f>
        <v>5227.15</v>
      </c>
      <c r="E1903" s="3">
        <f>IFERROR(__xludf.DUMMYFUNCTION("""COMPUTED_VALUE"""),5285.1)</f>
        <v>5285.1</v>
      </c>
      <c r="F1903" s="3">
        <f>IFERROR(__xludf.DUMMYFUNCTION("""COMPUTED_VALUE"""),0.0)</f>
        <v>0</v>
      </c>
    </row>
    <row r="1904">
      <c r="A1904" s="7">
        <f>IFERROR(__xludf.DUMMYFUNCTION("""COMPUTED_VALUE"""),39507.645833333336)</f>
        <v>39507.64583</v>
      </c>
      <c r="B1904" s="3">
        <f>IFERROR(__xludf.DUMMYFUNCTION("""COMPUTED_VALUE"""),5285.0)</f>
        <v>5285</v>
      </c>
      <c r="C1904" s="3">
        <f>IFERROR(__xludf.DUMMYFUNCTION("""COMPUTED_VALUE"""),5290.8)</f>
        <v>5290.8</v>
      </c>
      <c r="D1904" s="3">
        <f>IFERROR(__xludf.DUMMYFUNCTION("""COMPUTED_VALUE"""),5098.35)</f>
        <v>5098.35</v>
      </c>
      <c r="E1904" s="3">
        <f>IFERROR(__xludf.DUMMYFUNCTION("""COMPUTED_VALUE"""),5223.5)</f>
        <v>5223.5</v>
      </c>
      <c r="F1904" s="3">
        <f>IFERROR(__xludf.DUMMYFUNCTION("""COMPUTED_VALUE"""),0.0)</f>
        <v>0</v>
      </c>
    </row>
    <row r="1905">
      <c r="A1905" s="7">
        <f>IFERROR(__xludf.DUMMYFUNCTION("""COMPUTED_VALUE"""),39510.645833333336)</f>
        <v>39510.64583</v>
      </c>
      <c r="B1905" s="3">
        <f>IFERROR(__xludf.DUMMYFUNCTION("""COMPUTED_VALUE"""),5222.8)</f>
        <v>5222.8</v>
      </c>
      <c r="C1905" s="3">
        <f>IFERROR(__xludf.DUMMYFUNCTION("""COMPUTED_VALUE"""),5222.8)</f>
        <v>5222.8</v>
      </c>
      <c r="D1905" s="3">
        <f>IFERROR(__xludf.DUMMYFUNCTION("""COMPUTED_VALUE"""),4936.05)</f>
        <v>4936.05</v>
      </c>
      <c r="E1905" s="3">
        <f>IFERROR(__xludf.DUMMYFUNCTION("""COMPUTED_VALUE"""),4953.0)</f>
        <v>4953</v>
      </c>
      <c r="F1905" s="3">
        <f>IFERROR(__xludf.DUMMYFUNCTION("""COMPUTED_VALUE"""),0.0)</f>
        <v>0</v>
      </c>
    </row>
    <row r="1906">
      <c r="A1906" s="7">
        <f>IFERROR(__xludf.DUMMYFUNCTION("""COMPUTED_VALUE"""),39511.645833333336)</f>
        <v>39511.64583</v>
      </c>
      <c r="B1906" s="3">
        <f>IFERROR(__xludf.DUMMYFUNCTION("""COMPUTED_VALUE"""),4958.55)</f>
        <v>4958.55</v>
      </c>
      <c r="C1906" s="3">
        <f>IFERROR(__xludf.DUMMYFUNCTION("""COMPUTED_VALUE"""),4976.7)</f>
        <v>4976.7</v>
      </c>
      <c r="D1906" s="3">
        <f>IFERROR(__xludf.DUMMYFUNCTION("""COMPUTED_VALUE"""),4812.95)</f>
        <v>4812.95</v>
      </c>
      <c r="E1906" s="3">
        <f>IFERROR(__xludf.DUMMYFUNCTION("""COMPUTED_VALUE"""),4864.25)</f>
        <v>4864.25</v>
      </c>
      <c r="F1906" s="3">
        <f>IFERROR(__xludf.DUMMYFUNCTION("""COMPUTED_VALUE"""),0.0)</f>
        <v>0</v>
      </c>
    </row>
    <row r="1907">
      <c r="A1907" s="7">
        <f>IFERROR(__xludf.DUMMYFUNCTION("""COMPUTED_VALUE"""),39512.645833333336)</f>
        <v>39512.64583</v>
      </c>
      <c r="B1907" s="3">
        <f>IFERROR(__xludf.DUMMYFUNCTION("""COMPUTED_VALUE"""),4866.85)</f>
        <v>4866.85</v>
      </c>
      <c r="C1907" s="3">
        <f>IFERROR(__xludf.DUMMYFUNCTION("""COMPUTED_VALUE"""),4936.75)</f>
        <v>4936.75</v>
      </c>
      <c r="D1907" s="3">
        <f>IFERROR(__xludf.DUMMYFUNCTION("""COMPUTED_VALUE"""),4847.25)</f>
        <v>4847.25</v>
      </c>
      <c r="E1907" s="3">
        <f>IFERROR(__xludf.DUMMYFUNCTION("""COMPUTED_VALUE"""),4921.4)</f>
        <v>4921.4</v>
      </c>
      <c r="F1907" s="3">
        <f>IFERROR(__xludf.DUMMYFUNCTION("""COMPUTED_VALUE"""),0.0)</f>
        <v>0</v>
      </c>
    </row>
    <row r="1908">
      <c r="A1908" s="7">
        <f>IFERROR(__xludf.DUMMYFUNCTION("""COMPUTED_VALUE"""),39514.645833333336)</f>
        <v>39514.64583</v>
      </c>
      <c r="B1908" s="3">
        <f>IFERROR(__xludf.DUMMYFUNCTION("""COMPUTED_VALUE"""),4918.3)</f>
        <v>4918.3</v>
      </c>
      <c r="C1908" s="3">
        <f>IFERROR(__xludf.DUMMYFUNCTION("""COMPUTED_VALUE"""),4918.3)</f>
        <v>4918.3</v>
      </c>
      <c r="D1908" s="3">
        <f>IFERROR(__xludf.DUMMYFUNCTION("""COMPUTED_VALUE"""),4672.25)</f>
        <v>4672.25</v>
      </c>
      <c r="E1908" s="3">
        <f>IFERROR(__xludf.DUMMYFUNCTION("""COMPUTED_VALUE"""),4771.6)</f>
        <v>4771.6</v>
      </c>
      <c r="F1908" s="3">
        <f>IFERROR(__xludf.DUMMYFUNCTION("""COMPUTED_VALUE"""),0.0)</f>
        <v>0</v>
      </c>
    </row>
    <row r="1909">
      <c r="A1909" s="7">
        <f>IFERROR(__xludf.DUMMYFUNCTION("""COMPUTED_VALUE"""),39517.645833333336)</f>
        <v>39517.64583</v>
      </c>
      <c r="B1909" s="3">
        <f>IFERROR(__xludf.DUMMYFUNCTION("""COMPUTED_VALUE"""),4767.8)</f>
        <v>4767.8</v>
      </c>
      <c r="C1909" s="3">
        <f>IFERROR(__xludf.DUMMYFUNCTION("""COMPUTED_VALUE"""),4814.95)</f>
        <v>4814.95</v>
      </c>
      <c r="D1909" s="3">
        <f>IFERROR(__xludf.DUMMYFUNCTION("""COMPUTED_VALUE"""),4620.5)</f>
        <v>4620.5</v>
      </c>
      <c r="E1909" s="3">
        <f>IFERROR(__xludf.DUMMYFUNCTION("""COMPUTED_VALUE"""),4800.4)</f>
        <v>4800.4</v>
      </c>
      <c r="F1909" s="3">
        <f>IFERROR(__xludf.DUMMYFUNCTION("""COMPUTED_VALUE"""),0.0)</f>
        <v>0</v>
      </c>
    </row>
    <row r="1910">
      <c r="A1910" s="7">
        <f>IFERROR(__xludf.DUMMYFUNCTION("""COMPUTED_VALUE"""),39518.645833333336)</f>
        <v>39518.64583</v>
      </c>
      <c r="B1910" s="3">
        <f>IFERROR(__xludf.DUMMYFUNCTION("""COMPUTED_VALUE"""),4796.3)</f>
        <v>4796.3</v>
      </c>
      <c r="C1910" s="3">
        <f>IFERROR(__xludf.DUMMYFUNCTION("""COMPUTED_VALUE"""),4888.5)</f>
        <v>4888.5</v>
      </c>
      <c r="D1910" s="3">
        <f>IFERROR(__xludf.DUMMYFUNCTION("""COMPUTED_VALUE"""),4732.85)</f>
        <v>4732.85</v>
      </c>
      <c r="E1910" s="3">
        <f>IFERROR(__xludf.DUMMYFUNCTION("""COMPUTED_VALUE"""),4865.9)</f>
        <v>4865.9</v>
      </c>
      <c r="F1910" s="3">
        <f>IFERROR(__xludf.DUMMYFUNCTION("""COMPUTED_VALUE"""),0.0)</f>
        <v>0</v>
      </c>
    </row>
    <row r="1911">
      <c r="A1911" s="7">
        <f>IFERROR(__xludf.DUMMYFUNCTION("""COMPUTED_VALUE"""),39519.645833333336)</f>
        <v>39519.64583</v>
      </c>
      <c r="B1911" s="3">
        <f>IFERROR(__xludf.DUMMYFUNCTION("""COMPUTED_VALUE"""),4869.75)</f>
        <v>4869.75</v>
      </c>
      <c r="C1911" s="3">
        <f>IFERROR(__xludf.DUMMYFUNCTION("""COMPUTED_VALUE"""),5019.2)</f>
        <v>5019.2</v>
      </c>
      <c r="D1911" s="3">
        <f>IFERROR(__xludf.DUMMYFUNCTION("""COMPUTED_VALUE"""),4854.75)</f>
        <v>4854.75</v>
      </c>
      <c r="E1911" s="3">
        <f>IFERROR(__xludf.DUMMYFUNCTION("""COMPUTED_VALUE"""),4872.0)</f>
        <v>4872</v>
      </c>
      <c r="F1911" s="3">
        <f>IFERROR(__xludf.DUMMYFUNCTION("""COMPUTED_VALUE"""),0.0)</f>
        <v>0</v>
      </c>
    </row>
    <row r="1912">
      <c r="A1912" s="7">
        <f>IFERROR(__xludf.DUMMYFUNCTION("""COMPUTED_VALUE"""),39520.645833333336)</f>
        <v>39520.64583</v>
      </c>
      <c r="B1912" s="3">
        <f>IFERROR(__xludf.DUMMYFUNCTION("""COMPUTED_VALUE"""),4868.7)</f>
        <v>4868.7</v>
      </c>
      <c r="C1912" s="3">
        <f>IFERROR(__xludf.DUMMYFUNCTION("""COMPUTED_VALUE"""),4868.8)</f>
        <v>4868.8</v>
      </c>
      <c r="D1912" s="3">
        <f>IFERROR(__xludf.DUMMYFUNCTION("""COMPUTED_VALUE"""),4580.15)</f>
        <v>4580.15</v>
      </c>
      <c r="E1912" s="3">
        <f>IFERROR(__xludf.DUMMYFUNCTION("""COMPUTED_VALUE"""),4623.6)</f>
        <v>4623.6</v>
      </c>
      <c r="F1912" s="3">
        <f>IFERROR(__xludf.DUMMYFUNCTION("""COMPUTED_VALUE"""),0.0)</f>
        <v>0</v>
      </c>
    </row>
    <row r="1913">
      <c r="A1913" s="7">
        <f>IFERROR(__xludf.DUMMYFUNCTION("""COMPUTED_VALUE"""),39521.645833333336)</f>
        <v>39521.64583</v>
      </c>
      <c r="B1913" s="3">
        <f>IFERROR(__xludf.DUMMYFUNCTION("""COMPUTED_VALUE"""),4623.8)</f>
        <v>4623.8</v>
      </c>
      <c r="C1913" s="3">
        <f>IFERROR(__xludf.DUMMYFUNCTION("""COMPUTED_VALUE"""),4758.95)</f>
        <v>4758.95</v>
      </c>
      <c r="D1913" s="3">
        <f>IFERROR(__xludf.DUMMYFUNCTION("""COMPUTED_VALUE"""),4607.55)</f>
        <v>4607.55</v>
      </c>
      <c r="E1913" s="3">
        <f>IFERROR(__xludf.DUMMYFUNCTION("""COMPUTED_VALUE"""),4745.8)</f>
        <v>4745.8</v>
      </c>
      <c r="F1913" s="3">
        <f>IFERROR(__xludf.DUMMYFUNCTION("""COMPUTED_VALUE"""),0.0)</f>
        <v>0</v>
      </c>
    </row>
    <row r="1914">
      <c r="A1914" s="7">
        <f>IFERROR(__xludf.DUMMYFUNCTION("""COMPUTED_VALUE"""),39524.645833333336)</f>
        <v>39524.64583</v>
      </c>
      <c r="B1914" s="3">
        <f>IFERROR(__xludf.DUMMYFUNCTION("""COMPUTED_VALUE"""),4745.45)</f>
        <v>4745.45</v>
      </c>
      <c r="C1914" s="3">
        <f>IFERROR(__xludf.DUMMYFUNCTION("""COMPUTED_VALUE"""),4745.45)</f>
        <v>4745.45</v>
      </c>
      <c r="D1914" s="3">
        <f>IFERROR(__xludf.DUMMYFUNCTION("""COMPUTED_VALUE"""),4482.1)</f>
        <v>4482.1</v>
      </c>
      <c r="E1914" s="3">
        <f>IFERROR(__xludf.DUMMYFUNCTION("""COMPUTED_VALUE"""),4503.1)</f>
        <v>4503.1</v>
      </c>
      <c r="F1914" s="3">
        <f>IFERROR(__xludf.DUMMYFUNCTION("""COMPUTED_VALUE"""),0.0)</f>
        <v>0</v>
      </c>
    </row>
    <row r="1915">
      <c r="A1915" s="7">
        <f>IFERROR(__xludf.DUMMYFUNCTION("""COMPUTED_VALUE"""),39525.645833333336)</f>
        <v>39525.64583</v>
      </c>
      <c r="B1915" s="3">
        <f>IFERROR(__xludf.DUMMYFUNCTION("""COMPUTED_VALUE"""),4519.9)</f>
        <v>4519.9</v>
      </c>
      <c r="C1915" s="3">
        <f>IFERROR(__xludf.DUMMYFUNCTION("""COMPUTED_VALUE"""),4617.95)</f>
        <v>4617.95</v>
      </c>
      <c r="D1915" s="3">
        <f>IFERROR(__xludf.DUMMYFUNCTION("""COMPUTED_VALUE"""),4468.55)</f>
        <v>4468.55</v>
      </c>
      <c r="E1915" s="3">
        <f>IFERROR(__xludf.DUMMYFUNCTION("""COMPUTED_VALUE"""),4533.0)</f>
        <v>4533</v>
      </c>
      <c r="F1915" s="3">
        <f>IFERROR(__xludf.DUMMYFUNCTION("""COMPUTED_VALUE"""),0.0)</f>
        <v>0</v>
      </c>
    </row>
    <row r="1916">
      <c r="A1916" s="7">
        <f>IFERROR(__xludf.DUMMYFUNCTION("""COMPUTED_VALUE"""),39526.645833333336)</f>
        <v>39526.64583</v>
      </c>
      <c r="B1916" s="3">
        <f>IFERROR(__xludf.DUMMYFUNCTION("""COMPUTED_VALUE"""),4534.75)</f>
        <v>4534.75</v>
      </c>
      <c r="C1916" s="3">
        <f>IFERROR(__xludf.DUMMYFUNCTION("""COMPUTED_VALUE"""),4718.4)</f>
        <v>4718.4</v>
      </c>
      <c r="D1916" s="3">
        <f>IFERROR(__xludf.DUMMYFUNCTION("""COMPUTED_VALUE"""),4533.9)</f>
        <v>4533.9</v>
      </c>
      <c r="E1916" s="3">
        <f>IFERROR(__xludf.DUMMYFUNCTION("""COMPUTED_VALUE"""),4573.95)</f>
        <v>4573.95</v>
      </c>
      <c r="F1916" s="3">
        <f>IFERROR(__xludf.DUMMYFUNCTION("""COMPUTED_VALUE"""),0.0)</f>
        <v>0</v>
      </c>
    </row>
    <row r="1917">
      <c r="A1917" s="7">
        <f>IFERROR(__xludf.DUMMYFUNCTION("""COMPUTED_VALUE"""),39531.645833333336)</f>
        <v>39531.64583</v>
      </c>
      <c r="B1917" s="3">
        <f>IFERROR(__xludf.DUMMYFUNCTION("""COMPUTED_VALUE"""),4576.8)</f>
        <v>4576.8</v>
      </c>
      <c r="C1917" s="3">
        <f>IFERROR(__xludf.DUMMYFUNCTION("""COMPUTED_VALUE"""),4649.45)</f>
        <v>4649.45</v>
      </c>
      <c r="D1917" s="3">
        <f>IFERROR(__xludf.DUMMYFUNCTION("""COMPUTED_VALUE"""),4539.8)</f>
        <v>4539.8</v>
      </c>
      <c r="E1917" s="3">
        <f>IFERROR(__xludf.DUMMYFUNCTION("""COMPUTED_VALUE"""),4609.85)</f>
        <v>4609.85</v>
      </c>
      <c r="F1917" s="3">
        <f>IFERROR(__xludf.DUMMYFUNCTION("""COMPUTED_VALUE"""),0.0)</f>
        <v>0</v>
      </c>
    </row>
    <row r="1918">
      <c r="A1918" s="7">
        <f>IFERROR(__xludf.DUMMYFUNCTION("""COMPUTED_VALUE"""),39532.645833333336)</f>
        <v>39532.64583</v>
      </c>
      <c r="B1918" s="3">
        <f>IFERROR(__xludf.DUMMYFUNCTION("""COMPUTED_VALUE"""),4616.8)</f>
        <v>4616.8</v>
      </c>
      <c r="C1918" s="3">
        <f>IFERROR(__xludf.DUMMYFUNCTION("""COMPUTED_VALUE"""),4896.8)</f>
        <v>4896.8</v>
      </c>
      <c r="D1918" s="3">
        <f>IFERROR(__xludf.DUMMYFUNCTION("""COMPUTED_VALUE"""),4616.8)</f>
        <v>4616.8</v>
      </c>
      <c r="E1918" s="3">
        <f>IFERROR(__xludf.DUMMYFUNCTION("""COMPUTED_VALUE"""),4877.5)</f>
        <v>4877.5</v>
      </c>
      <c r="F1918" s="3">
        <f>IFERROR(__xludf.DUMMYFUNCTION("""COMPUTED_VALUE"""),0.0)</f>
        <v>0</v>
      </c>
    </row>
    <row r="1919">
      <c r="A1919" s="7">
        <f>IFERROR(__xludf.DUMMYFUNCTION("""COMPUTED_VALUE"""),39533.645833333336)</f>
        <v>39533.64583</v>
      </c>
      <c r="B1919" s="3">
        <f>IFERROR(__xludf.DUMMYFUNCTION("""COMPUTED_VALUE"""),4878.7)</f>
        <v>4878.7</v>
      </c>
      <c r="C1919" s="3">
        <f>IFERROR(__xludf.DUMMYFUNCTION("""COMPUTED_VALUE"""),4912.3)</f>
        <v>4912.3</v>
      </c>
      <c r="D1919" s="3">
        <f>IFERROR(__xludf.DUMMYFUNCTION("""COMPUTED_VALUE"""),4808.65)</f>
        <v>4808.65</v>
      </c>
      <c r="E1919" s="3">
        <f>IFERROR(__xludf.DUMMYFUNCTION("""COMPUTED_VALUE"""),4828.85)</f>
        <v>4828.85</v>
      </c>
      <c r="F1919" s="3">
        <f>IFERROR(__xludf.DUMMYFUNCTION("""COMPUTED_VALUE"""),0.0)</f>
        <v>0</v>
      </c>
    </row>
    <row r="1920">
      <c r="A1920" s="7">
        <f>IFERROR(__xludf.DUMMYFUNCTION("""COMPUTED_VALUE"""),39534.645833333336)</f>
        <v>39534.64583</v>
      </c>
      <c r="B1920" s="3">
        <f>IFERROR(__xludf.DUMMYFUNCTION("""COMPUTED_VALUE"""),4828.8)</f>
        <v>4828.8</v>
      </c>
      <c r="C1920" s="3">
        <f>IFERROR(__xludf.DUMMYFUNCTION("""COMPUTED_VALUE"""),4863.75)</f>
        <v>4863.75</v>
      </c>
      <c r="D1920" s="3">
        <f>IFERROR(__xludf.DUMMYFUNCTION("""COMPUTED_VALUE"""),4769.6)</f>
        <v>4769.6</v>
      </c>
      <c r="E1920" s="3">
        <f>IFERROR(__xludf.DUMMYFUNCTION("""COMPUTED_VALUE"""),4830.25)</f>
        <v>4830.25</v>
      </c>
      <c r="F1920" s="3">
        <f>IFERROR(__xludf.DUMMYFUNCTION("""COMPUTED_VALUE"""),0.0)</f>
        <v>0</v>
      </c>
    </row>
    <row r="1921">
      <c r="A1921" s="7">
        <f>IFERROR(__xludf.DUMMYFUNCTION("""COMPUTED_VALUE"""),39538.645833333336)</f>
        <v>39538.64583</v>
      </c>
      <c r="B1921" s="3">
        <f>IFERROR(__xludf.DUMMYFUNCTION("""COMPUTED_VALUE"""),4942.15)</f>
        <v>4942.15</v>
      </c>
      <c r="C1921" s="3">
        <f>IFERROR(__xludf.DUMMYFUNCTION("""COMPUTED_VALUE"""),4947.0)</f>
        <v>4947</v>
      </c>
      <c r="D1921" s="3">
        <f>IFERROR(__xludf.DUMMYFUNCTION("""COMPUTED_VALUE"""),4703.85)</f>
        <v>4703.85</v>
      </c>
      <c r="E1921" s="3">
        <f>IFERROR(__xludf.DUMMYFUNCTION("""COMPUTED_VALUE"""),4734.5)</f>
        <v>4734.5</v>
      </c>
      <c r="F1921" s="3">
        <f>IFERROR(__xludf.DUMMYFUNCTION("""COMPUTED_VALUE"""),0.0)</f>
        <v>0</v>
      </c>
    </row>
    <row r="1922">
      <c r="A1922" s="7">
        <f>IFERROR(__xludf.DUMMYFUNCTION("""COMPUTED_VALUE"""),39539.645833333336)</f>
        <v>39539.64583</v>
      </c>
      <c r="B1922" s="3">
        <f>IFERROR(__xludf.DUMMYFUNCTION("""COMPUTED_VALUE"""),4735.65)</f>
        <v>4735.65</v>
      </c>
      <c r="C1922" s="3">
        <f>IFERROR(__xludf.DUMMYFUNCTION("""COMPUTED_VALUE"""),4800.75)</f>
        <v>4800.75</v>
      </c>
      <c r="D1922" s="3">
        <f>IFERROR(__xludf.DUMMYFUNCTION("""COMPUTED_VALUE"""),4628.75)</f>
        <v>4628.75</v>
      </c>
      <c r="E1922" s="3">
        <f>IFERROR(__xludf.DUMMYFUNCTION("""COMPUTED_VALUE"""),4739.55)</f>
        <v>4739.55</v>
      </c>
      <c r="F1922" s="3">
        <f>IFERROR(__xludf.DUMMYFUNCTION("""COMPUTED_VALUE"""),0.0)</f>
        <v>0</v>
      </c>
    </row>
    <row r="1923">
      <c r="A1923" s="7">
        <f>IFERROR(__xludf.DUMMYFUNCTION("""COMPUTED_VALUE"""),39540.645833333336)</f>
        <v>39540.64583</v>
      </c>
      <c r="B1923" s="3">
        <f>IFERROR(__xludf.DUMMYFUNCTION("""COMPUTED_VALUE"""),4741.4)</f>
        <v>4741.4</v>
      </c>
      <c r="C1923" s="3">
        <f>IFERROR(__xludf.DUMMYFUNCTION("""COMPUTED_VALUE"""),4916.75)</f>
        <v>4916.75</v>
      </c>
      <c r="D1923" s="3">
        <f>IFERROR(__xludf.DUMMYFUNCTION("""COMPUTED_VALUE"""),4741.4)</f>
        <v>4741.4</v>
      </c>
      <c r="E1923" s="3">
        <f>IFERROR(__xludf.DUMMYFUNCTION("""COMPUTED_VALUE"""),4754.2)</f>
        <v>4754.2</v>
      </c>
      <c r="F1923" s="3">
        <f>IFERROR(__xludf.DUMMYFUNCTION("""COMPUTED_VALUE"""),0.0)</f>
        <v>0</v>
      </c>
    </row>
    <row r="1924">
      <c r="A1924" s="7">
        <f>IFERROR(__xludf.DUMMYFUNCTION("""COMPUTED_VALUE"""),39541.645833333336)</f>
        <v>39541.64583</v>
      </c>
      <c r="B1924" s="3">
        <f>IFERROR(__xludf.DUMMYFUNCTION("""COMPUTED_VALUE"""),4753.9)</f>
        <v>4753.9</v>
      </c>
      <c r="C1924" s="3">
        <f>IFERROR(__xludf.DUMMYFUNCTION("""COMPUTED_VALUE"""),4833.25)</f>
        <v>4833.25</v>
      </c>
      <c r="D1924" s="3">
        <f>IFERROR(__xludf.DUMMYFUNCTION("""COMPUTED_VALUE"""),4738.2)</f>
        <v>4738.2</v>
      </c>
      <c r="E1924" s="3">
        <f>IFERROR(__xludf.DUMMYFUNCTION("""COMPUTED_VALUE"""),4771.6)</f>
        <v>4771.6</v>
      </c>
      <c r="F1924" s="3">
        <f>IFERROR(__xludf.DUMMYFUNCTION("""COMPUTED_VALUE"""),0.0)</f>
        <v>0</v>
      </c>
    </row>
    <row r="1925">
      <c r="A1925" s="7">
        <f>IFERROR(__xludf.DUMMYFUNCTION("""COMPUTED_VALUE"""),39542.645833333336)</f>
        <v>39542.64583</v>
      </c>
      <c r="B1925" s="3">
        <f>IFERROR(__xludf.DUMMYFUNCTION("""COMPUTED_VALUE"""),4766.7)</f>
        <v>4766.7</v>
      </c>
      <c r="C1925" s="3">
        <f>IFERROR(__xludf.DUMMYFUNCTION("""COMPUTED_VALUE"""),4791.7)</f>
        <v>4791.7</v>
      </c>
      <c r="D1925" s="3">
        <f>IFERROR(__xludf.DUMMYFUNCTION("""COMPUTED_VALUE"""),4632.7)</f>
        <v>4632.7</v>
      </c>
      <c r="E1925" s="3">
        <f>IFERROR(__xludf.DUMMYFUNCTION("""COMPUTED_VALUE"""),4647.0)</f>
        <v>4647</v>
      </c>
      <c r="F1925" s="3">
        <f>IFERROR(__xludf.DUMMYFUNCTION("""COMPUTED_VALUE"""),0.0)</f>
        <v>0</v>
      </c>
    </row>
    <row r="1926">
      <c r="A1926" s="7">
        <f>IFERROR(__xludf.DUMMYFUNCTION("""COMPUTED_VALUE"""),39545.645833333336)</f>
        <v>39545.64583</v>
      </c>
      <c r="B1926" s="3">
        <f>IFERROR(__xludf.DUMMYFUNCTION("""COMPUTED_VALUE"""),4631.35)</f>
        <v>4631.35</v>
      </c>
      <c r="C1926" s="3">
        <f>IFERROR(__xludf.DUMMYFUNCTION("""COMPUTED_VALUE"""),4798.55)</f>
        <v>4798.55</v>
      </c>
      <c r="D1926" s="3">
        <f>IFERROR(__xludf.DUMMYFUNCTION("""COMPUTED_VALUE"""),4628.8)</f>
        <v>4628.8</v>
      </c>
      <c r="E1926" s="3">
        <f>IFERROR(__xludf.DUMMYFUNCTION("""COMPUTED_VALUE"""),4761.2)</f>
        <v>4761.2</v>
      </c>
      <c r="F1926" s="3">
        <f>IFERROR(__xludf.DUMMYFUNCTION("""COMPUTED_VALUE"""),0.0)</f>
        <v>0</v>
      </c>
    </row>
    <row r="1927">
      <c r="A1927" s="7">
        <f>IFERROR(__xludf.DUMMYFUNCTION("""COMPUTED_VALUE"""),39546.645833333336)</f>
        <v>39546.64583</v>
      </c>
      <c r="B1927" s="3">
        <f>IFERROR(__xludf.DUMMYFUNCTION("""COMPUTED_VALUE"""),4760.65)</f>
        <v>4760.65</v>
      </c>
      <c r="C1927" s="3">
        <f>IFERROR(__xludf.DUMMYFUNCTION("""COMPUTED_VALUE"""),4769.55)</f>
        <v>4769.55</v>
      </c>
      <c r="D1927" s="3">
        <f>IFERROR(__xludf.DUMMYFUNCTION("""COMPUTED_VALUE"""),4677.8)</f>
        <v>4677.8</v>
      </c>
      <c r="E1927" s="3">
        <f>IFERROR(__xludf.DUMMYFUNCTION("""COMPUTED_VALUE"""),4709.65)</f>
        <v>4709.65</v>
      </c>
      <c r="F1927" s="3">
        <f>IFERROR(__xludf.DUMMYFUNCTION("""COMPUTED_VALUE"""),0.0)</f>
        <v>0</v>
      </c>
    </row>
    <row r="1928">
      <c r="A1928" s="7">
        <f>IFERROR(__xludf.DUMMYFUNCTION("""COMPUTED_VALUE"""),39547.645833333336)</f>
        <v>39547.64583</v>
      </c>
      <c r="B1928" s="3">
        <f>IFERROR(__xludf.DUMMYFUNCTION("""COMPUTED_VALUE"""),4707.05)</f>
        <v>4707.05</v>
      </c>
      <c r="C1928" s="3">
        <f>IFERROR(__xludf.DUMMYFUNCTION("""COMPUTED_VALUE"""),4758.25)</f>
        <v>4758.25</v>
      </c>
      <c r="D1928" s="3">
        <f>IFERROR(__xludf.DUMMYFUNCTION("""COMPUTED_VALUE"""),4667.5)</f>
        <v>4667.5</v>
      </c>
      <c r="E1928" s="3">
        <f>IFERROR(__xludf.DUMMYFUNCTION("""COMPUTED_VALUE"""),4747.05)</f>
        <v>4747.05</v>
      </c>
      <c r="F1928" s="3">
        <f>IFERROR(__xludf.DUMMYFUNCTION("""COMPUTED_VALUE"""),0.0)</f>
        <v>0</v>
      </c>
    </row>
    <row r="1929">
      <c r="A1929" s="7">
        <f>IFERROR(__xludf.DUMMYFUNCTION("""COMPUTED_VALUE"""),39548.645833333336)</f>
        <v>39548.64583</v>
      </c>
      <c r="B1929" s="3">
        <f>IFERROR(__xludf.DUMMYFUNCTION("""COMPUTED_VALUE"""),4747.55)</f>
        <v>4747.55</v>
      </c>
      <c r="C1929" s="3">
        <f>IFERROR(__xludf.DUMMYFUNCTION("""COMPUTED_VALUE"""),4799.5)</f>
        <v>4799.5</v>
      </c>
      <c r="D1929" s="3">
        <f>IFERROR(__xludf.DUMMYFUNCTION("""COMPUTED_VALUE"""),4720.9)</f>
        <v>4720.9</v>
      </c>
      <c r="E1929" s="3">
        <f>IFERROR(__xludf.DUMMYFUNCTION("""COMPUTED_VALUE"""),4733.0)</f>
        <v>4733</v>
      </c>
      <c r="F1929" s="3">
        <f>IFERROR(__xludf.DUMMYFUNCTION("""COMPUTED_VALUE"""),0.0)</f>
        <v>0</v>
      </c>
    </row>
    <row r="1930">
      <c r="A1930" s="7">
        <f>IFERROR(__xludf.DUMMYFUNCTION("""COMPUTED_VALUE"""),39549.645833333336)</f>
        <v>39549.64583</v>
      </c>
      <c r="B1930" s="3">
        <f>IFERROR(__xludf.DUMMYFUNCTION("""COMPUTED_VALUE"""),4734.35)</f>
        <v>4734.35</v>
      </c>
      <c r="C1930" s="3">
        <f>IFERROR(__xludf.DUMMYFUNCTION("""COMPUTED_VALUE"""),4817.4)</f>
        <v>4817.4</v>
      </c>
      <c r="D1930" s="3">
        <f>IFERROR(__xludf.DUMMYFUNCTION("""COMPUTED_VALUE"""),4727.25)</f>
        <v>4727.25</v>
      </c>
      <c r="E1930" s="3">
        <f>IFERROR(__xludf.DUMMYFUNCTION("""COMPUTED_VALUE"""),4777.8)</f>
        <v>4777.8</v>
      </c>
      <c r="F1930" s="3">
        <f>IFERROR(__xludf.DUMMYFUNCTION("""COMPUTED_VALUE"""),0.0)</f>
        <v>0</v>
      </c>
    </row>
    <row r="1931">
      <c r="A1931" s="7">
        <f>IFERROR(__xludf.DUMMYFUNCTION("""COMPUTED_VALUE"""),39552.645833333336)</f>
        <v>39552.64583</v>
      </c>
      <c r="B1931" s="3">
        <f>IFERROR(__xludf.DUMMYFUNCTION("""COMPUTED_VALUE"""),4734.35)</f>
        <v>4734.35</v>
      </c>
      <c r="C1931" s="3">
        <f>IFERROR(__xludf.DUMMYFUNCTION("""COMPUTED_VALUE"""),4817.4)</f>
        <v>4817.4</v>
      </c>
      <c r="D1931" s="3">
        <f>IFERROR(__xludf.DUMMYFUNCTION("""COMPUTED_VALUE"""),4727.25)</f>
        <v>4727.25</v>
      </c>
      <c r="E1931" s="3">
        <f>IFERROR(__xludf.DUMMYFUNCTION("""COMPUTED_VALUE"""),4777.8)</f>
        <v>4777.8</v>
      </c>
      <c r="F1931" s="3">
        <f>IFERROR(__xludf.DUMMYFUNCTION("""COMPUTED_VALUE"""),0.0)</f>
        <v>0</v>
      </c>
    </row>
    <row r="1932">
      <c r="A1932" s="7">
        <f>IFERROR(__xludf.DUMMYFUNCTION("""COMPUTED_VALUE"""),39553.645833333336)</f>
        <v>39553.64583</v>
      </c>
      <c r="B1932" s="3">
        <f>IFERROR(__xludf.DUMMYFUNCTION("""COMPUTED_VALUE"""),4779.95)</f>
        <v>4779.95</v>
      </c>
      <c r="C1932" s="3">
        <f>IFERROR(__xludf.DUMMYFUNCTION("""COMPUTED_VALUE"""),4917.1)</f>
        <v>4917.1</v>
      </c>
      <c r="D1932" s="3">
        <f>IFERROR(__xludf.DUMMYFUNCTION("""COMPUTED_VALUE"""),4708.3)</f>
        <v>4708.3</v>
      </c>
      <c r="E1932" s="3">
        <f>IFERROR(__xludf.DUMMYFUNCTION("""COMPUTED_VALUE"""),4879.65)</f>
        <v>4879.65</v>
      </c>
      <c r="F1932" s="3">
        <f>IFERROR(__xludf.DUMMYFUNCTION("""COMPUTED_VALUE"""),0.0)</f>
        <v>0</v>
      </c>
    </row>
    <row r="1933">
      <c r="A1933" s="7">
        <f>IFERROR(__xludf.DUMMYFUNCTION("""COMPUTED_VALUE"""),39554.645833333336)</f>
        <v>39554.64583</v>
      </c>
      <c r="B1933" s="3">
        <f>IFERROR(__xludf.DUMMYFUNCTION("""COMPUTED_VALUE"""),4881.65)</f>
        <v>4881.65</v>
      </c>
      <c r="C1933" s="3">
        <f>IFERROR(__xludf.DUMMYFUNCTION("""COMPUTED_VALUE"""),4951.4)</f>
        <v>4951.4</v>
      </c>
      <c r="D1933" s="3">
        <f>IFERROR(__xludf.DUMMYFUNCTION("""COMPUTED_VALUE"""),4874.05)</f>
        <v>4874.05</v>
      </c>
      <c r="E1933" s="3">
        <f>IFERROR(__xludf.DUMMYFUNCTION("""COMPUTED_VALUE"""),4887.3)</f>
        <v>4887.3</v>
      </c>
      <c r="F1933" s="3">
        <f>IFERROR(__xludf.DUMMYFUNCTION("""COMPUTED_VALUE"""),0.0)</f>
        <v>0</v>
      </c>
    </row>
    <row r="1934">
      <c r="A1934" s="7">
        <f>IFERROR(__xludf.DUMMYFUNCTION("""COMPUTED_VALUE"""),39559.645833333336)</f>
        <v>39559.64583</v>
      </c>
      <c r="B1934" s="3">
        <f>IFERROR(__xludf.DUMMYFUNCTION("""COMPUTED_VALUE"""),4955.9)</f>
        <v>4955.9</v>
      </c>
      <c r="C1934" s="3">
        <f>IFERROR(__xludf.DUMMYFUNCTION("""COMPUTED_VALUE"""),5053.4)</f>
        <v>5053.4</v>
      </c>
      <c r="D1934" s="3">
        <f>IFERROR(__xludf.DUMMYFUNCTION("""COMPUTED_VALUE"""),4955.9)</f>
        <v>4955.9</v>
      </c>
      <c r="E1934" s="3">
        <f>IFERROR(__xludf.DUMMYFUNCTION("""COMPUTED_VALUE"""),5037.0)</f>
        <v>5037</v>
      </c>
      <c r="F1934" s="3">
        <f>IFERROR(__xludf.DUMMYFUNCTION("""COMPUTED_VALUE"""),0.0)</f>
        <v>0</v>
      </c>
    </row>
    <row r="1935">
      <c r="A1935" s="7">
        <f>IFERROR(__xludf.DUMMYFUNCTION("""COMPUTED_VALUE"""),39560.645833333336)</f>
        <v>39560.64583</v>
      </c>
      <c r="B1935" s="3">
        <f>IFERROR(__xludf.DUMMYFUNCTION("""COMPUTED_VALUE"""),5037.05)</f>
        <v>5037.05</v>
      </c>
      <c r="C1935" s="3">
        <f>IFERROR(__xludf.DUMMYFUNCTION("""COMPUTED_VALUE"""),5074.25)</f>
        <v>5074.25</v>
      </c>
      <c r="D1935" s="3">
        <f>IFERROR(__xludf.DUMMYFUNCTION("""COMPUTED_VALUE"""),4994.05)</f>
        <v>4994.05</v>
      </c>
      <c r="E1935" s="3">
        <f>IFERROR(__xludf.DUMMYFUNCTION("""COMPUTED_VALUE"""),5049.3)</f>
        <v>5049.3</v>
      </c>
      <c r="F1935" s="3">
        <f>IFERROR(__xludf.DUMMYFUNCTION("""COMPUTED_VALUE"""),0.0)</f>
        <v>0</v>
      </c>
    </row>
    <row r="1936">
      <c r="A1936" s="7">
        <f>IFERROR(__xludf.DUMMYFUNCTION("""COMPUTED_VALUE"""),39561.645833333336)</f>
        <v>39561.64583</v>
      </c>
      <c r="B1936" s="3">
        <f>IFERROR(__xludf.DUMMYFUNCTION("""COMPUTED_VALUE"""),5044.35)</f>
        <v>5044.35</v>
      </c>
      <c r="C1936" s="3">
        <f>IFERROR(__xludf.DUMMYFUNCTION("""COMPUTED_VALUE"""),5083.5)</f>
        <v>5083.5</v>
      </c>
      <c r="D1936" s="3">
        <f>IFERROR(__xludf.DUMMYFUNCTION("""COMPUTED_VALUE"""),5003.55)</f>
        <v>5003.55</v>
      </c>
      <c r="E1936" s="3">
        <f>IFERROR(__xludf.DUMMYFUNCTION("""COMPUTED_VALUE"""),5022.8)</f>
        <v>5022.8</v>
      </c>
      <c r="F1936" s="3">
        <f>IFERROR(__xludf.DUMMYFUNCTION("""COMPUTED_VALUE"""),0.0)</f>
        <v>0</v>
      </c>
    </row>
    <row r="1937">
      <c r="A1937" s="7">
        <f>IFERROR(__xludf.DUMMYFUNCTION("""COMPUTED_VALUE"""),39562.645833333336)</f>
        <v>39562.64583</v>
      </c>
      <c r="B1937" s="3">
        <f>IFERROR(__xludf.DUMMYFUNCTION("""COMPUTED_VALUE"""),5022.9)</f>
        <v>5022.9</v>
      </c>
      <c r="C1937" s="3">
        <f>IFERROR(__xludf.DUMMYFUNCTION("""COMPUTED_VALUE"""),5072.7)</f>
        <v>5072.7</v>
      </c>
      <c r="D1937" s="3">
        <f>IFERROR(__xludf.DUMMYFUNCTION("""COMPUTED_VALUE"""),4991.35)</f>
        <v>4991.35</v>
      </c>
      <c r="E1937" s="3">
        <f>IFERROR(__xludf.DUMMYFUNCTION("""COMPUTED_VALUE"""),4999.85)</f>
        <v>4999.85</v>
      </c>
      <c r="F1937" s="3">
        <f>IFERROR(__xludf.DUMMYFUNCTION("""COMPUTED_VALUE"""),0.0)</f>
        <v>0</v>
      </c>
    </row>
    <row r="1938">
      <c r="A1938" s="7">
        <f>IFERROR(__xludf.DUMMYFUNCTION("""COMPUTED_VALUE"""),39563.645833333336)</f>
        <v>39563.64583</v>
      </c>
      <c r="B1938" s="3">
        <f>IFERROR(__xludf.DUMMYFUNCTION("""COMPUTED_VALUE"""),4999.15)</f>
        <v>4999.15</v>
      </c>
      <c r="C1938" s="3">
        <f>IFERROR(__xludf.DUMMYFUNCTION("""COMPUTED_VALUE"""),5117.7)</f>
        <v>5117.7</v>
      </c>
      <c r="D1938" s="3">
        <f>IFERROR(__xludf.DUMMYFUNCTION("""COMPUTED_VALUE"""),4999.15)</f>
        <v>4999.15</v>
      </c>
      <c r="E1938" s="3">
        <f>IFERROR(__xludf.DUMMYFUNCTION("""COMPUTED_VALUE"""),5111.7)</f>
        <v>5111.7</v>
      </c>
      <c r="F1938" s="3">
        <f>IFERROR(__xludf.DUMMYFUNCTION("""COMPUTED_VALUE"""),0.0)</f>
        <v>0</v>
      </c>
    </row>
    <row r="1939">
      <c r="A1939" s="7">
        <f>IFERROR(__xludf.DUMMYFUNCTION("""COMPUTED_VALUE"""),39566.645833333336)</f>
        <v>39566.64583</v>
      </c>
      <c r="B1939" s="3">
        <f>IFERROR(__xludf.DUMMYFUNCTION("""COMPUTED_VALUE"""),5112.5)</f>
        <v>5112.5</v>
      </c>
      <c r="C1939" s="3">
        <f>IFERROR(__xludf.DUMMYFUNCTION("""COMPUTED_VALUE"""),5147.45)</f>
        <v>5147.45</v>
      </c>
      <c r="D1939" s="3">
        <f>IFERROR(__xludf.DUMMYFUNCTION("""COMPUTED_VALUE"""),5079.15)</f>
        <v>5079.15</v>
      </c>
      <c r="E1939" s="3">
        <f>IFERROR(__xludf.DUMMYFUNCTION("""COMPUTED_VALUE"""),5089.65)</f>
        <v>5089.65</v>
      </c>
      <c r="F1939" s="3">
        <f>IFERROR(__xludf.DUMMYFUNCTION("""COMPUTED_VALUE"""),0.0)</f>
        <v>0</v>
      </c>
    </row>
    <row r="1940">
      <c r="A1940" s="7">
        <f>IFERROR(__xludf.DUMMYFUNCTION("""COMPUTED_VALUE"""),39567.645833333336)</f>
        <v>39567.64583</v>
      </c>
      <c r="B1940" s="3">
        <f>IFERROR(__xludf.DUMMYFUNCTION("""COMPUTED_VALUE"""),5092.4)</f>
        <v>5092.4</v>
      </c>
      <c r="C1940" s="3">
        <f>IFERROR(__xludf.DUMMYFUNCTION("""COMPUTED_VALUE"""),5210.9)</f>
        <v>5210.9</v>
      </c>
      <c r="D1940" s="3">
        <f>IFERROR(__xludf.DUMMYFUNCTION("""COMPUTED_VALUE"""),5082.15)</f>
        <v>5082.15</v>
      </c>
      <c r="E1940" s="3">
        <f>IFERROR(__xludf.DUMMYFUNCTION("""COMPUTED_VALUE"""),5195.5)</f>
        <v>5195.5</v>
      </c>
      <c r="F1940" s="3">
        <f>IFERROR(__xludf.DUMMYFUNCTION("""COMPUTED_VALUE"""),0.0)</f>
        <v>0</v>
      </c>
    </row>
    <row r="1941">
      <c r="A1941" s="7">
        <f>IFERROR(__xludf.DUMMYFUNCTION("""COMPUTED_VALUE"""),39568.645833333336)</f>
        <v>39568.64583</v>
      </c>
      <c r="B1941" s="3">
        <f>IFERROR(__xludf.DUMMYFUNCTION("""COMPUTED_VALUE"""),5198.35)</f>
        <v>5198.35</v>
      </c>
      <c r="C1941" s="3">
        <f>IFERROR(__xludf.DUMMYFUNCTION("""COMPUTED_VALUE"""),5230.75)</f>
        <v>5230.75</v>
      </c>
      <c r="D1941" s="3">
        <f>IFERROR(__xludf.DUMMYFUNCTION("""COMPUTED_VALUE"""),5155.85)</f>
        <v>5155.85</v>
      </c>
      <c r="E1941" s="3">
        <f>IFERROR(__xludf.DUMMYFUNCTION("""COMPUTED_VALUE"""),5165.9)</f>
        <v>5165.9</v>
      </c>
      <c r="F1941" s="3">
        <f>IFERROR(__xludf.DUMMYFUNCTION("""COMPUTED_VALUE"""),0.0)</f>
        <v>0</v>
      </c>
    </row>
    <row r="1942">
      <c r="A1942" s="7">
        <f>IFERROR(__xludf.DUMMYFUNCTION("""COMPUTED_VALUE"""),39570.645833333336)</f>
        <v>39570.64583</v>
      </c>
      <c r="B1942" s="3">
        <f>IFERROR(__xludf.DUMMYFUNCTION("""COMPUTED_VALUE"""),5265.3)</f>
        <v>5265.3</v>
      </c>
      <c r="C1942" s="3">
        <f>IFERROR(__xludf.DUMMYFUNCTION("""COMPUTED_VALUE"""),5298.85)</f>
        <v>5298.85</v>
      </c>
      <c r="D1942" s="3">
        <f>IFERROR(__xludf.DUMMYFUNCTION("""COMPUTED_VALUE"""),5197.6)</f>
        <v>5197.6</v>
      </c>
      <c r="E1942" s="3">
        <f>IFERROR(__xludf.DUMMYFUNCTION("""COMPUTED_VALUE"""),5228.2)</f>
        <v>5228.2</v>
      </c>
      <c r="F1942" s="3">
        <f>IFERROR(__xludf.DUMMYFUNCTION("""COMPUTED_VALUE"""),0.0)</f>
        <v>0</v>
      </c>
    </row>
    <row r="1943">
      <c r="A1943" s="7">
        <f>IFERROR(__xludf.DUMMYFUNCTION("""COMPUTED_VALUE"""),39573.645833333336)</f>
        <v>39573.64583</v>
      </c>
      <c r="B1943" s="3">
        <f>IFERROR(__xludf.DUMMYFUNCTION("""COMPUTED_VALUE"""),5227.25)</f>
        <v>5227.25</v>
      </c>
      <c r="C1943" s="3">
        <f>IFERROR(__xludf.DUMMYFUNCTION("""COMPUTED_VALUE"""),5254.5)</f>
        <v>5254.5</v>
      </c>
      <c r="D1943" s="3">
        <f>IFERROR(__xludf.DUMMYFUNCTION("""COMPUTED_VALUE"""),5182.6)</f>
        <v>5182.6</v>
      </c>
      <c r="E1943" s="3">
        <f>IFERROR(__xludf.DUMMYFUNCTION("""COMPUTED_VALUE"""),5192.25)</f>
        <v>5192.25</v>
      </c>
      <c r="F1943" s="3">
        <f>IFERROR(__xludf.DUMMYFUNCTION("""COMPUTED_VALUE"""),0.0)</f>
        <v>0</v>
      </c>
    </row>
    <row r="1944">
      <c r="A1944" s="7">
        <f>IFERROR(__xludf.DUMMYFUNCTION("""COMPUTED_VALUE"""),39574.645833333336)</f>
        <v>39574.64583</v>
      </c>
      <c r="B1944" s="3">
        <f>IFERROR(__xludf.DUMMYFUNCTION("""COMPUTED_VALUE"""),5192.35)</f>
        <v>5192.35</v>
      </c>
      <c r="C1944" s="3">
        <f>IFERROR(__xludf.DUMMYFUNCTION("""COMPUTED_VALUE"""),5206.5)</f>
        <v>5206.5</v>
      </c>
      <c r="D1944" s="3">
        <f>IFERROR(__xludf.DUMMYFUNCTION("""COMPUTED_VALUE"""),5110.9)</f>
        <v>5110.9</v>
      </c>
      <c r="E1944" s="3">
        <f>IFERROR(__xludf.DUMMYFUNCTION("""COMPUTED_VALUE"""),5144.65)</f>
        <v>5144.65</v>
      </c>
      <c r="F1944" s="3">
        <f>IFERROR(__xludf.DUMMYFUNCTION("""COMPUTED_VALUE"""),0.0)</f>
        <v>0</v>
      </c>
    </row>
    <row r="1945">
      <c r="A1945" s="7">
        <f>IFERROR(__xludf.DUMMYFUNCTION("""COMPUTED_VALUE"""),39575.645833333336)</f>
        <v>39575.64583</v>
      </c>
      <c r="B1945" s="3">
        <f>IFERROR(__xludf.DUMMYFUNCTION("""COMPUTED_VALUE"""),5156.7)</f>
        <v>5156.7</v>
      </c>
      <c r="C1945" s="3">
        <f>IFERROR(__xludf.DUMMYFUNCTION("""COMPUTED_VALUE"""),5159.05)</f>
        <v>5159.05</v>
      </c>
      <c r="D1945" s="3">
        <f>IFERROR(__xludf.DUMMYFUNCTION("""COMPUTED_VALUE"""),5101.25)</f>
        <v>5101.25</v>
      </c>
      <c r="E1945" s="3">
        <f>IFERROR(__xludf.DUMMYFUNCTION("""COMPUTED_VALUE"""),5135.5)</f>
        <v>5135.5</v>
      </c>
      <c r="F1945" s="3">
        <f>IFERROR(__xludf.DUMMYFUNCTION("""COMPUTED_VALUE"""),0.0)</f>
        <v>0</v>
      </c>
    </row>
    <row r="1946">
      <c r="A1946" s="7">
        <f>IFERROR(__xludf.DUMMYFUNCTION("""COMPUTED_VALUE"""),39576.645833333336)</f>
        <v>39576.64583</v>
      </c>
      <c r="B1946" s="3">
        <f>IFERROR(__xludf.DUMMYFUNCTION("""COMPUTED_VALUE"""),5135.8)</f>
        <v>5135.8</v>
      </c>
      <c r="C1946" s="3">
        <f>IFERROR(__xludf.DUMMYFUNCTION("""COMPUTED_VALUE"""),5143.05)</f>
        <v>5143.05</v>
      </c>
      <c r="D1946" s="3">
        <f>IFERROR(__xludf.DUMMYFUNCTION("""COMPUTED_VALUE"""),5062.45)</f>
        <v>5062.45</v>
      </c>
      <c r="E1946" s="3">
        <f>IFERROR(__xludf.DUMMYFUNCTION("""COMPUTED_VALUE"""),5081.7)</f>
        <v>5081.7</v>
      </c>
      <c r="F1946" s="3">
        <f>IFERROR(__xludf.DUMMYFUNCTION("""COMPUTED_VALUE"""),0.0)</f>
        <v>0</v>
      </c>
    </row>
    <row r="1947">
      <c r="A1947" s="7">
        <f>IFERROR(__xludf.DUMMYFUNCTION("""COMPUTED_VALUE"""),39577.645833333336)</f>
        <v>39577.64583</v>
      </c>
      <c r="B1947" s="3">
        <f>IFERROR(__xludf.DUMMYFUNCTION("""COMPUTED_VALUE"""),5070.85)</f>
        <v>5070.85</v>
      </c>
      <c r="C1947" s="3">
        <f>IFERROR(__xludf.DUMMYFUNCTION("""COMPUTED_VALUE"""),5087.65)</f>
        <v>5087.65</v>
      </c>
      <c r="D1947" s="3">
        <f>IFERROR(__xludf.DUMMYFUNCTION("""COMPUTED_VALUE"""),4969.4)</f>
        <v>4969.4</v>
      </c>
      <c r="E1947" s="3">
        <f>IFERROR(__xludf.DUMMYFUNCTION("""COMPUTED_VALUE"""),4982.6)</f>
        <v>4982.6</v>
      </c>
      <c r="F1947" s="3">
        <f>IFERROR(__xludf.DUMMYFUNCTION("""COMPUTED_VALUE"""),0.0)</f>
        <v>0</v>
      </c>
    </row>
    <row r="1948">
      <c r="A1948" s="7">
        <f>IFERROR(__xludf.DUMMYFUNCTION("""COMPUTED_VALUE"""),39580.645833333336)</f>
        <v>39580.64583</v>
      </c>
      <c r="B1948" s="3">
        <f>IFERROR(__xludf.DUMMYFUNCTION("""COMPUTED_VALUE"""),4981.0)</f>
        <v>4981</v>
      </c>
      <c r="C1948" s="3">
        <f>IFERROR(__xludf.DUMMYFUNCTION("""COMPUTED_VALUE"""),5021.75)</f>
        <v>5021.75</v>
      </c>
      <c r="D1948" s="3">
        <f>IFERROR(__xludf.DUMMYFUNCTION("""COMPUTED_VALUE"""),4913.8)</f>
        <v>4913.8</v>
      </c>
      <c r="E1948" s="3">
        <f>IFERROR(__xludf.DUMMYFUNCTION("""COMPUTED_VALUE"""),5012.65)</f>
        <v>5012.65</v>
      </c>
      <c r="F1948" s="3">
        <f>IFERROR(__xludf.DUMMYFUNCTION("""COMPUTED_VALUE"""),0.0)</f>
        <v>0</v>
      </c>
    </row>
    <row r="1949">
      <c r="A1949" s="7">
        <f>IFERROR(__xludf.DUMMYFUNCTION("""COMPUTED_VALUE"""),39581.645833333336)</f>
        <v>39581.64583</v>
      </c>
      <c r="B1949" s="3">
        <f>IFERROR(__xludf.DUMMYFUNCTION("""COMPUTED_VALUE"""),5008.6)</f>
        <v>5008.6</v>
      </c>
      <c r="C1949" s="3">
        <f>IFERROR(__xludf.DUMMYFUNCTION("""COMPUTED_VALUE"""),5066.0)</f>
        <v>5066</v>
      </c>
      <c r="D1949" s="3">
        <f>IFERROR(__xludf.DUMMYFUNCTION("""COMPUTED_VALUE"""),4943.75)</f>
        <v>4943.75</v>
      </c>
      <c r="E1949" s="3">
        <f>IFERROR(__xludf.DUMMYFUNCTION("""COMPUTED_VALUE"""),4957.8)</f>
        <v>4957.8</v>
      </c>
      <c r="F1949" s="3">
        <f>IFERROR(__xludf.DUMMYFUNCTION("""COMPUTED_VALUE"""),0.0)</f>
        <v>0</v>
      </c>
    </row>
    <row r="1950">
      <c r="A1950" s="7">
        <f>IFERROR(__xludf.DUMMYFUNCTION("""COMPUTED_VALUE"""),39582.645833333336)</f>
        <v>39582.64583</v>
      </c>
      <c r="B1950" s="3">
        <f>IFERROR(__xludf.DUMMYFUNCTION("""COMPUTED_VALUE"""),4958.45)</f>
        <v>4958.45</v>
      </c>
      <c r="C1950" s="3">
        <f>IFERROR(__xludf.DUMMYFUNCTION("""COMPUTED_VALUE"""),5026.1)</f>
        <v>5026.1</v>
      </c>
      <c r="D1950" s="3">
        <f>IFERROR(__xludf.DUMMYFUNCTION("""COMPUTED_VALUE"""),4932.05)</f>
        <v>4932.05</v>
      </c>
      <c r="E1950" s="3">
        <f>IFERROR(__xludf.DUMMYFUNCTION("""COMPUTED_VALUE"""),5011.75)</f>
        <v>5011.75</v>
      </c>
      <c r="F1950" s="3">
        <f>IFERROR(__xludf.DUMMYFUNCTION("""COMPUTED_VALUE"""),0.0)</f>
        <v>0</v>
      </c>
    </row>
    <row r="1951">
      <c r="A1951" s="7">
        <f>IFERROR(__xludf.DUMMYFUNCTION("""COMPUTED_VALUE"""),39583.645833333336)</f>
        <v>39583.64583</v>
      </c>
      <c r="B1951" s="3">
        <f>IFERROR(__xludf.DUMMYFUNCTION("""COMPUTED_VALUE"""),5010.9)</f>
        <v>5010.9</v>
      </c>
      <c r="C1951" s="3">
        <f>IFERROR(__xludf.DUMMYFUNCTION("""COMPUTED_VALUE"""),5118.55)</f>
        <v>5118.55</v>
      </c>
      <c r="D1951" s="3">
        <f>IFERROR(__xludf.DUMMYFUNCTION("""COMPUTED_VALUE"""),4999.6)</f>
        <v>4999.6</v>
      </c>
      <c r="E1951" s="3">
        <f>IFERROR(__xludf.DUMMYFUNCTION("""COMPUTED_VALUE"""),5115.25)</f>
        <v>5115.25</v>
      </c>
      <c r="F1951" s="3">
        <f>IFERROR(__xludf.DUMMYFUNCTION("""COMPUTED_VALUE"""),0.0)</f>
        <v>0</v>
      </c>
    </row>
    <row r="1952">
      <c r="A1952" s="7">
        <f>IFERROR(__xludf.DUMMYFUNCTION("""COMPUTED_VALUE"""),39587.645833333336)</f>
        <v>39587.64583</v>
      </c>
      <c r="B1952" s="3">
        <f>IFERROR(__xludf.DUMMYFUNCTION("""COMPUTED_VALUE"""),5115.65)</f>
        <v>5115.65</v>
      </c>
      <c r="C1952" s="3">
        <f>IFERROR(__xludf.DUMMYFUNCTION("""COMPUTED_VALUE"""),5167.4)</f>
        <v>5167.4</v>
      </c>
      <c r="D1952" s="3">
        <f>IFERROR(__xludf.DUMMYFUNCTION("""COMPUTED_VALUE"""),5106.4)</f>
        <v>5106.4</v>
      </c>
      <c r="E1952" s="3">
        <f>IFERROR(__xludf.DUMMYFUNCTION("""COMPUTED_VALUE"""),5157.7)</f>
        <v>5157.7</v>
      </c>
      <c r="F1952" s="3">
        <f>IFERROR(__xludf.DUMMYFUNCTION("""COMPUTED_VALUE"""),0.0)</f>
        <v>0</v>
      </c>
    </row>
    <row r="1953">
      <c r="A1953" s="7">
        <f>IFERROR(__xludf.DUMMYFUNCTION("""COMPUTED_VALUE"""),39588.645833333336)</f>
        <v>39588.64583</v>
      </c>
      <c r="B1953" s="3">
        <f>IFERROR(__xludf.DUMMYFUNCTION("""COMPUTED_VALUE"""),5157.0)</f>
        <v>5157</v>
      </c>
      <c r="C1953" s="3">
        <f>IFERROR(__xludf.DUMMYFUNCTION("""COMPUTED_VALUE"""),5160.05)</f>
        <v>5160.05</v>
      </c>
      <c r="D1953" s="3">
        <f>IFERROR(__xludf.DUMMYFUNCTION("""COMPUTED_VALUE"""),5072.4)</f>
        <v>5072.4</v>
      </c>
      <c r="E1953" s="3">
        <f>IFERROR(__xludf.DUMMYFUNCTION("""COMPUTED_VALUE"""),5104.95)</f>
        <v>5104.95</v>
      </c>
      <c r="F1953" s="3">
        <f>IFERROR(__xludf.DUMMYFUNCTION("""COMPUTED_VALUE"""),0.0)</f>
        <v>0</v>
      </c>
    </row>
    <row r="1954">
      <c r="A1954" s="7">
        <f>IFERROR(__xludf.DUMMYFUNCTION("""COMPUTED_VALUE"""),39589.645833333336)</f>
        <v>39589.64583</v>
      </c>
      <c r="B1954" s="3">
        <f>IFERROR(__xludf.DUMMYFUNCTION("""COMPUTED_VALUE"""),5105.7)</f>
        <v>5105.7</v>
      </c>
      <c r="C1954" s="3">
        <f>IFERROR(__xludf.DUMMYFUNCTION("""COMPUTED_VALUE"""),5135.55)</f>
        <v>5135.55</v>
      </c>
      <c r="D1954" s="3">
        <f>IFERROR(__xludf.DUMMYFUNCTION("""COMPUTED_VALUE"""),5048.7)</f>
        <v>5048.7</v>
      </c>
      <c r="E1954" s="3">
        <f>IFERROR(__xludf.DUMMYFUNCTION("""COMPUTED_VALUE"""),5117.65)</f>
        <v>5117.65</v>
      </c>
      <c r="F1954" s="3">
        <f>IFERROR(__xludf.DUMMYFUNCTION("""COMPUTED_VALUE"""),0.0)</f>
        <v>0</v>
      </c>
    </row>
    <row r="1955">
      <c r="A1955" s="7">
        <f>IFERROR(__xludf.DUMMYFUNCTION("""COMPUTED_VALUE"""),39590.645833333336)</f>
        <v>39590.64583</v>
      </c>
      <c r="B1955" s="3">
        <f>IFERROR(__xludf.DUMMYFUNCTION("""COMPUTED_VALUE"""),5117.0)</f>
        <v>5117</v>
      </c>
      <c r="C1955" s="3">
        <f>IFERROR(__xludf.DUMMYFUNCTION("""COMPUTED_VALUE"""),5118.9)</f>
        <v>5118.9</v>
      </c>
      <c r="D1955" s="3">
        <f>IFERROR(__xludf.DUMMYFUNCTION("""COMPUTED_VALUE"""),5010.7)</f>
        <v>5010.7</v>
      </c>
      <c r="E1955" s="3">
        <f>IFERROR(__xludf.DUMMYFUNCTION("""COMPUTED_VALUE"""),5025.45)</f>
        <v>5025.45</v>
      </c>
      <c r="F1955" s="3">
        <f>IFERROR(__xludf.DUMMYFUNCTION("""COMPUTED_VALUE"""),0.0)</f>
        <v>0</v>
      </c>
    </row>
    <row r="1956">
      <c r="A1956" s="7">
        <f>IFERROR(__xludf.DUMMYFUNCTION("""COMPUTED_VALUE"""),39591.645833333336)</f>
        <v>39591.64583</v>
      </c>
      <c r="B1956" s="3">
        <f>IFERROR(__xludf.DUMMYFUNCTION("""COMPUTED_VALUE"""),5026.55)</f>
        <v>5026.55</v>
      </c>
      <c r="C1956" s="3">
        <f>IFERROR(__xludf.DUMMYFUNCTION("""COMPUTED_VALUE"""),5059.05)</f>
        <v>5059.05</v>
      </c>
      <c r="D1956" s="3">
        <f>IFERROR(__xludf.DUMMYFUNCTION("""COMPUTED_VALUE"""),4940.7)</f>
        <v>4940.7</v>
      </c>
      <c r="E1956" s="3">
        <f>IFERROR(__xludf.DUMMYFUNCTION("""COMPUTED_VALUE"""),4946.55)</f>
        <v>4946.55</v>
      </c>
      <c r="F1956" s="3">
        <f>IFERROR(__xludf.DUMMYFUNCTION("""COMPUTED_VALUE"""),0.0)</f>
        <v>0</v>
      </c>
    </row>
    <row r="1957">
      <c r="A1957" s="7">
        <f>IFERROR(__xludf.DUMMYFUNCTION("""COMPUTED_VALUE"""),39594.645833333336)</f>
        <v>39594.64583</v>
      </c>
      <c r="B1957" s="3">
        <f>IFERROR(__xludf.DUMMYFUNCTION("""COMPUTED_VALUE"""),4953.6)</f>
        <v>4953.6</v>
      </c>
      <c r="C1957" s="3">
        <f>IFERROR(__xludf.DUMMYFUNCTION("""COMPUTED_VALUE"""),4953.6)</f>
        <v>4953.6</v>
      </c>
      <c r="D1957" s="3">
        <f>IFERROR(__xludf.DUMMYFUNCTION("""COMPUTED_VALUE"""),4858.0)</f>
        <v>4858</v>
      </c>
      <c r="E1957" s="3">
        <f>IFERROR(__xludf.DUMMYFUNCTION("""COMPUTED_VALUE"""),4875.05)</f>
        <v>4875.05</v>
      </c>
      <c r="F1957" s="3">
        <f>IFERROR(__xludf.DUMMYFUNCTION("""COMPUTED_VALUE"""),0.0)</f>
        <v>0</v>
      </c>
    </row>
    <row r="1958">
      <c r="A1958" s="7">
        <f>IFERROR(__xludf.DUMMYFUNCTION("""COMPUTED_VALUE"""),39595.645833333336)</f>
        <v>39595.64583</v>
      </c>
      <c r="B1958" s="3">
        <f>IFERROR(__xludf.DUMMYFUNCTION("""COMPUTED_VALUE"""),4877.15)</f>
        <v>4877.15</v>
      </c>
      <c r="C1958" s="3">
        <f>IFERROR(__xludf.DUMMYFUNCTION("""COMPUTED_VALUE"""),4932.0)</f>
        <v>4932</v>
      </c>
      <c r="D1958" s="3">
        <f>IFERROR(__xludf.DUMMYFUNCTION("""COMPUTED_VALUE"""),4846.2)</f>
        <v>4846.2</v>
      </c>
      <c r="E1958" s="3">
        <f>IFERROR(__xludf.DUMMYFUNCTION("""COMPUTED_VALUE"""),4859.8)</f>
        <v>4859.8</v>
      </c>
      <c r="F1958" s="3">
        <f>IFERROR(__xludf.DUMMYFUNCTION("""COMPUTED_VALUE"""),0.0)</f>
        <v>0</v>
      </c>
    </row>
    <row r="1959">
      <c r="A1959" s="7">
        <f>IFERROR(__xludf.DUMMYFUNCTION("""COMPUTED_VALUE"""),39596.645833333336)</f>
        <v>39596.64583</v>
      </c>
      <c r="B1959" s="3">
        <f>IFERROR(__xludf.DUMMYFUNCTION("""COMPUTED_VALUE"""),4862.7)</f>
        <v>4862.7</v>
      </c>
      <c r="C1959" s="3">
        <f>IFERROR(__xludf.DUMMYFUNCTION("""COMPUTED_VALUE"""),4926.9)</f>
        <v>4926.9</v>
      </c>
      <c r="D1959" s="3">
        <f>IFERROR(__xludf.DUMMYFUNCTION("""COMPUTED_VALUE"""),4835.65)</f>
        <v>4835.65</v>
      </c>
      <c r="E1959" s="3">
        <f>IFERROR(__xludf.DUMMYFUNCTION("""COMPUTED_VALUE"""),4918.35)</f>
        <v>4918.35</v>
      </c>
      <c r="F1959" s="3">
        <f>IFERROR(__xludf.DUMMYFUNCTION("""COMPUTED_VALUE"""),0.0)</f>
        <v>0</v>
      </c>
    </row>
    <row r="1960">
      <c r="A1960" s="7">
        <f>IFERROR(__xludf.DUMMYFUNCTION("""COMPUTED_VALUE"""),39597.645833333336)</f>
        <v>39597.64583</v>
      </c>
      <c r="B1960" s="3">
        <f>IFERROR(__xludf.DUMMYFUNCTION("""COMPUTED_VALUE"""),4926.3)</f>
        <v>4926.3</v>
      </c>
      <c r="C1960" s="3">
        <f>IFERROR(__xludf.DUMMYFUNCTION("""COMPUTED_VALUE"""),4957.4)</f>
        <v>4957.4</v>
      </c>
      <c r="D1960" s="3">
        <f>IFERROR(__xludf.DUMMYFUNCTION("""COMPUTED_VALUE"""),4801.9)</f>
        <v>4801.9</v>
      </c>
      <c r="E1960" s="3">
        <f>IFERROR(__xludf.DUMMYFUNCTION("""COMPUTED_VALUE"""),4835.3)</f>
        <v>4835.3</v>
      </c>
      <c r="F1960" s="3">
        <f>IFERROR(__xludf.DUMMYFUNCTION("""COMPUTED_VALUE"""),0.0)</f>
        <v>0</v>
      </c>
    </row>
    <row r="1961">
      <c r="A1961" s="7">
        <f>IFERROR(__xludf.DUMMYFUNCTION("""COMPUTED_VALUE"""),39601.645833333336)</f>
        <v>39601.64583</v>
      </c>
      <c r="B1961" s="3">
        <f>IFERROR(__xludf.DUMMYFUNCTION("""COMPUTED_VALUE"""),4869.25)</f>
        <v>4869.25</v>
      </c>
      <c r="C1961" s="3">
        <f>IFERROR(__xludf.DUMMYFUNCTION("""COMPUTED_VALUE"""),4908.8)</f>
        <v>4908.8</v>
      </c>
      <c r="D1961" s="3">
        <f>IFERROR(__xludf.DUMMYFUNCTION("""COMPUTED_VALUE"""),4713.0)</f>
        <v>4713</v>
      </c>
      <c r="E1961" s="3">
        <f>IFERROR(__xludf.DUMMYFUNCTION("""COMPUTED_VALUE"""),4739.6)</f>
        <v>4739.6</v>
      </c>
      <c r="F1961" s="3">
        <f>IFERROR(__xludf.DUMMYFUNCTION("""COMPUTED_VALUE"""),0.0)</f>
        <v>0</v>
      </c>
    </row>
    <row r="1962">
      <c r="A1962" s="7">
        <f>IFERROR(__xludf.DUMMYFUNCTION("""COMPUTED_VALUE"""),39602.645833333336)</f>
        <v>39602.64583</v>
      </c>
      <c r="B1962" s="3">
        <f>IFERROR(__xludf.DUMMYFUNCTION("""COMPUTED_VALUE"""),4739.3)</f>
        <v>4739.3</v>
      </c>
      <c r="C1962" s="3">
        <f>IFERROR(__xludf.DUMMYFUNCTION("""COMPUTED_VALUE"""),4739.3)</f>
        <v>4739.3</v>
      </c>
      <c r="D1962" s="3">
        <f>IFERROR(__xludf.DUMMYFUNCTION("""COMPUTED_VALUE"""),4634.0)</f>
        <v>4634</v>
      </c>
      <c r="E1962" s="3">
        <f>IFERROR(__xludf.DUMMYFUNCTION("""COMPUTED_VALUE"""),4715.9)</f>
        <v>4715.9</v>
      </c>
      <c r="F1962" s="3">
        <f>IFERROR(__xludf.DUMMYFUNCTION("""COMPUTED_VALUE"""),0.0)</f>
        <v>0</v>
      </c>
    </row>
    <row r="1963">
      <c r="A1963" s="7">
        <f>IFERROR(__xludf.DUMMYFUNCTION("""COMPUTED_VALUE"""),39603.645833333336)</f>
        <v>39603.64583</v>
      </c>
      <c r="B1963" s="3">
        <f>IFERROR(__xludf.DUMMYFUNCTION("""COMPUTED_VALUE"""),4718.7)</f>
        <v>4718.7</v>
      </c>
      <c r="C1963" s="3">
        <f>IFERROR(__xludf.DUMMYFUNCTION("""COMPUTED_VALUE"""),4731.5)</f>
        <v>4731.5</v>
      </c>
      <c r="D1963" s="3">
        <f>IFERROR(__xludf.DUMMYFUNCTION("""COMPUTED_VALUE"""),4564.5)</f>
        <v>4564.5</v>
      </c>
      <c r="E1963" s="3">
        <f>IFERROR(__xludf.DUMMYFUNCTION("""COMPUTED_VALUE"""),4585.6)</f>
        <v>4585.6</v>
      </c>
      <c r="F1963" s="3">
        <f>IFERROR(__xludf.DUMMYFUNCTION("""COMPUTED_VALUE"""),0.0)</f>
        <v>0</v>
      </c>
    </row>
    <row r="1964">
      <c r="A1964" s="7">
        <f>IFERROR(__xludf.DUMMYFUNCTION("""COMPUTED_VALUE"""),39604.645833333336)</f>
        <v>39604.64583</v>
      </c>
      <c r="B1964" s="3">
        <f>IFERROR(__xludf.DUMMYFUNCTION("""COMPUTED_VALUE"""),4586.95)</f>
        <v>4586.95</v>
      </c>
      <c r="C1964" s="3">
        <f>IFERROR(__xludf.DUMMYFUNCTION("""COMPUTED_VALUE"""),4690.6)</f>
        <v>4690.6</v>
      </c>
      <c r="D1964" s="3">
        <f>IFERROR(__xludf.DUMMYFUNCTION("""COMPUTED_VALUE"""),4536.25)</f>
        <v>4536.25</v>
      </c>
      <c r="E1964" s="3">
        <f>IFERROR(__xludf.DUMMYFUNCTION("""COMPUTED_VALUE"""),4676.95)</f>
        <v>4676.95</v>
      </c>
      <c r="F1964" s="3">
        <f>IFERROR(__xludf.DUMMYFUNCTION("""COMPUTED_VALUE"""),0.0)</f>
        <v>0</v>
      </c>
    </row>
    <row r="1965">
      <c r="A1965" s="7">
        <f>IFERROR(__xludf.DUMMYFUNCTION("""COMPUTED_VALUE"""),39605.645833333336)</f>
        <v>39605.64583</v>
      </c>
      <c r="B1965" s="3">
        <f>IFERROR(__xludf.DUMMYFUNCTION("""COMPUTED_VALUE"""),4680.55)</f>
        <v>4680.55</v>
      </c>
      <c r="C1965" s="3">
        <f>IFERROR(__xludf.DUMMYFUNCTION("""COMPUTED_VALUE"""),4746.3)</f>
        <v>4746.3</v>
      </c>
      <c r="D1965" s="3">
        <f>IFERROR(__xludf.DUMMYFUNCTION("""COMPUTED_VALUE"""),4614.25)</f>
        <v>4614.25</v>
      </c>
      <c r="E1965" s="3">
        <f>IFERROR(__xludf.DUMMYFUNCTION("""COMPUTED_VALUE"""),4627.8)</f>
        <v>4627.8</v>
      </c>
      <c r="F1965" s="3">
        <f>IFERROR(__xludf.DUMMYFUNCTION("""COMPUTED_VALUE"""),0.0)</f>
        <v>0</v>
      </c>
    </row>
    <row r="1966">
      <c r="A1966" s="7">
        <f>IFERROR(__xludf.DUMMYFUNCTION("""COMPUTED_VALUE"""),39608.645833333336)</f>
        <v>39608.64583</v>
      </c>
      <c r="B1966" s="3">
        <f>IFERROR(__xludf.DUMMYFUNCTION("""COMPUTED_VALUE"""),4626.45)</f>
        <v>4626.45</v>
      </c>
      <c r="C1966" s="3">
        <f>IFERROR(__xludf.DUMMYFUNCTION("""COMPUTED_VALUE"""),4626.45)</f>
        <v>4626.45</v>
      </c>
      <c r="D1966" s="3">
        <f>IFERROR(__xludf.DUMMYFUNCTION("""COMPUTED_VALUE"""),4411.6)</f>
        <v>4411.6</v>
      </c>
      <c r="E1966" s="3">
        <f>IFERROR(__xludf.DUMMYFUNCTION("""COMPUTED_VALUE"""),4500.95)</f>
        <v>4500.95</v>
      </c>
      <c r="F1966" s="3">
        <f>IFERROR(__xludf.DUMMYFUNCTION("""COMPUTED_VALUE"""),0.0)</f>
        <v>0</v>
      </c>
    </row>
    <row r="1967">
      <c r="A1967" s="7">
        <f>IFERROR(__xludf.DUMMYFUNCTION("""COMPUTED_VALUE"""),39609.645833333336)</f>
        <v>39609.64583</v>
      </c>
      <c r="B1967" s="3">
        <f>IFERROR(__xludf.DUMMYFUNCTION("""COMPUTED_VALUE"""),4522.0)</f>
        <v>4522</v>
      </c>
      <c r="C1967" s="3">
        <f>IFERROR(__xludf.DUMMYFUNCTION("""COMPUTED_VALUE"""),4522.55)</f>
        <v>4522.55</v>
      </c>
      <c r="D1967" s="3">
        <f>IFERROR(__xludf.DUMMYFUNCTION("""COMPUTED_VALUE"""),4369.8)</f>
        <v>4369.8</v>
      </c>
      <c r="E1967" s="3">
        <f>IFERROR(__xludf.DUMMYFUNCTION("""COMPUTED_VALUE"""),4449.8)</f>
        <v>4449.8</v>
      </c>
      <c r="F1967" s="3">
        <f>IFERROR(__xludf.DUMMYFUNCTION("""COMPUTED_VALUE"""),0.0)</f>
        <v>0</v>
      </c>
    </row>
    <row r="1968">
      <c r="A1968" s="7">
        <f>IFERROR(__xludf.DUMMYFUNCTION("""COMPUTED_VALUE"""),39610.645833333336)</f>
        <v>39610.64583</v>
      </c>
      <c r="B1968" s="3">
        <f>IFERROR(__xludf.DUMMYFUNCTION("""COMPUTED_VALUE"""),4469.65)</f>
        <v>4469.65</v>
      </c>
      <c r="C1968" s="3">
        <f>IFERROR(__xludf.DUMMYFUNCTION("""COMPUTED_VALUE"""),4541.05)</f>
        <v>4541.05</v>
      </c>
      <c r="D1968" s="3">
        <f>IFERROR(__xludf.DUMMYFUNCTION("""COMPUTED_VALUE"""),4468.05)</f>
        <v>4468.05</v>
      </c>
      <c r="E1968" s="3">
        <f>IFERROR(__xludf.DUMMYFUNCTION("""COMPUTED_VALUE"""),4523.6)</f>
        <v>4523.6</v>
      </c>
      <c r="F1968" s="3">
        <f>IFERROR(__xludf.DUMMYFUNCTION("""COMPUTED_VALUE"""),0.0)</f>
        <v>0</v>
      </c>
    </row>
    <row r="1969">
      <c r="A1969" s="7">
        <f>IFERROR(__xludf.DUMMYFUNCTION("""COMPUTED_VALUE"""),39611.645833333336)</f>
        <v>39611.64583</v>
      </c>
      <c r="B1969" s="3">
        <f>IFERROR(__xludf.DUMMYFUNCTION("""COMPUTED_VALUE"""),4524.4)</f>
        <v>4524.4</v>
      </c>
      <c r="C1969" s="3">
        <f>IFERROR(__xludf.DUMMYFUNCTION("""COMPUTED_VALUE"""),4550.0)</f>
        <v>4550</v>
      </c>
      <c r="D1969" s="3">
        <f>IFERROR(__xludf.DUMMYFUNCTION("""COMPUTED_VALUE"""),4392.0)</f>
        <v>4392</v>
      </c>
      <c r="E1969" s="3">
        <f>IFERROR(__xludf.DUMMYFUNCTION("""COMPUTED_VALUE"""),4539.35)</f>
        <v>4539.35</v>
      </c>
      <c r="F1969" s="3">
        <f>IFERROR(__xludf.DUMMYFUNCTION("""COMPUTED_VALUE"""),0.0)</f>
        <v>0</v>
      </c>
    </row>
    <row r="1970">
      <c r="A1970" s="7">
        <f>IFERROR(__xludf.DUMMYFUNCTION("""COMPUTED_VALUE"""),39615.645833333336)</f>
        <v>39615.64583</v>
      </c>
      <c r="B1970" s="3">
        <f>IFERROR(__xludf.DUMMYFUNCTION("""COMPUTED_VALUE"""),4536.3)</f>
        <v>4536.3</v>
      </c>
      <c r="C1970" s="3">
        <f>IFERROR(__xludf.DUMMYFUNCTION("""COMPUTED_VALUE"""),4617.7)</f>
        <v>4617.7</v>
      </c>
      <c r="D1970" s="3">
        <f>IFERROR(__xludf.DUMMYFUNCTION("""COMPUTED_VALUE"""),4536.3)</f>
        <v>4536.3</v>
      </c>
      <c r="E1970" s="3">
        <f>IFERROR(__xludf.DUMMYFUNCTION("""COMPUTED_VALUE"""),4572.5)</f>
        <v>4572.5</v>
      </c>
      <c r="F1970" s="3">
        <f>IFERROR(__xludf.DUMMYFUNCTION("""COMPUTED_VALUE"""),0.0)</f>
        <v>0</v>
      </c>
    </row>
    <row r="1971">
      <c r="A1971" s="7">
        <f>IFERROR(__xludf.DUMMYFUNCTION("""COMPUTED_VALUE"""),39616.645833333336)</f>
        <v>39616.64583</v>
      </c>
      <c r="B1971" s="3">
        <f>IFERROR(__xludf.DUMMYFUNCTION("""COMPUTED_VALUE"""),4572.5)</f>
        <v>4572.5</v>
      </c>
      <c r="C1971" s="3">
        <f>IFERROR(__xludf.DUMMYFUNCTION("""COMPUTED_VALUE"""),4664.05)</f>
        <v>4664.05</v>
      </c>
      <c r="D1971" s="3">
        <f>IFERROR(__xludf.DUMMYFUNCTION("""COMPUTED_VALUE"""),4561.75)</f>
        <v>4561.75</v>
      </c>
      <c r="E1971" s="3">
        <f>IFERROR(__xludf.DUMMYFUNCTION("""COMPUTED_VALUE"""),4653.0)</f>
        <v>4653</v>
      </c>
      <c r="F1971" s="3">
        <f>IFERROR(__xludf.DUMMYFUNCTION("""COMPUTED_VALUE"""),0.0)</f>
        <v>0</v>
      </c>
    </row>
    <row r="1972">
      <c r="A1972" s="7">
        <f>IFERROR(__xludf.DUMMYFUNCTION("""COMPUTED_VALUE"""),39617.645833333336)</f>
        <v>39617.64583</v>
      </c>
      <c r="B1972" s="3">
        <f>IFERROR(__xludf.DUMMYFUNCTION("""COMPUTED_VALUE"""),4652.8)</f>
        <v>4652.8</v>
      </c>
      <c r="C1972" s="3">
        <f>IFERROR(__xludf.DUMMYFUNCTION("""COMPUTED_VALUE"""),4679.75)</f>
        <v>4679.75</v>
      </c>
      <c r="D1972" s="3">
        <f>IFERROR(__xludf.DUMMYFUNCTION("""COMPUTED_VALUE"""),4569.9)</f>
        <v>4569.9</v>
      </c>
      <c r="E1972" s="3">
        <f>IFERROR(__xludf.DUMMYFUNCTION("""COMPUTED_VALUE"""),4582.4)</f>
        <v>4582.4</v>
      </c>
      <c r="F1972" s="3">
        <f>IFERROR(__xludf.DUMMYFUNCTION("""COMPUTED_VALUE"""),0.0)</f>
        <v>0</v>
      </c>
    </row>
    <row r="1973">
      <c r="A1973" s="7">
        <f>IFERROR(__xludf.DUMMYFUNCTION("""COMPUTED_VALUE"""),39618.645833333336)</f>
        <v>39618.64583</v>
      </c>
      <c r="B1973" s="3">
        <f>IFERROR(__xludf.DUMMYFUNCTION("""COMPUTED_VALUE"""),4582.55)</f>
        <v>4582.55</v>
      </c>
      <c r="C1973" s="3">
        <f>IFERROR(__xludf.DUMMYFUNCTION("""COMPUTED_VALUE"""),4585.7)</f>
        <v>4585.7</v>
      </c>
      <c r="D1973" s="3">
        <f>IFERROR(__xludf.DUMMYFUNCTION("""COMPUTED_VALUE"""),4488.95)</f>
        <v>4488.95</v>
      </c>
      <c r="E1973" s="3">
        <f>IFERROR(__xludf.DUMMYFUNCTION("""COMPUTED_VALUE"""),4504.25)</f>
        <v>4504.25</v>
      </c>
      <c r="F1973" s="3">
        <f>IFERROR(__xludf.DUMMYFUNCTION("""COMPUTED_VALUE"""),0.0)</f>
        <v>0</v>
      </c>
    </row>
    <row r="1974">
      <c r="A1974" s="7">
        <f>IFERROR(__xludf.DUMMYFUNCTION("""COMPUTED_VALUE"""),39622.645833333336)</f>
        <v>39622.64583</v>
      </c>
      <c r="B1974" s="3">
        <f>IFERROR(__xludf.DUMMYFUNCTION("""COMPUTED_VALUE"""),4351.15)</f>
        <v>4351.15</v>
      </c>
      <c r="C1974" s="3">
        <f>IFERROR(__xludf.DUMMYFUNCTION("""COMPUTED_VALUE"""),4351.15)</f>
        <v>4351.15</v>
      </c>
      <c r="D1974" s="3">
        <f>IFERROR(__xludf.DUMMYFUNCTION("""COMPUTED_VALUE"""),4225.5)</f>
        <v>4225.5</v>
      </c>
      <c r="E1974" s="3">
        <f>IFERROR(__xludf.DUMMYFUNCTION("""COMPUTED_VALUE"""),4266.4)</f>
        <v>4266.4</v>
      </c>
      <c r="F1974" s="3">
        <f>IFERROR(__xludf.DUMMYFUNCTION("""COMPUTED_VALUE"""),0.0)</f>
        <v>0</v>
      </c>
    </row>
    <row r="1975">
      <c r="A1975" s="7">
        <f>IFERROR(__xludf.DUMMYFUNCTION("""COMPUTED_VALUE"""),39623.645833333336)</f>
        <v>39623.64583</v>
      </c>
      <c r="B1975" s="3">
        <f>IFERROR(__xludf.DUMMYFUNCTION("""COMPUTED_VALUE"""),4271.05)</f>
        <v>4271.05</v>
      </c>
      <c r="C1975" s="3">
        <f>IFERROR(__xludf.DUMMYFUNCTION("""COMPUTED_VALUE"""),4305.9)</f>
        <v>4305.9</v>
      </c>
      <c r="D1975" s="3">
        <f>IFERROR(__xludf.DUMMYFUNCTION("""COMPUTED_VALUE"""),4156.1)</f>
        <v>4156.1</v>
      </c>
      <c r="E1975" s="3">
        <f>IFERROR(__xludf.DUMMYFUNCTION("""COMPUTED_VALUE"""),4191.1)</f>
        <v>4191.1</v>
      </c>
      <c r="F1975" s="3">
        <f>IFERROR(__xludf.DUMMYFUNCTION("""COMPUTED_VALUE"""),0.0)</f>
        <v>0</v>
      </c>
    </row>
    <row r="1976">
      <c r="A1976" s="7">
        <f>IFERROR(__xludf.DUMMYFUNCTION("""COMPUTED_VALUE"""),39624.645833333336)</f>
        <v>39624.64583</v>
      </c>
      <c r="B1976" s="3">
        <f>IFERROR(__xludf.DUMMYFUNCTION("""COMPUTED_VALUE"""),4189.6)</f>
        <v>4189.6</v>
      </c>
      <c r="C1976" s="3">
        <f>IFERROR(__xludf.DUMMYFUNCTION("""COMPUTED_VALUE"""),4264.55)</f>
        <v>4264.55</v>
      </c>
      <c r="D1976" s="3">
        <f>IFERROR(__xludf.DUMMYFUNCTION("""COMPUTED_VALUE"""),4093.2)</f>
        <v>4093.2</v>
      </c>
      <c r="E1976" s="3">
        <f>IFERROR(__xludf.DUMMYFUNCTION("""COMPUTED_VALUE"""),4252.65)</f>
        <v>4252.65</v>
      </c>
      <c r="F1976" s="3">
        <f>IFERROR(__xludf.DUMMYFUNCTION("""COMPUTED_VALUE"""),0.0)</f>
        <v>0</v>
      </c>
    </row>
    <row r="1977">
      <c r="A1977" s="7">
        <f>IFERROR(__xludf.DUMMYFUNCTION("""COMPUTED_VALUE"""),39625.645833333336)</f>
        <v>39625.64583</v>
      </c>
      <c r="B1977" s="3">
        <f>IFERROR(__xludf.DUMMYFUNCTION("""COMPUTED_VALUE"""),4252.6)</f>
        <v>4252.6</v>
      </c>
      <c r="C1977" s="3">
        <f>IFERROR(__xludf.DUMMYFUNCTION("""COMPUTED_VALUE"""),4324.75)</f>
        <v>4324.75</v>
      </c>
      <c r="D1977" s="3">
        <f>IFERROR(__xludf.DUMMYFUNCTION("""COMPUTED_VALUE"""),4230.0)</f>
        <v>4230</v>
      </c>
      <c r="E1977" s="3">
        <f>IFERROR(__xludf.DUMMYFUNCTION("""COMPUTED_VALUE"""),4315.85)</f>
        <v>4315.85</v>
      </c>
      <c r="F1977" s="3">
        <f>IFERROR(__xludf.DUMMYFUNCTION("""COMPUTED_VALUE"""),0.0)</f>
        <v>0</v>
      </c>
    </row>
    <row r="1978">
      <c r="A1978" s="7">
        <f>IFERROR(__xludf.DUMMYFUNCTION("""COMPUTED_VALUE"""),39629.645833333336)</f>
        <v>39629.64583</v>
      </c>
      <c r="B1978" s="3">
        <f>IFERROR(__xludf.DUMMYFUNCTION("""COMPUTED_VALUE"""),4136.25)</f>
        <v>4136.25</v>
      </c>
      <c r="C1978" s="3">
        <f>IFERROR(__xludf.DUMMYFUNCTION("""COMPUTED_VALUE"""),4163.0)</f>
        <v>4163</v>
      </c>
      <c r="D1978" s="3">
        <f>IFERROR(__xludf.DUMMYFUNCTION("""COMPUTED_VALUE"""),4021.7)</f>
        <v>4021.7</v>
      </c>
      <c r="E1978" s="3">
        <f>IFERROR(__xludf.DUMMYFUNCTION("""COMPUTED_VALUE"""),4040.55)</f>
        <v>4040.55</v>
      </c>
      <c r="F1978" s="3">
        <f>IFERROR(__xludf.DUMMYFUNCTION("""COMPUTED_VALUE"""),0.0)</f>
        <v>0</v>
      </c>
    </row>
    <row r="1979">
      <c r="A1979" s="7">
        <f>IFERROR(__xludf.DUMMYFUNCTION("""COMPUTED_VALUE"""),39630.645833333336)</f>
        <v>39630.64583</v>
      </c>
      <c r="B1979" s="3">
        <f>IFERROR(__xludf.DUMMYFUNCTION("""COMPUTED_VALUE"""),4039.75)</f>
        <v>4039.75</v>
      </c>
      <c r="C1979" s="3">
        <f>IFERROR(__xludf.DUMMYFUNCTION("""COMPUTED_VALUE"""),4075.4)</f>
        <v>4075.4</v>
      </c>
      <c r="D1979" s="3">
        <f>IFERROR(__xludf.DUMMYFUNCTION("""COMPUTED_VALUE"""),3878.2)</f>
        <v>3878.2</v>
      </c>
      <c r="E1979" s="3">
        <f>IFERROR(__xludf.DUMMYFUNCTION("""COMPUTED_VALUE"""),3896.75)</f>
        <v>3896.75</v>
      </c>
      <c r="F1979" s="3">
        <f>IFERROR(__xludf.DUMMYFUNCTION("""COMPUTED_VALUE"""),0.0)</f>
        <v>0</v>
      </c>
    </row>
    <row r="1980">
      <c r="A1980" s="7">
        <f>IFERROR(__xludf.DUMMYFUNCTION("""COMPUTED_VALUE"""),39631.645833333336)</f>
        <v>39631.64583</v>
      </c>
      <c r="B1980" s="3">
        <f>IFERROR(__xludf.DUMMYFUNCTION("""COMPUTED_VALUE"""),3895.3)</f>
        <v>3895.3</v>
      </c>
      <c r="C1980" s="3">
        <f>IFERROR(__xludf.DUMMYFUNCTION("""COMPUTED_VALUE"""),4107.15)</f>
        <v>4107.15</v>
      </c>
      <c r="D1980" s="3">
        <f>IFERROR(__xludf.DUMMYFUNCTION("""COMPUTED_VALUE"""),3848.25)</f>
        <v>3848.25</v>
      </c>
      <c r="E1980" s="3">
        <f>IFERROR(__xludf.DUMMYFUNCTION("""COMPUTED_VALUE"""),4093.35)</f>
        <v>4093.35</v>
      </c>
      <c r="F1980" s="3">
        <f>IFERROR(__xludf.DUMMYFUNCTION("""COMPUTED_VALUE"""),0.0)</f>
        <v>0</v>
      </c>
    </row>
    <row r="1981">
      <c r="A1981" s="7">
        <f>IFERROR(__xludf.DUMMYFUNCTION("""COMPUTED_VALUE"""),39632.645833333336)</f>
        <v>39632.64583</v>
      </c>
      <c r="B1981" s="3">
        <f>IFERROR(__xludf.DUMMYFUNCTION("""COMPUTED_VALUE"""),4094.6)</f>
        <v>4094.6</v>
      </c>
      <c r="C1981" s="3">
        <f>IFERROR(__xludf.DUMMYFUNCTION("""COMPUTED_VALUE"""),4097.35)</f>
        <v>4097.35</v>
      </c>
      <c r="D1981" s="3">
        <f>IFERROR(__xludf.DUMMYFUNCTION("""COMPUTED_VALUE"""),3874.85)</f>
        <v>3874.85</v>
      </c>
      <c r="E1981" s="3">
        <f>IFERROR(__xludf.DUMMYFUNCTION("""COMPUTED_VALUE"""),3925.75)</f>
        <v>3925.75</v>
      </c>
      <c r="F1981" s="3">
        <f>IFERROR(__xludf.DUMMYFUNCTION("""COMPUTED_VALUE"""),0.0)</f>
        <v>0</v>
      </c>
    </row>
    <row r="1982">
      <c r="A1982" s="7">
        <f>IFERROR(__xludf.DUMMYFUNCTION("""COMPUTED_VALUE"""),39637.645833333336)</f>
        <v>39637.64583</v>
      </c>
      <c r="B1982" s="3">
        <f>IFERROR(__xludf.DUMMYFUNCTION("""COMPUTED_VALUE"""),4028.7)</f>
        <v>4028.7</v>
      </c>
      <c r="C1982" s="3">
        <f>IFERROR(__xludf.DUMMYFUNCTION("""COMPUTED_VALUE"""),4028.7)</f>
        <v>4028.7</v>
      </c>
      <c r="D1982" s="3">
        <f>IFERROR(__xludf.DUMMYFUNCTION("""COMPUTED_VALUE"""),3896.05)</f>
        <v>3896.05</v>
      </c>
      <c r="E1982" s="3">
        <f>IFERROR(__xludf.DUMMYFUNCTION("""COMPUTED_VALUE"""),3988.55)</f>
        <v>3988.55</v>
      </c>
      <c r="F1982" s="3">
        <f>IFERROR(__xludf.DUMMYFUNCTION("""COMPUTED_VALUE"""),0.0)</f>
        <v>0</v>
      </c>
    </row>
    <row r="1983">
      <c r="A1983" s="7">
        <f>IFERROR(__xludf.DUMMYFUNCTION("""COMPUTED_VALUE"""),39639.645833333336)</f>
        <v>39639.64583</v>
      </c>
      <c r="B1983" s="3">
        <f>IFERROR(__xludf.DUMMYFUNCTION("""COMPUTED_VALUE"""),4155.65)</f>
        <v>4155.65</v>
      </c>
      <c r="C1983" s="3">
        <f>IFERROR(__xludf.DUMMYFUNCTION("""COMPUTED_VALUE"""),4187.95)</f>
        <v>4187.95</v>
      </c>
      <c r="D1983" s="3">
        <f>IFERROR(__xludf.DUMMYFUNCTION("""COMPUTED_VALUE"""),4110.4)</f>
        <v>4110.4</v>
      </c>
      <c r="E1983" s="3">
        <f>IFERROR(__xludf.DUMMYFUNCTION("""COMPUTED_VALUE"""),4162.2)</f>
        <v>4162.2</v>
      </c>
      <c r="F1983" s="3">
        <f>IFERROR(__xludf.DUMMYFUNCTION("""COMPUTED_VALUE"""),0.0)</f>
        <v>0</v>
      </c>
    </row>
    <row r="1984">
      <c r="A1984" s="7">
        <f>IFERROR(__xludf.DUMMYFUNCTION("""COMPUTED_VALUE"""),39643.645833333336)</f>
        <v>39643.64583</v>
      </c>
      <c r="B1984" s="3">
        <f>IFERROR(__xludf.DUMMYFUNCTION("""COMPUTED_VALUE"""),4047.45)</f>
        <v>4047.45</v>
      </c>
      <c r="C1984" s="3">
        <f>IFERROR(__xludf.DUMMYFUNCTION("""COMPUTED_VALUE"""),4118.1)</f>
        <v>4118.1</v>
      </c>
      <c r="D1984" s="3">
        <f>IFERROR(__xludf.DUMMYFUNCTION("""COMPUTED_VALUE"""),4004.25)</f>
        <v>4004.25</v>
      </c>
      <c r="E1984" s="3">
        <f>IFERROR(__xludf.DUMMYFUNCTION("""COMPUTED_VALUE"""),4039.7)</f>
        <v>4039.7</v>
      </c>
      <c r="F1984" s="3">
        <f>IFERROR(__xludf.DUMMYFUNCTION("""COMPUTED_VALUE"""),0.0)</f>
        <v>0</v>
      </c>
    </row>
    <row r="1985">
      <c r="A1985" s="7">
        <f>IFERROR(__xludf.DUMMYFUNCTION("""COMPUTED_VALUE"""),39644.645833333336)</f>
        <v>39644.64583</v>
      </c>
      <c r="B1985" s="3">
        <f>IFERROR(__xludf.DUMMYFUNCTION("""COMPUTED_VALUE"""),4039.3)</f>
        <v>4039.3</v>
      </c>
      <c r="C1985" s="3">
        <f>IFERROR(__xludf.DUMMYFUNCTION("""COMPUTED_VALUE"""),4040.7)</f>
        <v>4040.7</v>
      </c>
      <c r="D1985" s="3">
        <f>IFERROR(__xludf.DUMMYFUNCTION("""COMPUTED_VALUE"""),3835.5)</f>
        <v>3835.5</v>
      </c>
      <c r="E1985" s="3">
        <f>IFERROR(__xludf.DUMMYFUNCTION("""COMPUTED_VALUE"""),3861.1)</f>
        <v>3861.1</v>
      </c>
      <c r="F1985" s="3">
        <f>IFERROR(__xludf.DUMMYFUNCTION("""COMPUTED_VALUE"""),0.0)</f>
        <v>0</v>
      </c>
    </row>
    <row r="1986">
      <c r="A1986" s="7">
        <f>IFERROR(__xludf.DUMMYFUNCTION("""COMPUTED_VALUE"""),39645.645833333336)</f>
        <v>39645.64583</v>
      </c>
      <c r="B1986" s="3">
        <f>IFERROR(__xludf.DUMMYFUNCTION("""COMPUTED_VALUE"""),3861.55)</f>
        <v>3861.55</v>
      </c>
      <c r="C1986" s="3">
        <f>IFERROR(__xludf.DUMMYFUNCTION("""COMPUTED_VALUE"""),3920.05)</f>
        <v>3920.05</v>
      </c>
      <c r="D1986" s="3">
        <f>IFERROR(__xludf.DUMMYFUNCTION("""COMPUTED_VALUE"""),3790.2)</f>
        <v>3790.2</v>
      </c>
      <c r="E1986" s="3">
        <f>IFERROR(__xludf.DUMMYFUNCTION("""COMPUTED_VALUE"""),3816.7)</f>
        <v>3816.7</v>
      </c>
      <c r="F1986" s="3">
        <f>IFERROR(__xludf.DUMMYFUNCTION("""COMPUTED_VALUE"""),0.0)</f>
        <v>0</v>
      </c>
    </row>
    <row r="1987">
      <c r="A1987" s="7">
        <f>IFERROR(__xludf.DUMMYFUNCTION("""COMPUTED_VALUE"""),39646.645833333336)</f>
        <v>39646.64583</v>
      </c>
      <c r="B1987" s="3">
        <f>IFERROR(__xludf.DUMMYFUNCTION("""COMPUTED_VALUE"""),3823.15)</f>
        <v>3823.15</v>
      </c>
      <c r="C1987" s="3">
        <f>IFERROR(__xludf.DUMMYFUNCTION("""COMPUTED_VALUE"""),3968.75)</f>
        <v>3968.75</v>
      </c>
      <c r="D1987" s="3">
        <f>IFERROR(__xludf.DUMMYFUNCTION("""COMPUTED_VALUE"""),3823.15)</f>
        <v>3823.15</v>
      </c>
      <c r="E1987" s="3">
        <f>IFERROR(__xludf.DUMMYFUNCTION("""COMPUTED_VALUE"""),3947.2)</f>
        <v>3947.2</v>
      </c>
      <c r="F1987" s="3">
        <f>IFERROR(__xludf.DUMMYFUNCTION("""COMPUTED_VALUE"""),0.0)</f>
        <v>0</v>
      </c>
    </row>
    <row r="1988">
      <c r="A1988" s="7">
        <f>IFERROR(__xludf.DUMMYFUNCTION("""COMPUTED_VALUE"""),39650.645833333336)</f>
        <v>39650.64583</v>
      </c>
      <c r="B1988" s="3">
        <f>IFERROR(__xludf.DUMMYFUNCTION("""COMPUTED_VALUE"""),4092.2)</f>
        <v>4092.2</v>
      </c>
      <c r="C1988" s="3">
        <f>IFERROR(__xludf.DUMMYFUNCTION("""COMPUTED_VALUE"""),4168.15)</f>
        <v>4168.15</v>
      </c>
      <c r="D1988" s="3">
        <f>IFERROR(__xludf.DUMMYFUNCTION("""COMPUTED_VALUE"""),4072.75)</f>
        <v>4072.75</v>
      </c>
      <c r="E1988" s="3">
        <f>IFERROR(__xludf.DUMMYFUNCTION("""COMPUTED_VALUE"""),4159.5)</f>
        <v>4159.5</v>
      </c>
      <c r="F1988" s="3">
        <f>IFERROR(__xludf.DUMMYFUNCTION("""COMPUTED_VALUE"""),0.0)</f>
        <v>0</v>
      </c>
    </row>
    <row r="1989">
      <c r="A1989" s="7">
        <f>IFERROR(__xludf.DUMMYFUNCTION("""COMPUTED_VALUE"""),39651.645833333336)</f>
        <v>39651.64583</v>
      </c>
      <c r="B1989" s="3">
        <f>IFERROR(__xludf.DUMMYFUNCTION("""COMPUTED_VALUE"""),4158.45)</f>
        <v>4158.45</v>
      </c>
      <c r="C1989" s="3">
        <f>IFERROR(__xludf.DUMMYFUNCTION("""COMPUTED_VALUE"""),4262.45)</f>
        <v>4262.45</v>
      </c>
      <c r="D1989" s="3">
        <f>IFERROR(__xludf.DUMMYFUNCTION("""COMPUTED_VALUE"""),4137.95)</f>
        <v>4137.95</v>
      </c>
      <c r="E1989" s="3">
        <f>IFERROR(__xludf.DUMMYFUNCTION("""COMPUTED_VALUE"""),4240.1)</f>
        <v>4240.1</v>
      </c>
      <c r="F1989" s="3">
        <f>IFERROR(__xludf.DUMMYFUNCTION("""COMPUTED_VALUE"""),0.0)</f>
        <v>0</v>
      </c>
    </row>
    <row r="1990">
      <c r="A1990" s="7">
        <f>IFERROR(__xludf.DUMMYFUNCTION("""COMPUTED_VALUE"""),39652.645833333336)</f>
        <v>39652.64583</v>
      </c>
      <c r="B1990" s="3">
        <f>IFERROR(__xludf.DUMMYFUNCTION("""COMPUTED_VALUE"""),4246.7)</f>
        <v>4246.7</v>
      </c>
      <c r="C1990" s="3">
        <f>IFERROR(__xludf.DUMMYFUNCTION("""COMPUTED_VALUE"""),4491.55)</f>
        <v>4491.55</v>
      </c>
      <c r="D1990" s="3">
        <f>IFERROR(__xludf.DUMMYFUNCTION("""COMPUTED_VALUE"""),4246.7)</f>
        <v>4246.7</v>
      </c>
      <c r="E1990" s="3">
        <f>IFERROR(__xludf.DUMMYFUNCTION("""COMPUTED_VALUE"""),4476.8)</f>
        <v>4476.8</v>
      </c>
      <c r="F1990" s="3">
        <f>IFERROR(__xludf.DUMMYFUNCTION("""COMPUTED_VALUE"""),0.0)</f>
        <v>0</v>
      </c>
    </row>
    <row r="1991">
      <c r="A1991" s="7">
        <f>IFERROR(__xludf.DUMMYFUNCTION("""COMPUTED_VALUE"""),39653.645833333336)</f>
        <v>39653.64583</v>
      </c>
      <c r="B1991" s="3">
        <f>IFERROR(__xludf.DUMMYFUNCTION("""COMPUTED_VALUE"""),4476.2)</f>
        <v>4476.2</v>
      </c>
      <c r="C1991" s="3">
        <f>IFERROR(__xludf.DUMMYFUNCTION("""COMPUTED_VALUE"""),4539.45)</f>
        <v>4539.45</v>
      </c>
      <c r="D1991" s="3">
        <f>IFERROR(__xludf.DUMMYFUNCTION("""COMPUTED_VALUE"""),4385.85)</f>
        <v>4385.85</v>
      </c>
      <c r="E1991" s="3">
        <f>IFERROR(__xludf.DUMMYFUNCTION("""COMPUTED_VALUE"""),4433.55)</f>
        <v>4433.55</v>
      </c>
      <c r="F1991" s="3">
        <f>IFERROR(__xludf.DUMMYFUNCTION("""COMPUTED_VALUE"""),0.0)</f>
        <v>0</v>
      </c>
    </row>
    <row r="1992">
      <c r="A1992" s="7">
        <f>IFERROR(__xludf.DUMMYFUNCTION("""COMPUTED_VALUE"""),39657.645833333336)</f>
        <v>39657.64583</v>
      </c>
      <c r="B1992" s="3">
        <f>IFERROR(__xludf.DUMMYFUNCTION("""COMPUTED_VALUE"""),4282.25)</f>
        <v>4282.25</v>
      </c>
      <c r="C1992" s="3">
        <f>IFERROR(__xludf.DUMMYFUNCTION("""COMPUTED_VALUE"""),4352.65)</f>
        <v>4352.65</v>
      </c>
      <c r="D1992" s="3">
        <f>IFERROR(__xludf.DUMMYFUNCTION("""COMPUTED_VALUE"""),4282.25)</f>
        <v>4282.25</v>
      </c>
      <c r="E1992" s="3">
        <f>IFERROR(__xludf.DUMMYFUNCTION("""COMPUTED_VALUE"""),4332.1)</f>
        <v>4332.1</v>
      </c>
      <c r="F1992" s="3">
        <f>IFERROR(__xludf.DUMMYFUNCTION("""COMPUTED_VALUE"""),0.0)</f>
        <v>0</v>
      </c>
    </row>
    <row r="1993">
      <c r="A1993" s="7">
        <f>IFERROR(__xludf.DUMMYFUNCTION("""COMPUTED_VALUE"""),39658.645833333336)</f>
        <v>39658.64583</v>
      </c>
      <c r="B1993" s="3">
        <f>IFERROR(__xludf.DUMMYFUNCTION("""COMPUTED_VALUE"""),4332.2)</f>
        <v>4332.2</v>
      </c>
      <c r="C1993" s="3">
        <f>IFERROR(__xludf.DUMMYFUNCTION("""COMPUTED_VALUE"""),4332.2)</f>
        <v>4332.2</v>
      </c>
      <c r="D1993" s="3">
        <f>IFERROR(__xludf.DUMMYFUNCTION("""COMPUTED_VALUE"""),4159.15)</f>
        <v>4159.15</v>
      </c>
      <c r="E1993" s="3">
        <f>IFERROR(__xludf.DUMMYFUNCTION("""COMPUTED_VALUE"""),4189.85)</f>
        <v>4189.85</v>
      </c>
      <c r="F1993" s="3">
        <f>IFERROR(__xludf.DUMMYFUNCTION("""COMPUTED_VALUE"""),0.0)</f>
        <v>0</v>
      </c>
    </row>
    <row r="1994">
      <c r="A1994" s="7">
        <f>IFERROR(__xludf.DUMMYFUNCTION("""COMPUTED_VALUE"""),39659.645833333336)</f>
        <v>39659.64583</v>
      </c>
      <c r="B1994" s="3">
        <f>IFERROR(__xludf.DUMMYFUNCTION("""COMPUTED_VALUE"""),4191.2)</f>
        <v>4191.2</v>
      </c>
      <c r="C1994" s="3">
        <f>IFERROR(__xludf.DUMMYFUNCTION("""COMPUTED_VALUE"""),4327.0)</f>
        <v>4327</v>
      </c>
      <c r="D1994" s="3">
        <f>IFERROR(__xludf.DUMMYFUNCTION("""COMPUTED_VALUE"""),4191.2)</f>
        <v>4191.2</v>
      </c>
      <c r="E1994" s="3">
        <f>IFERROR(__xludf.DUMMYFUNCTION("""COMPUTED_VALUE"""),4313.55)</f>
        <v>4313.55</v>
      </c>
      <c r="F1994" s="3">
        <f>IFERROR(__xludf.DUMMYFUNCTION("""COMPUTED_VALUE"""),0.0)</f>
        <v>0</v>
      </c>
    </row>
    <row r="1995">
      <c r="A1995" s="7">
        <f>IFERROR(__xludf.DUMMYFUNCTION("""COMPUTED_VALUE"""),39660.645833333336)</f>
        <v>39660.64583</v>
      </c>
      <c r="B1995" s="3">
        <f>IFERROR(__xludf.DUMMYFUNCTION("""COMPUTED_VALUE"""),4314.35)</f>
        <v>4314.35</v>
      </c>
      <c r="C1995" s="3">
        <f>IFERROR(__xludf.DUMMYFUNCTION("""COMPUTED_VALUE"""),4342.0)</f>
        <v>4342</v>
      </c>
      <c r="D1995" s="3">
        <f>IFERROR(__xludf.DUMMYFUNCTION("""COMPUTED_VALUE"""),4285.55)</f>
        <v>4285.55</v>
      </c>
      <c r="E1995" s="3">
        <f>IFERROR(__xludf.DUMMYFUNCTION("""COMPUTED_VALUE"""),4332.95)</f>
        <v>4332.95</v>
      </c>
      <c r="F1995" s="3">
        <f>IFERROR(__xludf.DUMMYFUNCTION("""COMPUTED_VALUE"""),0.0)</f>
        <v>0</v>
      </c>
    </row>
    <row r="1996">
      <c r="A1996" s="7">
        <f>IFERROR(__xludf.DUMMYFUNCTION("""COMPUTED_VALUE"""),39661.645833333336)</f>
        <v>39661.64583</v>
      </c>
      <c r="B1996" s="3">
        <f>IFERROR(__xludf.DUMMYFUNCTION("""COMPUTED_VALUE"""),4331.6)</f>
        <v>4331.6</v>
      </c>
      <c r="C1996" s="3">
        <f>IFERROR(__xludf.DUMMYFUNCTION("""COMPUTED_VALUE"""),4422.95)</f>
        <v>4422.95</v>
      </c>
      <c r="D1996" s="3">
        <f>IFERROR(__xludf.DUMMYFUNCTION("""COMPUTED_VALUE"""),4235.7)</f>
        <v>4235.7</v>
      </c>
      <c r="E1996" s="3">
        <f>IFERROR(__xludf.DUMMYFUNCTION("""COMPUTED_VALUE"""),4413.55)</f>
        <v>4413.55</v>
      </c>
      <c r="F1996" s="3">
        <f>IFERROR(__xludf.DUMMYFUNCTION("""COMPUTED_VALUE"""),0.0)</f>
        <v>0</v>
      </c>
    </row>
    <row r="1997">
      <c r="A1997" s="7">
        <f>IFERROR(__xludf.DUMMYFUNCTION("""COMPUTED_VALUE"""),39664.645833333336)</f>
        <v>39664.64583</v>
      </c>
      <c r="B1997" s="3">
        <f>IFERROR(__xludf.DUMMYFUNCTION("""COMPUTED_VALUE"""),4426.1)</f>
        <v>4426.1</v>
      </c>
      <c r="C1997" s="3">
        <f>IFERROR(__xludf.DUMMYFUNCTION("""COMPUTED_VALUE"""),4436.15)</f>
        <v>4436.15</v>
      </c>
      <c r="D1997" s="3">
        <f>IFERROR(__xludf.DUMMYFUNCTION("""COMPUTED_VALUE"""),4362.9)</f>
        <v>4362.9</v>
      </c>
      <c r="E1997" s="3">
        <f>IFERROR(__xludf.DUMMYFUNCTION("""COMPUTED_VALUE"""),4395.35)</f>
        <v>4395.35</v>
      </c>
      <c r="F1997" s="3">
        <f>IFERROR(__xludf.DUMMYFUNCTION("""COMPUTED_VALUE"""),0.0)</f>
        <v>0</v>
      </c>
    </row>
    <row r="1998">
      <c r="A1998" s="7">
        <f>IFERROR(__xludf.DUMMYFUNCTION("""COMPUTED_VALUE"""),39665.645833333336)</f>
        <v>39665.64583</v>
      </c>
      <c r="B1998" s="3">
        <f>IFERROR(__xludf.DUMMYFUNCTION("""COMPUTED_VALUE"""),4395.8)</f>
        <v>4395.8</v>
      </c>
      <c r="C1998" s="3">
        <f>IFERROR(__xludf.DUMMYFUNCTION("""COMPUTED_VALUE"""),4515.15)</f>
        <v>4515.15</v>
      </c>
      <c r="D1998" s="3">
        <f>IFERROR(__xludf.DUMMYFUNCTION("""COMPUTED_VALUE"""),4376.0)</f>
        <v>4376</v>
      </c>
      <c r="E1998" s="3">
        <f>IFERROR(__xludf.DUMMYFUNCTION("""COMPUTED_VALUE"""),4502.85)</f>
        <v>4502.85</v>
      </c>
      <c r="F1998" s="3">
        <f>IFERROR(__xludf.DUMMYFUNCTION("""COMPUTED_VALUE"""),0.0)</f>
        <v>0</v>
      </c>
    </row>
    <row r="1999">
      <c r="A1999" s="7">
        <f>IFERROR(__xludf.DUMMYFUNCTION("""COMPUTED_VALUE"""),39666.645833333336)</f>
        <v>39666.64583</v>
      </c>
      <c r="B1999" s="3">
        <f>IFERROR(__xludf.DUMMYFUNCTION("""COMPUTED_VALUE"""),4506.25)</f>
        <v>4506.25</v>
      </c>
      <c r="C1999" s="3">
        <f>IFERROR(__xludf.DUMMYFUNCTION("""COMPUTED_VALUE"""),4615.9)</f>
        <v>4615.9</v>
      </c>
      <c r="D1999" s="3">
        <f>IFERROR(__xludf.DUMMYFUNCTION("""COMPUTED_VALUE"""),4503.9)</f>
        <v>4503.9</v>
      </c>
      <c r="E1999" s="3">
        <f>IFERROR(__xludf.DUMMYFUNCTION("""COMPUTED_VALUE"""),4517.55)</f>
        <v>4517.55</v>
      </c>
      <c r="F1999" s="3">
        <f>IFERROR(__xludf.DUMMYFUNCTION("""COMPUTED_VALUE"""),0.0)</f>
        <v>0</v>
      </c>
    </row>
    <row r="2000">
      <c r="A2000" s="7">
        <f>IFERROR(__xludf.DUMMYFUNCTION("""COMPUTED_VALUE"""),39667.645833333336)</f>
        <v>39667.64583</v>
      </c>
      <c r="B2000" s="3">
        <f>IFERROR(__xludf.DUMMYFUNCTION("""COMPUTED_VALUE"""),4515.25)</f>
        <v>4515.25</v>
      </c>
      <c r="C2000" s="3">
        <f>IFERROR(__xludf.DUMMYFUNCTION("""COMPUTED_VALUE"""),4580.15)</f>
        <v>4580.15</v>
      </c>
      <c r="D2000" s="3">
        <f>IFERROR(__xludf.DUMMYFUNCTION("""COMPUTED_VALUE"""),4493.7)</f>
        <v>4493.7</v>
      </c>
      <c r="E2000" s="3">
        <f>IFERROR(__xludf.DUMMYFUNCTION("""COMPUTED_VALUE"""),4523.85)</f>
        <v>4523.85</v>
      </c>
      <c r="F2000" s="3">
        <f>IFERROR(__xludf.DUMMYFUNCTION("""COMPUTED_VALUE"""),0.0)</f>
        <v>0</v>
      </c>
    </row>
    <row r="2001">
      <c r="A2001" s="7">
        <f>IFERROR(__xludf.DUMMYFUNCTION("""COMPUTED_VALUE"""),39671.645833333336)</f>
        <v>39671.64583</v>
      </c>
      <c r="B2001" s="3">
        <f>IFERROR(__xludf.DUMMYFUNCTION("""COMPUTED_VALUE"""),4529.35)</f>
        <v>4529.35</v>
      </c>
      <c r="C2001" s="3">
        <f>IFERROR(__xludf.DUMMYFUNCTION("""COMPUTED_VALUE"""),4625.2)</f>
        <v>4625.2</v>
      </c>
      <c r="D2001" s="3">
        <f>IFERROR(__xludf.DUMMYFUNCTION("""COMPUTED_VALUE"""),4529.35)</f>
        <v>4529.35</v>
      </c>
      <c r="E2001" s="3">
        <f>IFERROR(__xludf.DUMMYFUNCTION("""COMPUTED_VALUE"""),4620.4)</f>
        <v>4620.4</v>
      </c>
      <c r="F2001" s="3">
        <f>IFERROR(__xludf.DUMMYFUNCTION("""COMPUTED_VALUE"""),0.0)</f>
        <v>0</v>
      </c>
    </row>
    <row r="2002">
      <c r="A2002" s="7">
        <f>IFERROR(__xludf.DUMMYFUNCTION("""COMPUTED_VALUE"""),39672.645833333336)</f>
        <v>39672.64583</v>
      </c>
      <c r="B2002" s="3">
        <f>IFERROR(__xludf.DUMMYFUNCTION("""COMPUTED_VALUE"""),4620.95)</f>
        <v>4620.95</v>
      </c>
      <c r="C2002" s="3">
        <f>IFERROR(__xludf.DUMMYFUNCTION("""COMPUTED_VALUE"""),4649.85)</f>
        <v>4649.85</v>
      </c>
      <c r="D2002" s="3">
        <f>IFERROR(__xludf.DUMMYFUNCTION("""COMPUTED_VALUE"""),4525.75)</f>
        <v>4525.75</v>
      </c>
      <c r="E2002" s="3">
        <f>IFERROR(__xludf.DUMMYFUNCTION("""COMPUTED_VALUE"""),4552.25)</f>
        <v>4552.25</v>
      </c>
      <c r="F2002" s="3">
        <f>IFERROR(__xludf.DUMMYFUNCTION("""COMPUTED_VALUE"""),0.0)</f>
        <v>0</v>
      </c>
    </row>
    <row r="2003">
      <c r="A2003" s="7">
        <f>IFERROR(__xludf.DUMMYFUNCTION("""COMPUTED_VALUE"""),39673.645833333336)</f>
        <v>39673.64583</v>
      </c>
      <c r="B2003" s="3">
        <f>IFERROR(__xludf.DUMMYFUNCTION("""COMPUTED_VALUE"""),4548.05)</f>
        <v>4548.05</v>
      </c>
      <c r="C2003" s="3">
        <f>IFERROR(__xludf.DUMMYFUNCTION("""COMPUTED_VALUE"""),4572.65)</f>
        <v>4572.65</v>
      </c>
      <c r="D2003" s="3">
        <f>IFERROR(__xludf.DUMMYFUNCTION("""COMPUTED_VALUE"""),4497.25)</f>
        <v>4497.25</v>
      </c>
      <c r="E2003" s="3">
        <f>IFERROR(__xludf.DUMMYFUNCTION("""COMPUTED_VALUE"""),4529.05)</f>
        <v>4529.05</v>
      </c>
      <c r="F2003" s="3">
        <f>IFERROR(__xludf.DUMMYFUNCTION("""COMPUTED_VALUE"""),0.0)</f>
        <v>0</v>
      </c>
    </row>
    <row r="2004">
      <c r="A2004" s="7">
        <f>IFERROR(__xludf.DUMMYFUNCTION("""COMPUTED_VALUE"""),39678.645833333336)</f>
        <v>39678.64583</v>
      </c>
      <c r="B2004" s="3">
        <f>IFERROR(__xludf.DUMMYFUNCTION("""COMPUTED_VALUE"""),4430.7)</f>
        <v>4430.7</v>
      </c>
      <c r="C2004" s="3">
        <f>IFERROR(__xludf.DUMMYFUNCTION("""COMPUTED_VALUE"""),4447.4)</f>
        <v>4447.4</v>
      </c>
      <c r="D2004" s="3">
        <f>IFERROR(__xludf.DUMMYFUNCTION("""COMPUTED_VALUE"""),4379.85)</f>
        <v>4379.85</v>
      </c>
      <c r="E2004" s="3">
        <f>IFERROR(__xludf.DUMMYFUNCTION("""COMPUTED_VALUE"""),4393.05)</f>
        <v>4393.05</v>
      </c>
      <c r="F2004" s="3">
        <f>IFERROR(__xludf.DUMMYFUNCTION("""COMPUTED_VALUE"""),0.0)</f>
        <v>0</v>
      </c>
    </row>
    <row r="2005">
      <c r="A2005" s="7">
        <f>IFERROR(__xludf.DUMMYFUNCTION("""COMPUTED_VALUE"""),39679.645833333336)</f>
        <v>39679.64583</v>
      </c>
      <c r="B2005" s="3">
        <f>IFERROR(__xludf.DUMMYFUNCTION("""COMPUTED_VALUE"""),4393.1)</f>
        <v>4393.1</v>
      </c>
      <c r="C2005" s="3">
        <f>IFERROR(__xludf.DUMMYFUNCTION("""COMPUTED_VALUE"""),4393.7)</f>
        <v>4393.7</v>
      </c>
      <c r="D2005" s="3">
        <f>IFERROR(__xludf.DUMMYFUNCTION("""COMPUTED_VALUE"""),4316.55)</f>
        <v>4316.55</v>
      </c>
      <c r="E2005" s="3">
        <f>IFERROR(__xludf.DUMMYFUNCTION("""COMPUTED_VALUE"""),4368.25)</f>
        <v>4368.25</v>
      </c>
      <c r="F2005" s="3">
        <f>IFERROR(__xludf.DUMMYFUNCTION("""COMPUTED_VALUE"""),0.0)</f>
        <v>0</v>
      </c>
    </row>
    <row r="2006">
      <c r="A2006" s="7">
        <f>IFERROR(__xludf.DUMMYFUNCTION("""COMPUTED_VALUE"""),39680.645833333336)</f>
        <v>39680.64583</v>
      </c>
      <c r="B2006" s="3">
        <f>IFERROR(__xludf.DUMMYFUNCTION("""COMPUTED_VALUE"""),4365.45)</f>
        <v>4365.45</v>
      </c>
      <c r="C2006" s="3">
        <f>IFERROR(__xludf.DUMMYFUNCTION("""COMPUTED_VALUE"""),4434.9)</f>
        <v>4434.9</v>
      </c>
      <c r="D2006" s="3">
        <f>IFERROR(__xludf.DUMMYFUNCTION("""COMPUTED_VALUE"""),4365.45)</f>
        <v>4365.45</v>
      </c>
      <c r="E2006" s="3">
        <f>IFERROR(__xludf.DUMMYFUNCTION("""COMPUTED_VALUE"""),4415.75)</f>
        <v>4415.75</v>
      </c>
      <c r="F2006" s="3">
        <f>IFERROR(__xludf.DUMMYFUNCTION("""COMPUTED_VALUE"""),0.0)</f>
        <v>0</v>
      </c>
    </row>
    <row r="2007">
      <c r="A2007" s="7">
        <f>IFERROR(__xludf.DUMMYFUNCTION("""COMPUTED_VALUE"""),39681.645833333336)</f>
        <v>39681.64583</v>
      </c>
      <c r="B2007" s="3">
        <f>IFERROR(__xludf.DUMMYFUNCTION("""COMPUTED_VALUE"""),4416.2)</f>
        <v>4416.2</v>
      </c>
      <c r="C2007" s="3">
        <f>IFERROR(__xludf.DUMMYFUNCTION("""COMPUTED_VALUE"""),4418.55)</f>
        <v>4418.55</v>
      </c>
      <c r="D2007" s="3">
        <f>IFERROR(__xludf.DUMMYFUNCTION("""COMPUTED_VALUE"""),4271.3)</f>
        <v>4271.3</v>
      </c>
      <c r="E2007" s="3">
        <f>IFERROR(__xludf.DUMMYFUNCTION("""COMPUTED_VALUE"""),4283.85)</f>
        <v>4283.85</v>
      </c>
      <c r="F2007" s="3">
        <f>IFERROR(__xludf.DUMMYFUNCTION("""COMPUTED_VALUE"""),0.0)</f>
        <v>0</v>
      </c>
    </row>
    <row r="2008">
      <c r="A2008" s="7">
        <f>IFERROR(__xludf.DUMMYFUNCTION("""COMPUTED_VALUE"""),39685.645833333336)</f>
        <v>39685.64583</v>
      </c>
      <c r="B2008" s="3">
        <f>IFERROR(__xludf.DUMMYFUNCTION("""COMPUTED_VALUE"""),4317.95)</f>
        <v>4317.95</v>
      </c>
      <c r="C2008" s="3">
        <f>IFERROR(__xludf.DUMMYFUNCTION("""COMPUTED_VALUE"""),4398.8)</f>
        <v>4398.8</v>
      </c>
      <c r="D2008" s="3">
        <f>IFERROR(__xludf.DUMMYFUNCTION("""COMPUTED_VALUE"""),4317.95)</f>
        <v>4317.95</v>
      </c>
      <c r="E2008" s="3">
        <f>IFERROR(__xludf.DUMMYFUNCTION("""COMPUTED_VALUE"""),4335.35)</f>
        <v>4335.35</v>
      </c>
      <c r="F2008" s="3">
        <f>IFERROR(__xludf.DUMMYFUNCTION("""COMPUTED_VALUE"""),0.0)</f>
        <v>0</v>
      </c>
    </row>
    <row r="2009">
      <c r="A2009" s="7">
        <f>IFERROR(__xludf.DUMMYFUNCTION("""COMPUTED_VALUE"""),39686.645833333336)</f>
        <v>39686.64583</v>
      </c>
      <c r="B2009" s="3">
        <f>IFERROR(__xludf.DUMMYFUNCTION("""COMPUTED_VALUE"""),4335.2)</f>
        <v>4335.2</v>
      </c>
      <c r="C2009" s="3">
        <f>IFERROR(__xludf.DUMMYFUNCTION("""COMPUTED_VALUE"""),4345.05)</f>
        <v>4345.05</v>
      </c>
      <c r="D2009" s="3">
        <f>IFERROR(__xludf.DUMMYFUNCTION("""COMPUTED_VALUE"""),4283.3)</f>
        <v>4283.3</v>
      </c>
      <c r="E2009" s="3">
        <f>IFERROR(__xludf.DUMMYFUNCTION("""COMPUTED_VALUE"""),4337.5)</f>
        <v>4337.5</v>
      </c>
      <c r="F2009" s="3">
        <f>IFERROR(__xludf.DUMMYFUNCTION("""COMPUTED_VALUE"""),0.0)</f>
        <v>0</v>
      </c>
    </row>
    <row r="2010">
      <c r="A2010" s="7">
        <f>IFERROR(__xludf.DUMMYFUNCTION("""COMPUTED_VALUE"""),39687.645833333336)</f>
        <v>39687.64583</v>
      </c>
      <c r="B2010" s="3">
        <f>IFERROR(__xludf.DUMMYFUNCTION("""COMPUTED_VALUE"""),4336.85)</f>
        <v>4336.85</v>
      </c>
      <c r="C2010" s="3">
        <f>IFERROR(__xludf.DUMMYFUNCTION("""COMPUTED_VALUE"""),4364.25)</f>
        <v>4364.25</v>
      </c>
      <c r="D2010" s="3">
        <f>IFERROR(__xludf.DUMMYFUNCTION("""COMPUTED_VALUE"""),4282.65)</f>
        <v>4282.65</v>
      </c>
      <c r="E2010" s="3">
        <f>IFERROR(__xludf.DUMMYFUNCTION("""COMPUTED_VALUE"""),4292.1)</f>
        <v>4292.1</v>
      </c>
      <c r="F2010" s="3">
        <f>IFERROR(__xludf.DUMMYFUNCTION("""COMPUTED_VALUE"""),0.0)</f>
        <v>0</v>
      </c>
    </row>
    <row r="2011">
      <c r="A2011" s="7">
        <f>IFERROR(__xludf.DUMMYFUNCTION("""COMPUTED_VALUE"""),39688.645833333336)</f>
        <v>39688.64583</v>
      </c>
      <c r="B2011" s="3">
        <f>IFERROR(__xludf.DUMMYFUNCTION("""COMPUTED_VALUE"""),4290.75)</f>
        <v>4290.75</v>
      </c>
      <c r="C2011" s="3">
        <f>IFERROR(__xludf.DUMMYFUNCTION("""COMPUTED_VALUE"""),4304.5)</f>
        <v>4304.5</v>
      </c>
      <c r="D2011" s="3">
        <f>IFERROR(__xludf.DUMMYFUNCTION("""COMPUTED_VALUE"""),4201.85)</f>
        <v>4201.85</v>
      </c>
      <c r="E2011" s="3">
        <f>IFERROR(__xludf.DUMMYFUNCTION("""COMPUTED_VALUE"""),4214.0)</f>
        <v>4214</v>
      </c>
      <c r="F2011" s="3">
        <f>IFERROR(__xludf.DUMMYFUNCTION("""COMPUTED_VALUE"""),0.0)</f>
        <v>0</v>
      </c>
    </row>
    <row r="2012">
      <c r="A2012" s="7">
        <f>IFERROR(__xludf.DUMMYFUNCTION("""COMPUTED_VALUE"""),39689.645833333336)</f>
        <v>39689.64583</v>
      </c>
      <c r="B2012" s="3">
        <f>IFERROR(__xludf.DUMMYFUNCTION("""COMPUTED_VALUE"""),4230.6)</f>
        <v>4230.6</v>
      </c>
      <c r="C2012" s="3">
        <f>IFERROR(__xludf.DUMMYFUNCTION("""COMPUTED_VALUE"""),4368.8)</f>
        <v>4368.8</v>
      </c>
      <c r="D2012" s="3">
        <f>IFERROR(__xludf.DUMMYFUNCTION("""COMPUTED_VALUE"""),4230.6)</f>
        <v>4230.6</v>
      </c>
      <c r="E2012" s="3">
        <f>IFERROR(__xludf.DUMMYFUNCTION("""COMPUTED_VALUE"""),4360.0)</f>
        <v>4360</v>
      </c>
      <c r="F2012" s="3">
        <f>IFERROR(__xludf.DUMMYFUNCTION("""COMPUTED_VALUE"""),0.0)</f>
        <v>0</v>
      </c>
    </row>
    <row r="2013">
      <c r="A2013" s="7">
        <f>IFERROR(__xludf.DUMMYFUNCTION("""COMPUTED_VALUE"""),39692.645833333336)</f>
        <v>39692.64583</v>
      </c>
      <c r="B2013" s="3">
        <f>IFERROR(__xludf.DUMMYFUNCTION("""COMPUTED_VALUE"""),4356.1)</f>
        <v>4356.1</v>
      </c>
      <c r="C2013" s="3">
        <f>IFERROR(__xludf.DUMMYFUNCTION("""COMPUTED_VALUE"""),4365.0)</f>
        <v>4365</v>
      </c>
      <c r="D2013" s="3">
        <f>IFERROR(__xludf.DUMMYFUNCTION("""COMPUTED_VALUE"""),4281.35)</f>
        <v>4281.35</v>
      </c>
      <c r="E2013" s="3">
        <f>IFERROR(__xludf.DUMMYFUNCTION("""COMPUTED_VALUE"""),4348.65)</f>
        <v>4348.65</v>
      </c>
      <c r="F2013" s="3">
        <f>IFERROR(__xludf.DUMMYFUNCTION("""COMPUTED_VALUE"""),0.0)</f>
        <v>0</v>
      </c>
    </row>
    <row r="2014">
      <c r="A2014" s="7">
        <f>IFERROR(__xludf.DUMMYFUNCTION("""COMPUTED_VALUE"""),39694.645833333336)</f>
        <v>39694.64583</v>
      </c>
      <c r="B2014" s="3">
        <f>IFERROR(__xludf.DUMMYFUNCTION("""COMPUTED_VALUE"""),4358.85)</f>
        <v>4358.85</v>
      </c>
      <c r="C2014" s="3">
        <f>IFERROR(__xludf.DUMMYFUNCTION("""COMPUTED_VALUE"""),4522.4)</f>
        <v>4522.4</v>
      </c>
      <c r="D2014" s="3">
        <f>IFERROR(__xludf.DUMMYFUNCTION("""COMPUTED_VALUE"""),4343.1)</f>
        <v>4343.1</v>
      </c>
      <c r="E2014" s="3">
        <f>IFERROR(__xludf.DUMMYFUNCTION("""COMPUTED_VALUE"""),4504.0)</f>
        <v>4504</v>
      </c>
      <c r="F2014" s="3">
        <f>IFERROR(__xludf.DUMMYFUNCTION("""COMPUTED_VALUE"""),0.0)</f>
        <v>0</v>
      </c>
    </row>
    <row r="2015">
      <c r="A2015" s="7">
        <f>IFERROR(__xludf.DUMMYFUNCTION("""COMPUTED_VALUE"""),39695.645833333336)</f>
        <v>39695.64583</v>
      </c>
      <c r="B2015" s="3">
        <f>IFERROR(__xludf.DUMMYFUNCTION("""COMPUTED_VALUE"""),4512.95)</f>
        <v>4512.95</v>
      </c>
      <c r="C2015" s="3">
        <f>IFERROR(__xludf.DUMMYFUNCTION("""COMPUTED_VALUE"""),4514.6)</f>
        <v>4514.6</v>
      </c>
      <c r="D2015" s="3">
        <f>IFERROR(__xludf.DUMMYFUNCTION("""COMPUTED_VALUE"""),4419.45)</f>
        <v>4419.45</v>
      </c>
      <c r="E2015" s="3">
        <f>IFERROR(__xludf.DUMMYFUNCTION("""COMPUTED_VALUE"""),4447.75)</f>
        <v>4447.75</v>
      </c>
      <c r="F2015" s="3">
        <f>IFERROR(__xludf.DUMMYFUNCTION("""COMPUTED_VALUE"""),0.0)</f>
        <v>0</v>
      </c>
    </row>
    <row r="2016">
      <c r="A2016" s="7">
        <f>IFERROR(__xludf.DUMMYFUNCTION("""COMPUTED_VALUE"""),39696.645833333336)</f>
        <v>39696.64583</v>
      </c>
      <c r="B2016" s="3">
        <f>IFERROR(__xludf.DUMMYFUNCTION("""COMPUTED_VALUE"""),4444.7)</f>
        <v>4444.7</v>
      </c>
      <c r="C2016" s="3">
        <f>IFERROR(__xludf.DUMMYFUNCTION("""COMPUTED_VALUE"""),4444.7)</f>
        <v>4444.7</v>
      </c>
      <c r="D2016" s="3">
        <f>IFERROR(__xludf.DUMMYFUNCTION("""COMPUTED_VALUE"""),4328.9)</f>
        <v>4328.9</v>
      </c>
      <c r="E2016" s="3">
        <f>IFERROR(__xludf.DUMMYFUNCTION("""COMPUTED_VALUE"""),4352.3)</f>
        <v>4352.3</v>
      </c>
      <c r="F2016" s="3">
        <f>IFERROR(__xludf.DUMMYFUNCTION("""COMPUTED_VALUE"""),0.0)</f>
        <v>0</v>
      </c>
    </row>
    <row r="2017">
      <c r="A2017" s="7">
        <f>IFERROR(__xludf.DUMMYFUNCTION("""COMPUTED_VALUE"""),39699.645833333336)</f>
        <v>39699.64583</v>
      </c>
      <c r="B2017" s="3">
        <f>IFERROR(__xludf.DUMMYFUNCTION("""COMPUTED_VALUE"""),4358.3)</f>
        <v>4358.3</v>
      </c>
      <c r="C2017" s="3">
        <f>IFERROR(__xludf.DUMMYFUNCTION("""COMPUTED_VALUE"""),4558.0)</f>
        <v>4558</v>
      </c>
      <c r="D2017" s="3">
        <f>IFERROR(__xludf.DUMMYFUNCTION("""COMPUTED_VALUE"""),4358.3)</f>
        <v>4358.3</v>
      </c>
      <c r="E2017" s="3">
        <f>IFERROR(__xludf.DUMMYFUNCTION("""COMPUTED_VALUE"""),4482.3)</f>
        <v>4482.3</v>
      </c>
      <c r="F2017" s="3">
        <f>IFERROR(__xludf.DUMMYFUNCTION("""COMPUTED_VALUE"""),0.0)</f>
        <v>0</v>
      </c>
    </row>
    <row r="2018">
      <c r="A2018" s="7">
        <f>IFERROR(__xludf.DUMMYFUNCTION("""COMPUTED_VALUE"""),39700.645833333336)</f>
        <v>39700.64583</v>
      </c>
      <c r="B2018" s="3">
        <f>IFERROR(__xludf.DUMMYFUNCTION("""COMPUTED_VALUE"""),4485.15)</f>
        <v>4485.15</v>
      </c>
      <c r="C2018" s="3">
        <f>IFERROR(__xludf.DUMMYFUNCTION("""COMPUTED_VALUE"""),4497.5)</f>
        <v>4497.5</v>
      </c>
      <c r="D2018" s="3">
        <f>IFERROR(__xludf.DUMMYFUNCTION("""COMPUTED_VALUE"""),4418.95)</f>
        <v>4418.95</v>
      </c>
      <c r="E2018" s="3">
        <f>IFERROR(__xludf.DUMMYFUNCTION("""COMPUTED_VALUE"""),4468.7)</f>
        <v>4468.7</v>
      </c>
      <c r="F2018" s="3">
        <f>IFERROR(__xludf.DUMMYFUNCTION("""COMPUTED_VALUE"""),0.0)</f>
        <v>0</v>
      </c>
    </row>
    <row r="2019">
      <c r="A2019" s="7">
        <f>IFERROR(__xludf.DUMMYFUNCTION("""COMPUTED_VALUE"""),39701.645833333336)</f>
        <v>39701.64583</v>
      </c>
      <c r="B2019" s="3">
        <f>IFERROR(__xludf.DUMMYFUNCTION("""COMPUTED_VALUE"""),4467.5)</f>
        <v>4467.5</v>
      </c>
      <c r="C2019" s="3">
        <f>IFERROR(__xludf.DUMMYFUNCTION("""COMPUTED_VALUE"""),4467.5)</f>
        <v>4467.5</v>
      </c>
      <c r="D2019" s="3">
        <f>IFERROR(__xludf.DUMMYFUNCTION("""COMPUTED_VALUE"""),4382.35)</f>
        <v>4382.35</v>
      </c>
      <c r="E2019" s="3">
        <f>IFERROR(__xludf.DUMMYFUNCTION("""COMPUTED_VALUE"""),4400.25)</f>
        <v>4400.25</v>
      </c>
      <c r="F2019" s="3">
        <f>IFERROR(__xludf.DUMMYFUNCTION("""COMPUTED_VALUE"""),0.0)</f>
        <v>0</v>
      </c>
    </row>
    <row r="2020">
      <c r="A2020" s="7">
        <f>IFERROR(__xludf.DUMMYFUNCTION("""COMPUTED_VALUE"""),39702.645833333336)</f>
        <v>39702.64583</v>
      </c>
      <c r="B2020" s="3">
        <f>IFERROR(__xludf.DUMMYFUNCTION("""COMPUTED_VALUE"""),4397.25)</f>
        <v>4397.25</v>
      </c>
      <c r="C2020" s="3">
        <f>IFERROR(__xludf.DUMMYFUNCTION("""COMPUTED_VALUE"""),4399.3)</f>
        <v>4399.3</v>
      </c>
      <c r="D2020" s="3">
        <f>IFERROR(__xludf.DUMMYFUNCTION("""COMPUTED_VALUE"""),4272.75)</f>
        <v>4272.75</v>
      </c>
      <c r="E2020" s="3">
        <f>IFERROR(__xludf.DUMMYFUNCTION("""COMPUTED_VALUE"""),4290.3)</f>
        <v>4290.3</v>
      </c>
      <c r="F2020" s="3">
        <f>IFERROR(__xludf.DUMMYFUNCTION("""COMPUTED_VALUE"""),0.0)</f>
        <v>0</v>
      </c>
    </row>
    <row r="2021">
      <c r="A2021" s="7">
        <f>IFERROR(__xludf.DUMMYFUNCTION("""COMPUTED_VALUE"""),39706.645833333336)</f>
        <v>39706.64583</v>
      </c>
      <c r="B2021" s="3">
        <f>IFERROR(__xludf.DUMMYFUNCTION("""COMPUTED_VALUE"""),4231.95)</f>
        <v>4231.95</v>
      </c>
      <c r="C2021" s="3">
        <f>IFERROR(__xludf.DUMMYFUNCTION("""COMPUTED_VALUE"""),4237.25)</f>
        <v>4237.25</v>
      </c>
      <c r="D2021" s="3">
        <f>IFERROR(__xludf.DUMMYFUNCTION("""COMPUTED_VALUE"""),3955.4)</f>
        <v>3955.4</v>
      </c>
      <c r="E2021" s="3">
        <f>IFERROR(__xludf.DUMMYFUNCTION("""COMPUTED_VALUE"""),4072.9)</f>
        <v>4072.9</v>
      </c>
      <c r="F2021" s="3">
        <f>IFERROR(__xludf.DUMMYFUNCTION("""COMPUTED_VALUE"""),0.0)</f>
        <v>0</v>
      </c>
    </row>
    <row r="2022">
      <c r="A2022" s="7">
        <f>IFERROR(__xludf.DUMMYFUNCTION("""COMPUTED_VALUE"""),39707.645833333336)</f>
        <v>39707.64583</v>
      </c>
      <c r="B2022" s="3">
        <f>IFERROR(__xludf.DUMMYFUNCTION("""COMPUTED_VALUE"""),4072.55)</f>
        <v>4072.55</v>
      </c>
      <c r="C2022" s="3">
        <f>IFERROR(__xludf.DUMMYFUNCTION("""COMPUTED_VALUE"""),4090.1)</f>
        <v>4090.1</v>
      </c>
      <c r="D2022" s="3">
        <f>IFERROR(__xludf.DUMMYFUNCTION("""COMPUTED_VALUE"""),3919.35)</f>
        <v>3919.35</v>
      </c>
      <c r="E2022" s="3">
        <f>IFERROR(__xludf.DUMMYFUNCTION("""COMPUTED_VALUE"""),4074.9)</f>
        <v>4074.9</v>
      </c>
      <c r="F2022" s="3">
        <f>IFERROR(__xludf.DUMMYFUNCTION("""COMPUTED_VALUE"""),0.0)</f>
        <v>0</v>
      </c>
    </row>
    <row r="2023">
      <c r="A2023" s="7">
        <f>IFERROR(__xludf.DUMMYFUNCTION("""COMPUTED_VALUE"""),39708.645833333336)</f>
        <v>39708.64583</v>
      </c>
      <c r="B2023" s="3">
        <f>IFERROR(__xludf.DUMMYFUNCTION("""COMPUTED_VALUE"""),4074.8)</f>
        <v>4074.8</v>
      </c>
      <c r="C2023" s="3">
        <f>IFERROR(__xludf.DUMMYFUNCTION("""COMPUTED_VALUE"""),4116.7)</f>
        <v>4116.7</v>
      </c>
      <c r="D2023" s="3">
        <f>IFERROR(__xludf.DUMMYFUNCTION("""COMPUTED_VALUE"""),3974.6)</f>
        <v>3974.6</v>
      </c>
      <c r="E2023" s="3">
        <f>IFERROR(__xludf.DUMMYFUNCTION("""COMPUTED_VALUE"""),4008.25)</f>
        <v>4008.25</v>
      </c>
      <c r="F2023" s="3">
        <f>IFERROR(__xludf.DUMMYFUNCTION("""COMPUTED_VALUE"""),0.0)</f>
        <v>0</v>
      </c>
    </row>
    <row r="2024">
      <c r="A2024" s="7">
        <f>IFERROR(__xludf.DUMMYFUNCTION("""COMPUTED_VALUE"""),39709.645833333336)</f>
        <v>39709.64583</v>
      </c>
      <c r="B2024" s="3">
        <f>IFERROR(__xludf.DUMMYFUNCTION("""COMPUTED_VALUE"""),4005.25)</f>
        <v>4005.25</v>
      </c>
      <c r="C2024" s="3">
        <f>IFERROR(__xludf.DUMMYFUNCTION("""COMPUTED_VALUE"""),4050.1)</f>
        <v>4050.1</v>
      </c>
      <c r="D2024" s="3">
        <f>IFERROR(__xludf.DUMMYFUNCTION("""COMPUTED_VALUE"""),3799.55)</f>
        <v>3799.55</v>
      </c>
      <c r="E2024" s="3">
        <f>IFERROR(__xludf.DUMMYFUNCTION("""COMPUTED_VALUE"""),4038.15)</f>
        <v>4038.15</v>
      </c>
      <c r="F2024" s="3">
        <f>IFERROR(__xludf.DUMMYFUNCTION("""COMPUTED_VALUE"""),0.0)</f>
        <v>0</v>
      </c>
    </row>
    <row r="2025">
      <c r="A2025" s="7">
        <f>IFERROR(__xludf.DUMMYFUNCTION("""COMPUTED_VALUE"""),39713.645833333336)</f>
        <v>39713.64583</v>
      </c>
      <c r="B2025" s="3">
        <f>IFERROR(__xludf.DUMMYFUNCTION("""COMPUTED_VALUE"""),4248.95)</f>
        <v>4248.95</v>
      </c>
      <c r="C2025" s="3">
        <f>IFERROR(__xludf.DUMMYFUNCTION("""COMPUTED_VALUE"""),4303.25)</f>
        <v>4303.25</v>
      </c>
      <c r="D2025" s="3">
        <f>IFERROR(__xludf.DUMMYFUNCTION("""COMPUTED_VALUE"""),4202.4)</f>
        <v>4202.4</v>
      </c>
      <c r="E2025" s="3">
        <f>IFERROR(__xludf.DUMMYFUNCTION("""COMPUTED_VALUE"""),4223.05)</f>
        <v>4223.05</v>
      </c>
      <c r="F2025" s="3">
        <f>IFERROR(__xludf.DUMMYFUNCTION("""COMPUTED_VALUE"""),0.0)</f>
        <v>0</v>
      </c>
    </row>
    <row r="2026">
      <c r="A2026" s="7">
        <f>IFERROR(__xludf.DUMMYFUNCTION("""COMPUTED_VALUE"""),39714.645833333336)</f>
        <v>39714.64583</v>
      </c>
      <c r="B2026" s="3">
        <f>IFERROR(__xludf.DUMMYFUNCTION("""COMPUTED_VALUE"""),4223.9)</f>
        <v>4223.9</v>
      </c>
      <c r="C2026" s="3">
        <f>IFERROR(__xludf.DUMMYFUNCTION("""COMPUTED_VALUE"""),4224.7)</f>
        <v>4224.7</v>
      </c>
      <c r="D2026" s="3">
        <f>IFERROR(__xludf.DUMMYFUNCTION("""COMPUTED_VALUE"""),4117.9)</f>
        <v>4117.9</v>
      </c>
      <c r="E2026" s="3">
        <f>IFERROR(__xludf.DUMMYFUNCTION("""COMPUTED_VALUE"""),4126.9)</f>
        <v>4126.9</v>
      </c>
      <c r="F2026" s="3">
        <f>IFERROR(__xludf.DUMMYFUNCTION("""COMPUTED_VALUE"""),0.0)</f>
        <v>0</v>
      </c>
    </row>
    <row r="2027">
      <c r="A2027" s="7">
        <f>IFERROR(__xludf.DUMMYFUNCTION("""COMPUTED_VALUE"""),39715.645833333336)</f>
        <v>39715.64583</v>
      </c>
      <c r="B2027" s="3">
        <f>IFERROR(__xludf.DUMMYFUNCTION("""COMPUTED_VALUE"""),4125.75)</f>
        <v>4125.75</v>
      </c>
      <c r="C2027" s="3">
        <f>IFERROR(__xludf.DUMMYFUNCTION("""COMPUTED_VALUE"""),4207.95)</f>
        <v>4207.95</v>
      </c>
      <c r="D2027" s="3">
        <f>IFERROR(__xludf.DUMMYFUNCTION("""COMPUTED_VALUE"""),4115.85)</f>
        <v>4115.85</v>
      </c>
      <c r="E2027" s="3">
        <f>IFERROR(__xludf.DUMMYFUNCTION("""COMPUTED_VALUE"""),4161.25)</f>
        <v>4161.25</v>
      </c>
      <c r="F2027" s="3">
        <f>IFERROR(__xludf.DUMMYFUNCTION("""COMPUTED_VALUE"""),0.0)</f>
        <v>0</v>
      </c>
    </row>
    <row r="2028">
      <c r="A2028" s="7">
        <f>IFERROR(__xludf.DUMMYFUNCTION("""COMPUTED_VALUE"""),39716.645833333336)</f>
        <v>39716.64583</v>
      </c>
      <c r="B2028" s="3">
        <f>IFERROR(__xludf.DUMMYFUNCTION("""COMPUTED_VALUE"""),4162.15)</f>
        <v>4162.15</v>
      </c>
      <c r="C2028" s="3">
        <f>IFERROR(__xludf.DUMMYFUNCTION("""COMPUTED_VALUE"""),4172.6)</f>
        <v>4172.6</v>
      </c>
      <c r="D2028" s="3">
        <f>IFERROR(__xludf.DUMMYFUNCTION("""COMPUTED_VALUE"""),4077.5)</f>
        <v>4077.5</v>
      </c>
      <c r="E2028" s="3">
        <f>IFERROR(__xludf.DUMMYFUNCTION("""COMPUTED_VALUE"""),4110.55)</f>
        <v>4110.55</v>
      </c>
      <c r="F2028" s="3">
        <f>IFERROR(__xludf.DUMMYFUNCTION("""COMPUTED_VALUE"""),0.0)</f>
        <v>0</v>
      </c>
    </row>
    <row r="2029">
      <c r="A2029" s="7">
        <f>IFERROR(__xludf.DUMMYFUNCTION("""COMPUTED_VALUE"""),39720.645833333336)</f>
        <v>39720.64583</v>
      </c>
      <c r="B2029" s="3">
        <f>IFERROR(__xludf.DUMMYFUNCTION("""COMPUTED_VALUE"""),3990.2)</f>
        <v>3990.2</v>
      </c>
      <c r="C2029" s="3">
        <f>IFERROR(__xludf.DUMMYFUNCTION("""COMPUTED_VALUE"""),3997.55)</f>
        <v>3997.55</v>
      </c>
      <c r="D2029" s="3">
        <f>IFERROR(__xludf.DUMMYFUNCTION("""COMPUTED_VALUE"""),3777.3)</f>
        <v>3777.3</v>
      </c>
      <c r="E2029" s="3">
        <f>IFERROR(__xludf.DUMMYFUNCTION("""COMPUTED_VALUE"""),3850.05)</f>
        <v>3850.05</v>
      </c>
      <c r="F2029" s="3">
        <f>IFERROR(__xludf.DUMMYFUNCTION("""COMPUTED_VALUE"""),0.0)</f>
        <v>0</v>
      </c>
    </row>
    <row r="2030">
      <c r="A2030" s="7">
        <f>IFERROR(__xludf.DUMMYFUNCTION("""COMPUTED_VALUE"""),39721.645833333336)</f>
        <v>39721.64583</v>
      </c>
      <c r="B2030" s="3">
        <f>IFERROR(__xludf.DUMMYFUNCTION("""COMPUTED_VALUE"""),3848.7)</f>
        <v>3848.7</v>
      </c>
      <c r="C2030" s="3">
        <f>IFERROR(__xludf.DUMMYFUNCTION("""COMPUTED_VALUE"""),3966.85)</f>
        <v>3966.85</v>
      </c>
      <c r="D2030" s="3">
        <f>IFERROR(__xludf.DUMMYFUNCTION("""COMPUTED_VALUE"""),3715.05)</f>
        <v>3715.05</v>
      </c>
      <c r="E2030" s="3">
        <f>IFERROR(__xludf.DUMMYFUNCTION("""COMPUTED_VALUE"""),3921.2)</f>
        <v>3921.2</v>
      </c>
      <c r="F2030" s="3">
        <f>IFERROR(__xludf.DUMMYFUNCTION("""COMPUTED_VALUE"""),0.0)</f>
        <v>0</v>
      </c>
    </row>
    <row r="2031">
      <c r="A2031" s="7">
        <f>IFERROR(__xludf.DUMMYFUNCTION("""COMPUTED_VALUE"""),39723.645833333336)</f>
        <v>39723.64583</v>
      </c>
      <c r="B2031" s="3">
        <f>IFERROR(__xludf.DUMMYFUNCTION("""COMPUTED_VALUE"""),3921.85)</f>
        <v>3921.85</v>
      </c>
      <c r="C2031" s="3">
        <f>IFERROR(__xludf.DUMMYFUNCTION("""COMPUTED_VALUE"""),4000.5)</f>
        <v>4000.5</v>
      </c>
      <c r="D2031" s="3">
        <f>IFERROR(__xludf.DUMMYFUNCTION("""COMPUTED_VALUE"""),3861.25)</f>
        <v>3861.25</v>
      </c>
      <c r="E2031" s="3">
        <f>IFERROR(__xludf.DUMMYFUNCTION("""COMPUTED_VALUE"""),3950.75)</f>
        <v>3950.75</v>
      </c>
      <c r="F2031" s="3">
        <f>IFERROR(__xludf.DUMMYFUNCTION("""COMPUTED_VALUE"""),0.0)</f>
        <v>0</v>
      </c>
    </row>
    <row r="2032">
      <c r="A2032" s="7">
        <f>IFERROR(__xludf.DUMMYFUNCTION("""COMPUTED_VALUE"""),39724.645833333336)</f>
        <v>39724.64583</v>
      </c>
      <c r="B2032" s="3">
        <f>IFERROR(__xludf.DUMMYFUNCTION("""COMPUTED_VALUE"""),3953.55)</f>
        <v>3953.55</v>
      </c>
      <c r="C2032" s="3">
        <f>IFERROR(__xludf.DUMMYFUNCTION("""COMPUTED_VALUE"""),3969.55)</f>
        <v>3969.55</v>
      </c>
      <c r="D2032" s="3">
        <f>IFERROR(__xludf.DUMMYFUNCTION("""COMPUTED_VALUE"""),3804.85)</f>
        <v>3804.85</v>
      </c>
      <c r="E2032" s="3">
        <f>IFERROR(__xludf.DUMMYFUNCTION("""COMPUTED_VALUE"""),3818.3)</f>
        <v>3818.3</v>
      </c>
      <c r="F2032" s="3">
        <f>IFERROR(__xludf.DUMMYFUNCTION("""COMPUTED_VALUE"""),0.0)</f>
        <v>0</v>
      </c>
    </row>
    <row r="2033">
      <c r="A2033" s="7">
        <f>IFERROR(__xludf.DUMMYFUNCTION("""COMPUTED_VALUE"""),39727.645833333336)</f>
        <v>39727.64583</v>
      </c>
      <c r="B2033" s="3">
        <f>IFERROR(__xludf.DUMMYFUNCTION("""COMPUTED_VALUE"""),3817.3)</f>
        <v>3817.3</v>
      </c>
      <c r="C2033" s="3">
        <f>IFERROR(__xludf.DUMMYFUNCTION("""COMPUTED_VALUE"""),3820.85)</f>
        <v>3820.85</v>
      </c>
      <c r="D2033" s="3">
        <f>IFERROR(__xludf.DUMMYFUNCTION("""COMPUTED_VALUE"""),3581.6)</f>
        <v>3581.6</v>
      </c>
      <c r="E2033" s="3">
        <f>IFERROR(__xludf.DUMMYFUNCTION("""COMPUTED_VALUE"""),3602.35)</f>
        <v>3602.35</v>
      </c>
      <c r="F2033" s="3">
        <f>IFERROR(__xludf.DUMMYFUNCTION("""COMPUTED_VALUE"""),0.0)</f>
        <v>0</v>
      </c>
    </row>
    <row r="2034">
      <c r="A2034" s="7">
        <f>IFERROR(__xludf.DUMMYFUNCTION("""COMPUTED_VALUE"""),39728.645833333336)</f>
        <v>39728.64583</v>
      </c>
      <c r="B2034" s="3">
        <f>IFERROR(__xludf.DUMMYFUNCTION("""COMPUTED_VALUE"""),3606.95)</f>
        <v>3606.95</v>
      </c>
      <c r="C2034" s="3">
        <f>IFERROR(__xludf.DUMMYFUNCTION("""COMPUTED_VALUE"""),3732.65)</f>
        <v>3732.65</v>
      </c>
      <c r="D2034" s="3">
        <f>IFERROR(__xludf.DUMMYFUNCTION("""COMPUTED_VALUE"""),3537.0)</f>
        <v>3537</v>
      </c>
      <c r="E2034" s="3">
        <f>IFERROR(__xludf.DUMMYFUNCTION("""COMPUTED_VALUE"""),3606.6)</f>
        <v>3606.6</v>
      </c>
      <c r="F2034" s="3">
        <f>IFERROR(__xludf.DUMMYFUNCTION("""COMPUTED_VALUE"""),0.0)</f>
        <v>0</v>
      </c>
    </row>
    <row r="2035">
      <c r="A2035" s="7">
        <f>IFERROR(__xludf.DUMMYFUNCTION("""COMPUTED_VALUE"""),39729.645833333336)</f>
        <v>39729.64583</v>
      </c>
      <c r="B2035" s="3">
        <f>IFERROR(__xludf.DUMMYFUNCTION("""COMPUTED_VALUE"""),3604.4)</f>
        <v>3604.4</v>
      </c>
      <c r="C2035" s="3">
        <f>IFERROR(__xludf.DUMMYFUNCTION("""COMPUTED_VALUE"""),3604.4)</f>
        <v>3604.4</v>
      </c>
      <c r="D2035" s="3">
        <f>IFERROR(__xludf.DUMMYFUNCTION("""COMPUTED_VALUE"""),3329.45)</f>
        <v>3329.45</v>
      </c>
      <c r="E2035" s="3">
        <f>IFERROR(__xludf.DUMMYFUNCTION("""COMPUTED_VALUE"""),3513.65)</f>
        <v>3513.65</v>
      </c>
      <c r="F2035" s="3">
        <f>IFERROR(__xludf.DUMMYFUNCTION("""COMPUTED_VALUE"""),0.0)</f>
        <v>0</v>
      </c>
    </row>
    <row r="2036">
      <c r="A2036" s="7">
        <f>IFERROR(__xludf.DUMMYFUNCTION("""COMPUTED_VALUE"""),39731.645833333336)</f>
        <v>39731.64583</v>
      </c>
      <c r="B2036" s="3">
        <f>IFERROR(__xludf.DUMMYFUNCTION("""COMPUTED_VALUE"""),3502.05)</f>
        <v>3502.05</v>
      </c>
      <c r="C2036" s="3">
        <f>IFERROR(__xludf.DUMMYFUNCTION("""COMPUTED_VALUE"""),3502.05)</f>
        <v>3502.05</v>
      </c>
      <c r="D2036" s="3">
        <f>IFERROR(__xludf.DUMMYFUNCTION("""COMPUTED_VALUE"""),3198.95)</f>
        <v>3198.95</v>
      </c>
      <c r="E2036" s="3">
        <f>IFERROR(__xludf.DUMMYFUNCTION("""COMPUTED_VALUE"""),3279.95)</f>
        <v>3279.95</v>
      </c>
      <c r="F2036" s="3">
        <f>IFERROR(__xludf.DUMMYFUNCTION("""COMPUTED_VALUE"""),0.0)</f>
        <v>0</v>
      </c>
    </row>
    <row r="2037">
      <c r="A2037" s="7">
        <f>IFERROR(__xludf.DUMMYFUNCTION("""COMPUTED_VALUE"""),39734.645833333336)</f>
        <v>39734.64583</v>
      </c>
      <c r="B2037" s="3">
        <f>IFERROR(__xludf.DUMMYFUNCTION("""COMPUTED_VALUE"""),3272.9)</f>
        <v>3272.9</v>
      </c>
      <c r="C2037" s="3">
        <f>IFERROR(__xludf.DUMMYFUNCTION("""COMPUTED_VALUE"""),3510.2)</f>
        <v>3510.2</v>
      </c>
      <c r="D2037" s="3">
        <f>IFERROR(__xludf.DUMMYFUNCTION("""COMPUTED_VALUE"""),3272.9)</f>
        <v>3272.9</v>
      </c>
      <c r="E2037" s="3">
        <f>IFERROR(__xludf.DUMMYFUNCTION("""COMPUTED_VALUE"""),3490.7)</f>
        <v>3490.7</v>
      </c>
      <c r="F2037" s="3">
        <f>IFERROR(__xludf.DUMMYFUNCTION("""COMPUTED_VALUE"""),0.0)</f>
        <v>0</v>
      </c>
    </row>
    <row r="2038">
      <c r="A2038" s="7">
        <f>IFERROR(__xludf.DUMMYFUNCTION("""COMPUTED_VALUE"""),39735.645833333336)</f>
        <v>39735.64583</v>
      </c>
      <c r="B2038" s="3">
        <f>IFERROR(__xludf.DUMMYFUNCTION("""COMPUTED_VALUE"""),3494.1)</f>
        <v>3494.1</v>
      </c>
      <c r="C2038" s="3">
        <f>IFERROR(__xludf.DUMMYFUNCTION("""COMPUTED_VALUE"""),3648.25)</f>
        <v>3648.25</v>
      </c>
      <c r="D2038" s="3">
        <f>IFERROR(__xludf.DUMMYFUNCTION("""COMPUTED_VALUE"""),3491.5)</f>
        <v>3491.5</v>
      </c>
      <c r="E2038" s="3">
        <f>IFERROR(__xludf.DUMMYFUNCTION("""COMPUTED_VALUE"""),3518.65)</f>
        <v>3518.65</v>
      </c>
      <c r="F2038" s="3">
        <f>IFERROR(__xludf.DUMMYFUNCTION("""COMPUTED_VALUE"""),0.0)</f>
        <v>0</v>
      </c>
    </row>
    <row r="2039">
      <c r="A2039" s="7">
        <f>IFERROR(__xludf.DUMMYFUNCTION("""COMPUTED_VALUE"""),39736.645833333336)</f>
        <v>39736.64583</v>
      </c>
      <c r="B2039" s="3">
        <f>IFERROR(__xludf.DUMMYFUNCTION("""COMPUTED_VALUE"""),3517.9)</f>
        <v>3517.9</v>
      </c>
      <c r="C2039" s="3">
        <f>IFERROR(__xludf.DUMMYFUNCTION("""COMPUTED_VALUE"""),3518.5)</f>
        <v>3518.5</v>
      </c>
      <c r="D2039" s="3">
        <f>IFERROR(__xludf.DUMMYFUNCTION("""COMPUTED_VALUE"""),3324.55)</f>
        <v>3324.55</v>
      </c>
      <c r="E2039" s="3">
        <f>IFERROR(__xludf.DUMMYFUNCTION("""COMPUTED_VALUE"""),3338.4)</f>
        <v>3338.4</v>
      </c>
      <c r="F2039" s="3">
        <f>IFERROR(__xludf.DUMMYFUNCTION("""COMPUTED_VALUE"""),0.0)</f>
        <v>0</v>
      </c>
    </row>
    <row r="2040">
      <c r="A2040" s="7">
        <f>IFERROR(__xludf.DUMMYFUNCTION("""COMPUTED_VALUE"""),39737.645833333336)</f>
        <v>39737.64583</v>
      </c>
      <c r="B2040" s="3">
        <f>IFERROR(__xludf.DUMMYFUNCTION("""COMPUTED_VALUE"""),3333.85)</f>
        <v>3333.85</v>
      </c>
      <c r="C2040" s="3">
        <f>IFERROR(__xludf.DUMMYFUNCTION("""COMPUTED_VALUE"""),3333.85)</f>
        <v>3333.85</v>
      </c>
      <c r="D2040" s="3">
        <f>IFERROR(__xludf.DUMMYFUNCTION("""COMPUTED_VALUE"""),3099.9)</f>
        <v>3099.9</v>
      </c>
      <c r="E2040" s="3">
        <f>IFERROR(__xludf.DUMMYFUNCTION("""COMPUTED_VALUE"""),3269.3)</f>
        <v>3269.3</v>
      </c>
      <c r="F2040" s="3">
        <f>IFERROR(__xludf.DUMMYFUNCTION("""COMPUTED_VALUE"""),0.0)</f>
        <v>0</v>
      </c>
    </row>
    <row r="2041">
      <c r="A2041" s="7">
        <f>IFERROR(__xludf.DUMMYFUNCTION("""COMPUTED_VALUE"""),39738.645833333336)</f>
        <v>39738.64583</v>
      </c>
      <c r="B2041" s="3">
        <f>IFERROR(__xludf.DUMMYFUNCTION("""COMPUTED_VALUE"""),3269.05)</f>
        <v>3269.05</v>
      </c>
      <c r="C2041" s="3">
        <f>IFERROR(__xludf.DUMMYFUNCTION("""COMPUTED_VALUE"""),3335.95)</f>
        <v>3335.95</v>
      </c>
      <c r="D2041" s="3">
        <f>IFERROR(__xludf.DUMMYFUNCTION("""COMPUTED_VALUE"""),3046.6)</f>
        <v>3046.6</v>
      </c>
      <c r="E2041" s="3">
        <f>IFERROR(__xludf.DUMMYFUNCTION("""COMPUTED_VALUE"""),3074.35)</f>
        <v>3074.35</v>
      </c>
      <c r="F2041" s="3">
        <f>IFERROR(__xludf.DUMMYFUNCTION("""COMPUTED_VALUE"""),0.0)</f>
        <v>0</v>
      </c>
    </row>
    <row r="2042">
      <c r="A2042" s="7">
        <f>IFERROR(__xludf.DUMMYFUNCTION("""COMPUTED_VALUE"""),39741.645833333336)</f>
        <v>39741.64583</v>
      </c>
      <c r="B2042" s="3">
        <f>IFERROR(__xludf.DUMMYFUNCTION("""COMPUTED_VALUE"""),3108.2)</f>
        <v>3108.2</v>
      </c>
      <c r="C2042" s="3">
        <f>IFERROR(__xludf.DUMMYFUNCTION("""COMPUTED_VALUE"""),3238.4)</f>
        <v>3238.4</v>
      </c>
      <c r="D2042" s="3">
        <f>IFERROR(__xludf.DUMMYFUNCTION("""COMPUTED_VALUE"""),3058.95)</f>
        <v>3058.95</v>
      </c>
      <c r="E2042" s="3">
        <f>IFERROR(__xludf.DUMMYFUNCTION("""COMPUTED_VALUE"""),3122.8)</f>
        <v>3122.8</v>
      </c>
      <c r="F2042" s="3">
        <f>IFERROR(__xludf.DUMMYFUNCTION("""COMPUTED_VALUE"""),0.0)</f>
        <v>0</v>
      </c>
    </row>
    <row r="2043">
      <c r="A2043" s="7">
        <f>IFERROR(__xludf.DUMMYFUNCTION("""COMPUTED_VALUE"""),39742.645833333336)</f>
        <v>39742.64583</v>
      </c>
      <c r="B2043" s="3">
        <f>IFERROR(__xludf.DUMMYFUNCTION("""COMPUTED_VALUE"""),3125.4)</f>
        <v>3125.4</v>
      </c>
      <c r="C2043" s="3">
        <f>IFERROR(__xludf.DUMMYFUNCTION("""COMPUTED_VALUE"""),3254.85)</f>
        <v>3254.85</v>
      </c>
      <c r="D2043" s="3">
        <f>IFERROR(__xludf.DUMMYFUNCTION("""COMPUTED_VALUE"""),3117.35)</f>
        <v>3117.35</v>
      </c>
      <c r="E2043" s="3">
        <f>IFERROR(__xludf.DUMMYFUNCTION("""COMPUTED_VALUE"""),3234.9)</f>
        <v>3234.9</v>
      </c>
      <c r="F2043" s="3">
        <f>IFERROR(__xludf.DUMMYFUNCTION("""COMPUTED_VALUE"""),0.0)</f>
        <v>0</v>
      </c>
    </row>
    <row r="2044">
      <c r="A2044" s="7">
        <f>IFERROR(__xludf.DUMMYFUNCTION("""COMPUTED_VALUE"""),39743.645833333336)</f>
        <v>39743.64583</v>
      </c>
      <c r="B2044" s="3">
        <f>IFERROR(__xludf.DUMMYFUNCTION("""COMPUTED_VALUE"""),3234.7)</f>
        <v>3234.7</v>
      </c>
      <c r="C2044" s="3">
        <f>IFERROR(__xludf.DUMMYFUNCTION("""COMPUTED_VALUE"""),3235.75)</f>
        <v>3235.75</v>
      </c>
      <c r="D2044" s="3">
        <f>IFERROR(__xludf.DUMMYFUNCTION("""COMPUTED_VALUE"""),3051.8)</f>
        <v>3051.8</v>
      </c>
      <c r="E2044" s="3">
        <f>IFERROR(__xludf.DUMMYFUNCTION("""COMPUTED_VALUE"""),3065.15)</f>
        <v>3065.15</v>
      </c>
      <c r="F2044" s="3">
        <f>IFERROR(__xludf.DUMMYFUNCTION("""COMPUTED_VALUE"""),0.0)</f>
        <v>0</v>
      </c>
    </row>
    <row r="2045">
      <c r="A2045" s="7">
        <f>IFERROR(__xludf.DUMMYFUNCTION("""COMPUTED_VALUE"""),39744.645833333336)</f>
        <v>39744.64583</v>
      </c>
      <c r="B2045" s="3">
        <f>IFERROR(__xludf.DUMMYFUNCTION("""COMPUTED_VALUE"""),3064.8)</f>
        <v>3064.8</v>
      </c>
      <c r="C2045" s="3">
        <f>IFERROR(__xludf.DUMMYFUNCTION("""COMPUTED_VALUE"""),3085.1)</f>
        <v>3085.1</v>
      </c>
      <c r="D2045" s="3">
        <f>IFERROR(__xludf.DUMMYFUNCTION("""COMPUTED_VALUE"""),2917.15)</f>
        <v>2917.15</v>
      </c>
      <c r="E2045" s="3">
        <f>IFERROR(__xludf.DUMMYFUNCTION("""COMPUTED_VALUE"""),2943.15)</f>
        <v>2943.15</v>
      </c>
      <c r="F2045" s="3">
        <f>IFERROR(__xludf.DUMMYFUNCTION("""COMPUTED_VALUE"""),0.0)</f>
        <v>0</v>
      </c>
    </row>
    <row r="2046">
      <c r="A2046" s="7">
        <f>IFERROR(__xludf.DUMMYFUNCTION("""COMPUTED_VALUE"""),39749.645833333336)</f>
        <v>39749.64583</v>
      </c>
      <c r="B2046" s="3">
        <f>IFERROR(__xludf.DUMMYFUNCTION("""COMPUTED_VALUE"""),2526.2)</f>
        <v>2526.2</v>
      </c>
      <c r="C2046" s="3">
        <f>IFERROR(__xludf.DUMMYFUNCTION("""COMPUTED_VALUE"""),2695.95)</f>
        <v>2695.95</v>
      </c>
      <c r="D2046" s="3">
        <f>IFERROR(__xludf.DUMMYFUNCTION("""COMPUTED_VALUE"""),2526.2)</f>
        <v>2526.2</v>
      </c>
      <c r="E2046" s="3">
        <f>IFERROR(__xludf.DUMMYFUNCTION("""COMPUTED_VALUE"""),2684.6)</f>
        <v>2684.6</v>
      </c>
      <c r="F2046" s="3">
        <f>IFERROR(__xludf.DUMMYFUNCTION("""COMPUTED_VALUE"""),0.0)</f>
        <v>0</v>
      </c>
    </row>
    <row r="2047">
      <c r="A2047" s="7">
        <f>IFERROR(__xludf.DUMMYFUNCTION("""COMPUTED_VALUE"""),39751.645833333336)</f>
        <v>39751.64583</v>
      </c>
      <c r="B2047" s="3">
        <f>IFERROR(__xludf.DUMMYFUNCTION("""COMPUTED_VALUE"""),2685.3)</f>
        <v>2685.3</v>
      </c>
      <c r="C2047" s="3">
        <f>IFERROR(__xludf.DUMMYFUNCTION("""COMPUTED_VALUE"""),2781.25)</f>
        <v>2781.25</v>
      </c>
      <c r="D2047" s="3">
        <f>IFERROR(__xludf.DUMMYFUNCTION("""COMPUTED_VALUE"""),2631.9)</f>
        <v>2631.9</v>
      </c>
      <c r="E2047" s="3">
        <f>IFERROR(__xludf.DUMMYFUNCTION("""COMPUTED_VALUE"""),2697.05)</f>
        <v>2697.05</v>
      </c>
      <c r="F2047" s="3">
        <f>IFERROR(__xludf.DUMMYFUNCTION("""COMPUTED_VALUE"""),0.0)</f>
        <v>0</v>
      </c>
    </row>
    <row r="2048">
      <c r="A2048" s="7">
        <f>IFERROR(__xludf.DUMMYFUNCTION("""COMPUTED_VALUE"""),39752.645833333336)</f>
        <v>39752.64583</v>
      </c>
      <c r="B2048" s="3">
        <f>IFERROR(__xludf.DUMMYFUNCTION("""COMPUTED_VALUE"""),2696.3)</f>
        <v>2696.3</v>
      </c>
      <c r="C2048" s="3">
        <f>IFERROR(__xludf.DUMMYFUNCTION("""COMPUTED_VALUE"""),2921.35)</f>
        <v>2921.35</v>
      </c>
      <c r="D2048" s="3">
        <f>IFERROR(__xludf.DUMMYFUNCTION("""COMPUTED_VALUE"""),2696.3)</f>
        <v>2696.3</v>
      </c>
      <c r="E2048" s="3">
        <f>IFERROR(__xludf.DUMMYFUNCTION("""COMPUTED_VALUE"""),2885.6)</f>
        <v>2885.6</v>
      </c>
      <c r="F2048" s="3">
        <f>IFERROR(__xludf.DUMMYFUNCTION("""COMPUTED_VALUE"""),0.0)</f>
        <v>0</v>
      </c>
    </row>
    <row r="2049">
      <c r="A2049" s="7">
        <f>IFERROR(__xludf.DUMMYFUNCTION("""COMPUTED_VALUE"""),39755.645833333336)</f>
        <v>39755.64583</v>
      </c>
      <c r="B2049" s="3">
        <f>IFERROR(__xludf.DUMMYFUNCTION("""COMPUTED_VALUE"""),2885.4)</f>
        <v>2885.4</v>
      </c>
      <c r="C2049" s="3">
        <f>IFERROR(__xludf.DUMMYFUNCTION("""COMPUTED_VALUE"""),3062.05)</f>
        <v>3062.05</v>
      </c>
      <c r="D2049" s="3">
        <f>IFERROR(__xludf.DUMMYFUNCTION("""COMPUTED_VALUE"""),2885.4)</f>
        <v>2885.4</v>
      </c>
      <c r="E2049" s="3">
        <f>IFERROR(__xludf.DUMMYFUNCTION("""COMPUTED_VALUE"""),3043.85)</f>
        <v>3043.85</v>
      </c>
      <c r="F2049" s="3">
        <f>IFERROR(__xludf.DUMMYFUNCTION("""COMPUTED_VALUE"""),0.0)</f>
        <v>0</v>
      </c>
    </row>
    <row r="2050">
      <c r="A2050" s="7">
        <f>IFERROR(__xludf.DUMMYFUNCTION("""COMPUTED_VALUE"""),39756.645833333336)</f>
        <v>39756.64583</v>
      </c>
      <c r="B2050" s="3">
        <f>IFERROR(__xludf.DUMMYFUNCTION("""COMPUTED_VALUE"""),3050.25)</f>
        <v>3050.25</v>
      </c>
      <c r="C2050" s="3">
        <f>IFERROR(__xludf.DUMMYFUNCTION("""COMPUTED_VALUE"""),3152.3)</f>
        <v>3152.3</v>
      </c>
      <c r="D2050" s="3">
        <f>IFERROR(__xludf.DUMMYFUNCTION("""COMPUTED_VALUE"""),2985.0)</f>
        <v>2985</v>
      </c>
      <c r="E2050" s="3">
        <f>IFERROR(__xludf.DUMMYFUNCTION("""COMPUTED_VALUE"""),3142.1)</f>
        <v>3142.1</v>
      </c>
      <c r="F2050" s="3">
        <f>IFERROR(__xludf.DUMMYFUNCTION("""COMPUTED_VALUE"""),0.0)</f>
        <v>0</v>
      </c>
    </row>
    <row r="2051">
      <c r="A2051" s="7">
        <f>IFERROR(__xludf.DUMMYFUNCTION("""COMPUTED_VALUE"""),39757.645833333336)</f>
        <v>39757.64583</v>
      </c>
      <c r="B2051" s="3">
        <f>IFERROR(__xludf.DUMMYFUNCTION("""COMPUTED_VALUE"""),3155.75)</f>
        <v>3155.75</v>
      </c>
      <c r="C2051" s="3">
        <f>IFERROR(__xludf.DUMMYFUNCTION("""COMPUTED_VALUE"""),3240.55)</f>
        <v>3240.55</v>
      </c>
      <c r="D2051" s="3">
        <f>IFERROR(__xludf.DUMMYFUNCTION("""COMPUTED_VALUE"""),2971.0)</f>
        <v>2971</v>
      </c>
      <c r="E2051" s="3">
        <f>IFERROR(__xludf.DUMMYFUNCTION("""COMPUTED_VALUE"""),2994.95)</f>
        <v>2994.95</v>
      </c>
      <c r="F2051" s="3">
        <f>IFERROR(__xludf.DUMMYFUNCTION("""COMPUTED_VALUE"""),0.0)</f>
        <v>0</v>
      </c>
    </row>
    <row r="2052">
      <c r="A2052" s="7">
        <f>IFERROR(__xludf.DUMMYFUNCTION("""COMPUTED_VALUE"""),39758.645833333336)</f>
        <v>39758.64583</v>
      </c>
      <c r="B2052" s="3">
        <f>IFERROR(__xludf.DUMMYFUNCTION("""COMPUTED_VALUE"""),2998.45)</f>
        <v>2998.45</v>
      </c>
      <c r="C2052" s="3">
        <f>IFERROR(__xludf.DUMMYFUNCTION("""COMPUTED_VALUE"""),3007.8)</f>
        <v>3007.8</v>
      </c>
      <c r="D2052" s="3">
        <f>IFERROR(__xludf.DUMMYFUNCTION("""COMPUTED_VALUE"""),2860.25)</f>
        <v>2860.25</v>
      </c>
      <c r="E2052" s="3">
        <f>IFERROR(__xludf.DUMMYFUNCTION("""COMPUTED_VALUE"""),2892.65)</f>
        <v>2892.65</v>
      </c>
      <c r="F2052" s="3">
        <f>IFERROR(__xludf.DUMMYFUNCTION("""COMPUTED_VALUE"""),0.0)</f>
        <v>0</v>
      </c>
    </row>
    <row r="2053">
      <c r="A2053" s="7">
        <f>IFERROR(__xludf.DUMMYFUNCTION("""COMPUTED_VALUE"""),39759.645833333336)</f>
        <v>39759.64583</v>
      </c>
      <c r="B2053" s="3">
        <f>IFERROR(__xludf.DUMMYFUNCTION("""COMPUTED_VALUE"""),2893.25)</f>
        <v>2893.25</v>
      </c>
      <c r="C2053" s="3">
        <f>IFERROR(__xludf.DUMMYFUNCTION("""COMPUTED_VALUE"""),3010.0)</f>
        <v>3010</v>
      </c>
      <c r="D2053" s="3">
        <f>IFERROR(__xludf.DUMMYFUNCTION("""COMPUTED_VALUE"""),2860.1)</f>
        <v>2860.1</v>
      </c>
      <c r="E2053" s="3">
        <f>IFERROR(__xludf.DUMMYFUNCTION("""COMPUTED_VALUE"""),2973.0)</f>
        <v>2973</v>
      </c>
      <c r="F2053" s="3">
        <f>IFERROR(__xludf.DUMMYFUNCTION("""COMPUTED_VALUE"""),0.0)</f>
        <v>0</v>
      </c>
    </row>
    <row r="2054">
      <c r="A2054" s="7">
        <f>IFERROR(__xludf.DUMMYFUNCTION("""COMPUTED_VALUE"""),39762.645833333336)</f>
        <v>39762.64583</v>
      </c>
      <c r="B2054" s="3">
        <f>IFERROR(__xludf.DUMMYFUNCTION("""COMPUTED_VALUE"""),2973.3)</f>
        <v>2973.3</v>
      </c>
      <c r="C2054" s="3">
        <f>IFERROR(__xludf.DUMMYFUNCTION("""COMPUTED_VALUE"""),3161.25)</f>
        <v>3161.25</v>
      </c>
      <c r="D2054" s="3">
        <f>IFERROR(__xludf.DUMMYFUNCTION("""COMPUTED_VALUE"""),2973.3)</f>
        <v>2973.3</v>
      </c>
      <c r="E2054" s="3">
        <f>IFERROR(__xludf.DUMMYFUNCTION("""COMPUTED_VALUE"""),3148.25)</f>
        <v>3148.25</v>
      </c>
      <c r="F2054" s="3">
        <f>IFERROR(__xludf.DUMMYFUNCTION("""COMPUTED_VALUE"""),0.0)</f>
        <v>0</v>
      </c>
    </row>
    <row r="2055">
      <c r="A2055" s="7">
        <f>IFERROR(__xludf.DUMMYFUNCTION("""COMPUTED_VALUE"""),39763.645833333336)</f>
        <v>39763.64583</v>
      </c>
      <c r="B2055" s="3">
        <f>IFERROR(__xludf.DUMMYFUNCTION("""COMPUTED_VALUE"""),3147.2)</f>
        <v>3147.2</v>
      </c>
      <c r="C2055" s="3">
        <f>IFERROR(__xludf.DUMMYFUNCTION("""COMPUTED_VALUE"""),3147.2)</f>
        <v>3147.2</v>
      </c>
      <c r="D2055" s="3">
        <f>IFERROR(__xludf.DUMMYFUNCTION("""COMPUTED_VALUE"""),2919.45)</f>
        <v>2919.45</v>
      </c>
      <c r="E2055" s="3">
        <f>IFERROR(__xludf.DUMMYFUNCTION("""COMPUTED_VALUE"""),2938.65)</f>
        <v>2938.65</v>
      </c>
      <c r="F2055" s="3">
        <f>IFERROR(__xludf.DUMMYFUNCTION("""COMPUTED_VALUE"""),0.0)</f>
        <v>0</v>
      </c>
    </row>
    <row r="2056">
      <c r="A2056" s="7">
        <f>IFERROR(__xludf.DUMMYFUNCTION("""COMPUTED_VALUE"""),39765.645833333336)</f>
        <v>39765.64583</v>
      </c>
      <c r="B2056" s="3">
        <f>IFERROR(__xludf.DUMMYFUNCTION("""COMPUTED_VALUE"""),2937.9)</f>
        <v>2937.9</v>
      </c>
      <c r="C2056" s="3">
        <f>IFERROR(__xludf.DUMMYFUNCTION("""COMPUTED_VALUE"""),2975.2)</f>
        <v>2975.2</v>
      </c>
      <c r="D2056" s="3">
        <f>IFERROR(__xludf.DUMMYFUNCTION("""COMPUTED_VALUE"""),2794.95)</f>
        <v>2794.95</v>
      </c>
      <c r="E2056" s="3">
        <f>IFERROR(__xludf.DUMMYFUNCTION("""COMPUTED_VALUE"""),2848.45)</f>
        <v>2848.45</v>
      </c>
      <c r="F2056" s="3">
        <f>IFERROR(__xludf.DUMMYFUNCTION("""COMPUTED_VALUE"""),0.0)</f>
        <v>0</v>
      </c>
    </row>
    <row r="2057">
      <c r="A2057" s="7">
        <f>IFERROR(__xludf.DUMMYFUNCTION("""COMPUTED_VALUE"""),39769.645833333336)</f>
        <v>39769.64583</v>
      </c>
      <c r="B2057" s="3">
        <f>IFERROR(__xludf.DUMMYFUNCTION("""COMPUTED_VALUE"""),2813.4)</f>
        <v>2813.4</v>
      </c>
      <c r="C2057" s="3">
        <f>IFERROR(__xludf.DUMMYFUNCTION("""COMPUTED_VALUE"""),2835.7)</f>
        <v>2835.7</v>
      </c>
      <c r="D2057" s="3">
        <f>IFERROR(__xludf.DUMMYFUNCTION("""COMPUTED_VALUE"""),2694.5)</f>
        <v>2694.5</v>
      </c>
      <c r="E2057" s="3">
        <f>IFERROR(__xludf.DUMMYFUNCTION("""COMPUTED_VALUE"""),2799.55)</f>
        <v>2799.55</v>
      </c>
      <c r="F2057" s="3">
        <f>IFERROR(__xludf.DUMMYFUNCTION("""COMPUTED_VALUE"""),0.0)</f>
        <v>0</v>
      </c>
    </row>
    <row r="2058">
      <c r="A2058" s="7">
        <f>IFERROR(__xludf.DUMMYFUNCTION("""COMPUTED_VALUE"""),39770.645833333336)</f>
        <v>39770.64583</v>
      </c>
      <c r="B2058" s="3">
        <f>IFERROR(__xludf.DUMMYFUNCTION("""COMPUTED_VALUE"""),2802.45)</f>
        <v>2802.45</v>
      </c>
      <c r="C2058" s="3">
        <f>IFERROR(__xludf.DUMMYFUNCTION("""COMPUTED_VALUE"""),2802.45)</f>
        <v>2802.45</v>
      </c>
      <c r="D2058" s="3">
        <f>IFERROR(__xludf.DUMMYFUNCTION("""COMPUTED_VALUE"""),2664.3)</f>
        <v>2664.3</v>
      </c>
      <c r="E2058" s="3">
        <f>IFERROR(__xludf.DUMMYFUNCTION("""COMPUTED_VALUE"""),2683.15)</f>
        <v>2683.15</v>
      </c>
      <c r="F2058" s="3">
        <f>IFERROR(__xludf.DUMMYFUNCTION("""COMPUTED_VALUE"""),0.0)</f>
        <v>0</v>
      </c>
    </row>
    <row r="2059">
      <c r="A2059" s="7">
        <f>IFERROR(__xludf.DUMMYFUNCTION("""COMPUTED_VALUE"""),39771.645833333336)</f>
        <v>39771.64583</v>
      </c>
      <c r="B2059" s="3">
        <f>IFERROR(__xludf.DUMMYFUNCTION("""COMPUTED_VALUE"""),2682.75)</f>
        <v>2682.75</v>
      </c>
      <c r="C2059" s="3">
        <f>IFERROR(__xludf.DUMMYFUNCTION("""COMPUTED_VALUE"""),2772.4)</f>
        <v>2772.4</v>
      </c>
      <c r="D2059" s="3">
        <f>IFERROR(__xludf.DUMMYFUNCTION("""COMPUTED_VALUE"""),2617.9)</f>
        <v>2617.9</v>
      </c>
      <c r="E2059" s="3">
        <f>IFERROR(__xludf.DUMMYFUNCTION("""COMPUTED_VALUE"""),2635.0)</f>
        <v>2635</v>
      </c>
      <c r="F2059" s="3">
        <f>IFERROR(__xludf.DUMMYFUNCTION("""COMPUTED_VALUE"""),0.0)</f>
        <v>0</v>
      </c>
    </row>
    <row r="2060">
      <c r="A2060" s="7">
        <f>IFERROR(__xludf.DUMMYFUNCTION("""COMPUTED_VALUE"""),39772.645833333336)</f>
        <v>39772.64583</v>
      </c>
      <c r="B2060" s="3">
        <f>IFERROR(__xludf.DUMMYFUNCTION("""COMPUTED_VALUE"""),2634.2)</f>
        <v>2634.2</v>
      </c>
      <c r="C2060" s="3">
        <f>IFERROR(__xludf.DUMMYFUNCTION("""COMPUTED_VALUE"""),2634.2)</f>
        <v>2634.2</v>
      </c>
      <c r="D2060" s="3">
        <f>IFERROR(__xludf.DUMMYFUNCTION("""COMPUTED_VALUE"""),2502.9)</f>
        <v>2502.9</v>
      </c>
      <c r="E2060" s="3">
        <f>IFERROR(__xludf.DUMMYFUNCTION("""COMPUTED_VALUE"""),2553.15)</f>
        <v>2553.15</v>
      </c>
      <c r="F2060" s="3">
        <f>IFERROR(__xludf.DUMMYFUNCTION("""COMPUTED_VALUE"""),0.0)</f>
        <v>0</v>
      </c>
    </row>
    <row r="2061">
      <c r="A2061" s="7">
        <f>IFERROR(__xludf.DUMMYFUNCTION("""COMPUTED_VALUE"""),39776.645833333336)</f>
        <v>39776.64583</v>
      </c>
      <c r="B2061" s="3">
        <f>IFERROR(__xludf.DUMMYFUNCTION("""COMPUTED_VALUE"""),2690.85)</f>
        <v>2690.85</v>
      </c>
      <c r="C2061" s="3">
        <f>IFERROR(__xludf.DUMMYFUNCTION("""COMPUTED_VALUE"""),2740.35)</f>
        <v>2740.35</v>
      </c>
      <c r="D2061" s="3">
        <f>IFERROR(__xludf.DUMMYFUNCTION("""COMPUTED_VALUE"""),2633.8)</f>
        <v>2633.8</v>
      </c>
      <c r="E2061" s="3">
        <f>IFERROR(__xludf.DUMMYFUNCTION("""COMPUTED_VALUE"""),2708.25)</f>
        <v>2708.25</v>
      </c>
      <c r="F2061" s="3">
        <f>IFERROR(__xludf.DUMMYFUNCTION("""COMPUTED_VALUE"""),0.0)</f>
        <v>0</v>
      </c>
    </row>
    <row r="2062">
      <c r="A2062" s="7">
        <f>IFERROR(__xludf.DUMMYFUNCTION("""COMPUTED_VALUE"""),39777.645833333336)</f>
        <v>39777.64583</v>
      </c>
      <c r="B2062" s="3">
        <f>IFERROR(__xludf.DUMMYFUNCTION("""COMPUTED_VALUE"""),2708.3)</f>
        <v>2708.3</v>
      </c>
      <c r="C2062" s="3">
        <f>IFERROR(__xludf.DUMMYFUNCTION("""COMPUTED_VALUE"""),2790.7)</f>
        <v>2790.7</v>
      </c>
      <c r="D2062" s="3">
        <f>IFERROR(__xludf.DUMMYFUNCTION("""COMPUTED_VALUE"""),2638.2)</f>
        <v>2638.2</v>
      </c>
      <c r="E2062" s="3">
        <f>IFERROR(__xludf.DUMMYFUNCTION("""COMPUTED_VALUE"""),2654.0)</f>
        <v>2654</v>
      </c>
      <c r="F2062" s="3">
        <f>IFERROR(__xludf.DUMMYFUNCTION("""COMPUTED_VALUE"""),0.0)</f>
        <v>0</v>
      </c>
    </row>
    <row r="2063">
      <c r="A2063" s="7">
        <f>IFERROR(__xludf.DUMMYFUNCTION("""COMPUTED_VALUE"""),39779.645833333336)</f>
        <v>39779.64583</v>
      </c>
      <c r="B2063" s="3">
        <f>IFERROR(__xludf.DUMMYFUNCTION("""COMPUTED_VALUE"""),2652.45)</f>
        <v>2652.45</v>
      </c>
      <c r="C2063" s="3">
        <f>IFERROR(__xludf.DUMMYFUNCTION("""COMPUTED_VALUE"""),2762.6)</f>
        <v>2762.6</v>
      </c>
      <c r="D2063" s="3">
        <f>IFERROR(__xludf.DUMMYFUNCTION("""COMPUTED_VALUE"""),2643.35)</f>
        <v>2643.35</v>
      </c>
      <c r="E2063" s="3">
        <f>IFERROR(__xludf.DUMMYFUNCTION("""COMPUTED_VALUE"""),2752.25)</f>
        <v>2752.25</v>
      </c>
      <c r="F2063" s="3">
        <f>IFERROR(__xludf.DUMMYFUNCTION("""COMPUTED_VALUE"""),0.0)</f>
        <v>0</v>
      </c>
    </row>
    <row r="2064">
      <c r="A2064" s="7">
        <f>IFERROR(__xludf.DUMMYFUNCTION("""COMPUTED_VALUE"""),39783.645833333336)</f>
        <v>39783.64583</v>
      </c>
      <c r="B2064" s="3">
        <f>IFERROR(__xludf.DUMMYFUNCTION("""COMPUTED_VALUE"""),2755.15)</f>
        <v>2755.15</v>
      </c>
      <c r="C2064" s="3">
        <f>IFERROR(__xludf.DUMMYFUNCTION("""COMPUTED_VALUE"""),2832.85)</f>
        <v>2832.85</v>
      </c>
      <c r="D2064" s="3">
        <f>IFERROR(__xludf.DUMMYFUNCTION("""COMPUTED_VALUE"""),2669.5)</f>
        <v>2669.5</v>
      </c>
      <c r="E2064" s="3">
        <f>IFERROR(__xludf.DUMMYFUNCTION("""COMPUTED_VALUE"""),2682.9)</f>
        <v>2682.9</v>
      </c>
      <c r="F2064" s="3">
        <f>IFERROR(__xludf.DUMMYFUNCTION("""COMPUTED_VALUE"""),0.0)</f>
        <v>0</v>
      </c>
    </row>
    <row r="2065">
      <c r="A2065" s="7">
        <f>IFERROR(__xludf.DUMMYFUNCTION("""COMPUTED_VALUE"""),39784.645833333336)</f>
        <v>39784.64583</v>
      </c>
      <c r="B2065" s="3">
        <f>IFERROR(__xludf.DUMMYFUNCTION("""COMPUTED_VALUE"""),2672.9)</f>
        <v>2672.9</v>
      </c>
      <c r="C2065" s="3">
        <f>IFERROR(__xludf.DUMMYFUNCTION("""COMPUTED_VALUE"""),2672.9)</f>
        <v>2672.9</v>
      </c>
      <c r="D2065" s="3">
        <f>IFERROR(__xludf.DUMMYFUNCTION("""COMPUTED_VALUE"""),2570.7)</f>
        <v>2570.7</v>
      </c>
      <c r="E2065" s="3">
        <f>IFERROR(__xludf.DUMMYFUNCTION("""COMPUTED_VALUE"""),2657.8)</f>
        <v>2657.8</v>
      </c>
      <c r="F2065" s="3">
        <f>IFERROR(__xludf.DUMMYFUNCTION("""COMPUTED_VALUE"""),0.0)</f>
        <v>0</v>
      </c>
    </row>
    <row r="2066">
      <c r="A2066" s="7">
        <f>IFERROR(__xludf.DUMMYFUNCTION("""COMPUTED_VALUE"""),39785.645833333336)</f>
        <v>39785.64583</v>
      </c>
      <c r="B2066" s="3">
        <f>IFERROR(__xludf.DUMMYFUNCTION("""COMPUTED_VALUE"""),2657.5)</f>
        <v>2657.5</v>
      </c>
      <c r="C2066" s="3">
        <f>IFERROR(__xludf.DUMMYFUNCTION("""COMPUTED_VALUE"""),2693.65)</f>
        <v>2693.65</v>
      </c>
      <c r="D2066" s="3">
        <f>IFERROR(__xludf.DUMMYFUNCTION("""COMPUTED_VALUE"""),2611.95)</f>
        <v>2611.95</v>
      </c>
      <c r="E2066" s="3">
        <f>IFERROR(__xludf.DUMMYFUNCTION("""COMPUTED_VALUE"""),2656.45)</f>
        <v>2656.45</v>
      </c>
      <c r="F2066" s="3">
        <f>IFERROR(__xludf.DUMMYFUNCTION("""COMPUTED_VALUE"""),0.0)</f>
        <v>0</v>
      </c>
    </row>
    <row r="2067">
      <c r="A2067" s="7">
        <f>IFERROR(__xludf.DUMMYFUNCTION("""COMPUTED_VALUE"""),39786.645833333336)</f>
        <v>39786.64583</v>
      </c>
      <c r="B2067" s="3">
        <f>IFERROR(__xludf.DUMMYFUNCTION("""COMPUTED_VALUE"""),2656.5)</f>
        <v>2656.5</v>
      </c>
      <c r="C2067" s="3">
        <f>IFERROR(__xludf.DUMMYFUNCTION("""COMPUTED_VALUE"""),2793.8)</f>
        <v>2793.8</v>
      </c>
      <c r="D2067" s="3">
        <f>IFERROR(__xludf.DUMMYFUNCTION("""COMPUTED_VALUE"""),2646.35)</f>
        <v>2646.35</v>
      </c>
      <c r="E2067" s="3">
        <f>IFERROR(__xludf.DUMMYFUNCTION("""COMPUTED_VALUE"""),2788.0)</f>
        <v>2788</v>
      </c>
      <c r="F2067" s="3">
        <f>IFERROR(__xludf.DUMMYFUNCTION("""COMPUTED_VALUE"""),0.0)</f>
        <v>0</v>
      </c>
    </row>
    <row r="2068">
      <c r="A2068" s="7">
        <f>IFERROR(__xludf.DUMMYFUNCTION("""COMPUTED_VALUE"""),39787.645833333336)</f>
        <v>39787.64583</v>
      </c>
      <c r="B2068" s="3">
        <f>IFERROR(__xludf.DUMMYFUNCTION("""COMPUTED_VALUE"""),2786.65)</f>
        <v>2786.65</v>
      </c>
      <c r="C2068" s="3">
        <f>IFERROR(__xludf.DUMMYFUNCTION("""COMPUTED_VALUE"""),2821.15)</f>
        <v>2821.15</v>
      </c>
      <c r="D2068" s="3">
        <f>IFERROR(__xludf.DUMMYFUNCTION("""COMPUTED_VALUE"""),2701.35)</f>
        <v>2701.35</v>
      </c>
      <c r="E2068" s="3">
        <f>IFERROR(__xludf.DUMMYFUNCTION("""COMPUTED_VALUE"""),2714.4)</f>
        <v>2714.4</v>
      </c>
      <c r="F2068" s="3">
        <f>IFERROR(__xludf.DUMMYFUNCTION("""COMPUTED_VALUE"""),0.0)</f>
        <v>0</v>
      </c>
    </row>
    <row r="2069">
      <c r="A2069" s="7">
        <f>IFERROR(__xludf.DUMMYFUNCTION("""COMPUTED_VALUE"""),39790.645833333336)</f>
        <v>39790.64583</v>
      </c>
      <c r="B2069" s="3">
        <f>IFERROR(__xludf.DUMMYFUNCTION("""COMPUTED_VALUE"""),2714.7)</f>
        <v>2714.7</v>
      </c>
      <c r="C2069" s="3">
        <f>IFERROR(__xludf.DUMMYFUNCTION("""COMPUTED_VALUE"""),2861.55)</f>
        <v>2861.55</v>
      </c>
      <c r="D2069" s="3">
        <f>IFERROR(__xludf.DUMMYFUNCTION("""COMPUTED_VALUE"""),2714.7)</f>
        <v>2714.7</v>
      </c>
      <c r="E2069" s="3">
        <f>IFERROR(__xludf.DUMMYFUNCTION("""COMPUTED_VALUE"""),2784.0)</f>
        <v>2784</v>
      </c>
      <c r="F2069" s="3">
        <f>IFERROR(__xludf.DUMMYFUNCTION("""COMPUTED_VALUE"""),0.0)</f>
        <v>0</v>
      </c>
    </row>
    <row r="2070">
      <c r="A2070" s="7">
        <f>IFERROR(__xludf.DUMMYFUNCTION("""COMPUTED_VALUE"""),39791.645833333336)</f>
        <v>39791.64583</v>
      </c>
      <c r="B2070" s="3">
        <f>IFERROR(__xludf.DUMMYFUNCTION("""COMPUTED_VALUE"""),2714.7)</f>
        <v>2714.7</v>
      </c>
      <c r="C2070" s="3">
        <f>IFERROR(__xludf.DUMMYFUNCTION("""COMPUTED_VALUE"""),2861.55)</f>
        <v>2861.55</v>
      </c>
      <c r="D2070" s="3">
        <f>IFERROR(__xludf.DUMMYFUNCTION("""COMPUTED_VALUE"""),2714.7)</f>
        <v>2714.7</v>
      </c>
      <c r="E2070" s="3">
        <f>IFERROR(__xludf.DUMMYFUNCTION("""COMPUTED_VALUE"""),2784.0)</f>
        <v>2784</v>
      </c>
      <c r="F2070" s="3">
        <f>IFERROR(__xludf.DUMMYFUNCTION("""COMPUTED_VALUE"""),0.0)</f>
        <v>0</v>
      </c>
    </row>
    <row r="2071">
      <c r="A2071" s="7">
        <f>IFERROR(__xludf.DUMMYFUNCTION("""COMPUTED_VALUE"""),39792.645833333336)</f>
        <v>39792.64583</v>
      </c>
      <c r="B2071" s="3">
        <f>IFERROR(__xludf.DUMMYFUNCTION("""COMPUTED_VALUE"""),2785.7)</f>
        <v>2785.7</v>
      </c>
      <c r="C2071" s="3">
        <f>IFERROR(__xludf.DUMMYFUNCTION("""COMPUTED_VALUE"""),2940.15)</f>
        <v>2940.15</v>
      </c>
      <c r="D2071" s="3">
        <f>IFERROR(__xludf.DUMMYFUNCTION("""COMPUTED_VALUE"""),2785.7)</f>
        <v>2785.7</v>
      </c>
      <c r="E2071" s="3">
        <f>IFERROR(__xludf.DUMMYFUNCTION("""COMPUTED_VALUE"""),2928.25)</f>
        <v>2928.25</v>
      </c>
      <c r="F2071" s="3">
        <f>IFERROR(__xludf.DUMMYFUNCTION("""COMPUTED_VALUE"""),0.0)</f>
        <v>0</v>
      </c>
    </row>
    <row r="2072">
      <c r="A2072" s="7">
        <f>IFERROR(__xludf.DUMMYFUNCTION("""COMPUTED_VALUE"""),39793.645833333336)</f>
        <v>39793.64583</v>
      </c>
      <c r="B2072" s="3">
        <f>IFERROR(__xludf.DUMMYFUNCTION("""COMPUTED_VALUE"""),2934.05)</f>
        <v>2934.05</v>
      </c>
      <c r="C2072" s="3">
        <f>IFERROR(__xludf.DUMMYFUNCTION("""COMPUTED_VALUE"""),2945.3)</f>
        <v>2945.3</v>
      </c>
      <c r="D2072" s="3">
        <f>IFERROR(__xludf.DUMMYFUNCTION("""COMPUTED_VALUE"""),2861.55)</f>
        <v>2861.55</v>
      </c>
      <c r="E2072" s="3">
        <f>IFERROR(__xludf.DUMMYFUNCTION("""COMPUTED_VALUE"""),2920.15)</f>
        <v>2920.15</v>
      </c>
      <c r="F2072" s="3">
        <f>IFERROR(__xludf.DUMMYFUNCTION("""COMPUTED_VALUE"""),0.0)</f>
        <v>0</v>
      </c>
    </row>
    <row r="2073">
      <c r="A2073" s="7">
        <f>IFERROR(__xludf.DUMMYFUNCTION("""COMPUTED_VALUE"""),39794.645833333336)</f>
        <v>39794.64583</v>
      </c>
      <c r="B2073" s="3">
        <f>IFERROR(__xludf.DUMMYFUNCTION("""COMPUTED_VALUE"""),2915.35)</f>
        <v>2915.35</v>
      </c>
      <c r="C2073" s="3">
        <f>IFERROR(__xludf.DUMMYFUNCTION("""COMPUTED_VALUE"""),2936.8)</f>
        <v>2936.8</v>
      </c>
      <c r="D2073" s="3">
        <f>IFERROR(__xludf.DUMMYFUNCTION("""COMPUTED_VALUE"""),2812.55)</f>
        <v>2812.55</v>
      </c>
      <c r="E2073" s="3">
        <f>IFERROR(__xludf.DUMMYFUNCTION("""COMPUTED_VALUE"""),2921.35)</f>
        <v>2921.35</v>
      </c>
      <c r="F2073" s="3">
        <f>IFERROR(__xludf.DUMMYFUNCTION("""COMPUTED_VALUE"""),0.0)</f>
        <v>0</v>
      </c>
    </row>
    <row r="2074">
      <c r="A2074" s="7">
        <f>IFERROR(__xludf.DUMMYFUNCTION("""COMPUTED_VALUE"""),39797.645833333336)</f>
        <v>39797.64583</v>
      </c>
      <c r="B2074" s="3">
        <f>IFERROR(__xludf.DUMMYFUNCTION("""COMPUTED_VALUE"""),2917.9)</f>
        <v>2917.9</v>
      </c>
      <c r="C2074" s="3">
        <f>IFERROR(__xludf.DUMMYFUNCTION("""COMPUTED_VALUE"""),3012.1)</f>
        <v>3012.1</v>
      </c>
      <c r="D2074" s="3">
        <f>IFERROR(__xludf.DUMMYFUNCTION("""COMPUTED_VALUE"""),2917.9)</f>
        <v>2917.9</v>
      </c>
      <c r="E2074" s="3">
        <f>IFERROR(__xludf.DUMMYFUNCTION("""COMPUTED_VALUE"""),2981.2)</f>
        <v>2981.2</v>
      </c>
      <c r="F2074" s="3">
        <f>IFERROR(__xludf.DUMMYFUNCTION("""COMPUTED_VALUE"""),0.0)</f>
        <v>0</v>
      </c>
    </row>
    <row r="2075">
      <c r="A2075" s="7">
        <f>IFERROR(__xludf.DUMMYFUNCTION("""COMPUTED_VALUE"""),39798.645833333336)</f>
        <v>39798.64583</v>
      </c>
      <c r="B2075" s="3">
        <f>IFERROR(__xludf.DUMMYFUNCTION("""COMPUTED_VALUE"""),2983.6)</f>
        <v>2983.6</v>
      </c>
      <c r="C2075" s="3">
        <f>IFERROR(__xludf.DUMMYFUNCTION("""COMPUTED_VALUE"""),3052.55)</f>
        <v>3052.55</v>
      </c>
      <c r="D2075" s="3">
        <f>IFERROR(__xludf.DUMMYFUNCTION("""COMPUTED_VALUE"""),2963.3)</f>
        <v>2963.3</v>
      </c>
      <c r="E2075" s="3">
        <f>IFERROR(__xludf.DUMMYFUNCTION("""COMPUTED_VALUE"""),3041.75)</f>
        <v>3041.75</v>
      </c>
      <c r="F2075" s="3">
        <f>IFERROR(__xludf.DUMMYFUNCTION("""COMPUTED_VALUE"""),0.0)</f>
        <v>0</v>
      </c>
    </row>
    <row r="2076">
      <c r="A2076" s="7">
        <f>IFERROR(__xludf.DUMMYFUNCTION("""COMPUTED_VALUE"""),39799.645833333336)</f>
        <v>39799.64583</v>
      </c>
      <c r="B2076" s="3">
        <f>IFERROR(__xludf.DUMMYFUNCTION("""COMPUTED_VALUE"""),3040.45)</f>
        <v>3040.45</v>
      </c>
      <c r="C2076" s="3">
        <f>IFERROR(__xludf.DUMMYFUNCTION("""COMPUTED_VALUE"""),3076.2)</f>
        <v>3076.2</v>
      </c>
      <c r="D2076" s="3">
        <f>IFERROR(__xludf.DUMMYFUNCTION("""COMPUTED_VALUE"""),2943.5)</f>
        <v>2943.5</v>
      </c>
      <c r="E2076" s="3">
        <f>IFERROR(__xludf.DUMMYFUNCTION("""COMPUTED_VALUE"""),2954.35)</f>
        <v>2954.35</v>
      </c>
      <c r="F2076" s="3">
        <f>IFERROR(__xludf.DUMMYFUNCTION("""COMPUTED_VALUE"""),0.0)</f>
        <v>0</v>
      </c>
    </row>
    <row r="2077">
      <c r="A2077" s="7">
        <f>IFERROR(__xludf.DUMMYFUNCTION("""COMPUTED_VALUE"""),39800.645833333336)</f>
        <v>39800.64583</v>
      </c>
      <c r="B2077" s="3">
        <f>IFERROR(__xludf.DUMMYFUNCTION("""COMPUTED_VALUE"""),2955.35)</f>
        <v>2955.35</v>
      </c>
      <c r="C2077" s="3">
        <f>IFERROR(__xludf.DUMMYFUNCTION("""COMPUTED_VALUE"""),3072.55)</f>
        <v>3072.55</v>
      </c>
      <c r="D2077" s="3">
        <f>IFERROR(__xludf.DUMMYFUNCTION("""COMPUTED_VALUE"""),2922.65)</f>
        <v>2922.65</v>
      </c>
      <c r="E2077" s="3">
        <f>IFERROR(__xludf.DUMMYFUNCTION("""COMPUTED_VALUE"""),3060.75)</f>
        <v>3060.75</v>
      </c>
      <c r="F2077" s="3">
        <f>IFERROR(__xludf.DUMMYFUNCTION("""COMPUTED_VALUE"""),0.0)</f>
        <v>0</v>
      </c>
    </row>
    <row r="2078">
      <c r="A2078" s="7">
        <f>IFERROR(__xludf.DUMMYFUNCTION("""COMPUTED_VALUE"""),39801.645833333336)</f>
        <v>39801.64583</v>
      </c>
      <c r="B2078" s="3">
        <f>IFERROR(__xludf.DUMMYFUNCTION("""COMPUTED_VALUE"""),3063.0)</f>
        <v>3063</v>
      </c>
      <c r="C2078" s="3">
        <f>IFERROR(__xludf.DUMMYFUNCTION("""COMPUTED_VALUE"""),3106.8)</f>
        <v>3106.8</v>
      </c>
      <c r="D2078" s="3">
        <f>IFERROR(__xludf.DUMMYFUNCTION("""COMPUTED_VALUE"""),3036.3)</f>
        <v>3036.3</v>
      </c>
      <c r="E2078" s="3">
        <f>IFERROR(__xludf.DUMMYFUNCTION("""COMPUTED_VALUE"""),3077.5)</f>
        <v>3077.5</v>
      </c>
      <c r="F2078" s="3">
        <f>IFERROR(__xludf.DUMMYFUNCTION("""COMPUTED_VALUE"""),0.0)</f>
        <v>0</v>
      </c>
    </row>
    <row r="2079">
      <c r="A2079" s="7">
        <f>IFERROR(__xludf.DUMMYFUNCTION("""COMPUTED_VALUE"""),39804.645833333336)</f>
        <v>39804.64583</v>
      </c>
      <c r="B2079" s="3">
        <f>IFERROR(__xludf.DUMMYFUNCTION("""COMPUTED_VALUE"""),3077.25)</f>
        <v>3077.25</v>
      </c>
      <c r="C2079" s="3">
        <f>IFERROR(__xludf.DUMMYFUNCTION("""COMPUTED_VALUE"""),3110.45)</f>
        <v>3110.45</v>
      </c>
      <c r="D2079" s="3">
        <f>IFERROR(__xludf.DUMMYFUNCTION("""COMPUTED_VALUE"""),3027.8)</f>
        <v>3027.8</v>
      </c>
      <c r="E2079" s="3">
        <f>IFERROR(__xludf.DUMMYFUNCTION("""COMPUTED_VALUE"""),3039.3)</f>
        <v>3039.3</v>
      </c>
      <c r="F2079" s="3">
        <f>IFERROR(__xludf.DUMMYFUNCTION("""COMPUTED_VALUE"""),0.0)</f>
        <v>0</v>
      </c>
    </row>
    <row r="2080">
      <c r="A2080" s="7">
        <f>IFERROR(__xludf.DUMMYFUNCTION("""COMPUTED_VALUE"""),39805.645833333336)</f>
        <v>39805.64583</v>
      </c>
      <c r="B2080" s="3">
        <f>IFERROR(__xludf.DUMMYFUNCTION("""COMPUTED_VALUE"""),3039.25)</f>
        <v>3039.25</v>
      </c>
      <c r="C2080" s="3">
        <f>IFERROR(__xludf.DUMMYFUNCTION("""COMPUTED_VALUE"""),3040.0)</f>
        <v>3040</v>
      </c>
      <c r="D2080" s="3">
        <f>IFERROR(__xludf.DUMMYFUNCTION("""COMPUTED_VALUE"""),2957.05)</f>
        <v>2957.05</v>
      </c>
      <c r="E2080" s="3">
        <f>IFERROR(__xludf.DUMMYFUNCTION("""COMPUTED_VALUE"""),2968.65)</f>
        <v>2968.65</v>
      </c>
      <c r="F2080" s="3">
        <f>IFERROR(__xludf.DUMMYFUNCTION("""COMPUTED_VALUE"""),0.0)</f>
        <v>0</v>
      </c>
    </row>
    <row r="2081">
      <c r="A2081" s="7">
        <f>IFERROR(__xludf.DUMMYFUNCTION("""COMPUTED_VALUE"""),39806.645833333336)</f>
        <v>39806.64583</v>
      </c>
      <c r="B2081" s="3">
        <f>IFERROR(__xludf.DUMMYFUNCTION("""COMPUTED_VALUE"""),2967.4)</f>
        <v>2967.4</v>
      </c>
      <c r="C2081" s="3">
        <f>IFERROR(__xludf.DUMMYFUNCTION("""COMPUTED_VALUE"""),2968.0)</f>
        <v>2968</v>
      </c>
      <c r="D2081" s="3">
        <f>IFERROR(__xludf.DUMMYFUNCTION("""COMPUTED_VALUE"""),2900.45)</f>
        <v>2900.45</v>
      </c>
      <c r="E2081" s="3">
        <f>IFERROR(__xludf.DUMMYFUNCTION("""COMPUTED_VALUE"""),2916.85)</f>
        <v>2916.85</v>
      </c>
      <c r="F2081" s="3">
        <f>IFERROR(__xludf.DUMMYFUNCTION("""COMPUTED_VALUE"""),0.0)</f>
        <v>0</v>
      </c>
    </row>
    <row r="2082">
      <c r="A2082" s="7">
        <f>IFERROR(__xludf.DUMMYFUNCTION("""COMPUTED_VALUE"""),39808.645833333336)</f>
        <v>39808.64583</v>
      </c>
      <c r="B2082" s="3">
        <f>IFERROR(__xludf.DUMMYFUNCTION("""COMPUTED_VALUE"""),2919.85)</f>
        <v>2919.85</v>
      </c>
      <c r="C2082" s="3">
        <f>IFERROR(__xludf.DUMMYFUNCTION("""COMPUTED_VALUE"""),2960.95)</f>
        <v>2960.95</v>
      </c>
      <c r="D2082" s="3">
        <f>IFERROR(__xludf.DUMMYFUNCTION("""COMPUTED_VALUE"""),2844.8)</f>
        <v>2844.8</v>
      </c>
      <c r="E2082" s="3">
        <f>IFERROR(__xludf.DUMMYFUNCTION("""COMPUTED_VALUE"""),2857.25)</f>
        <v>2857.25</v>
      </c>
      <c r="F2082" s="3">
        <f>IFERROR(__xludf.DUMMYFUNCTION("""COMPUTED_VALUE"""),0.0)</f>
        <v>0</v>
      </c>
    </row>
    <row r="2083">
      <c r="A2083" s="7">
        <f>IFERROR(__xludf.DUMMYFUNCTION("""COMPUTED_VALUE"""),39811.645833333336)</f>
        <v>39811.64583</v>
      </c>
      <c r="B2083" s="3">
        <f>IFERROR(__xludf.DUMMYFUNCTION("""COMPUTED_VALUE"""),2857.15)</f>
        <v>2857.15</v>
      </c>
      <c r="C2083" s="3">
        <f>IFERROR(__xludf.DUMMYFUNCTION("""COMPUTED_VALUE"""),2931.8)</f>
        <v>2931.8</v>
      </c>
      <c r="D2083" s="3">
        <f>IFERROR(__xludf.DUMMYFUNCTION("""COMPUTED_VALUE"""),2812.9)</f>
        <v>2812.9</v>
      </c>
      <c r="E2083" s="3">
        <f>IFERROR(__xludf.DUMMYFUNCTION("""COMPUTED_VALUE"""),2922.2)</f>
        <v>2922.2</v>
      </c>
      <c r="F2083" s="3">
        <f>IFERROR(__xludf.DUMMYFUNCTION("""COMPUTED_VALUE"""),0.0)</f>
        <v>0</v>
      </c>
    </row>
    <row r="2084">
      <c r="A2084" s="7">
        <f>IFERROR(__xludf.DUMMYFUNCTION("""COMPUTED_VALUE"""),39812.645833333336)</f>
        <v>39812.64583</v>
      </c>
      <c r="B2084" s="3">
        <f>IFERROR(__xludf.DUMMYFUNCTION("""COMPUTED_VALUE"""),2922.55)</f>
        <v>2922.55</v>
      </c>
      <c r="C2084" s="3">
        <f>IFERROR(__xludf.DUMMYFUNCTION("""COMPUTED_VALUE"""),2999.15)</f>
        <v>2999.15</v>
      </c>
      <c r="D2084" s="3">
        <f>IFERROR(__xludf.DUMMYFUNCTION("""COMPUTED_VALUE"""),2899.75)</f>
        <v>2899.75</v>
      </c>
      <c r="E2084" s="3">
        <f>IFERROR(__xludf.DUMMYFUNCTION("""COMPUTED_VALUE"""),2979.5)</f>
        <v>2979.5</v>
      </c>
      <c r="F2084" s="3">
        <f>IFERROR(__xludf.DUMMYFUNCTION("""COMPUTED_VALUE"""),0.0)</f>
        <v>0</v>
      </c>
    </row>
    <row r="2085">
      <c r="A2085" s="7">
        <f>IFERROR(__xludf.DUMMYFUNCTION("""COMPUTED_VALUE"""),39813.645833333336)</f>
        <v>39813.64583</v>
      </c>
      <c r="B2085" s="3">
        <f>IFERROR(__xludf.DUMMYFUNCTION("""COMPUTED_VALUE"""),2979.8)</f>
        <v>2979.8</v>
      </c>
      <c r="C2085" s="3">
        <f>IFERROR(__xludf.DUMMYFUNCTION("""COMPUTED_VALUE"""),3002.65)</f>
        <v>3002.65</v>
      </c>
      <c r="D2085" s="3">
        <f>IFERROR(__xludf.DUMMYFUNCTION("""COMPUTED_VALUE"""),2937.35)</f>
        <v>2937.35</v>
      </c>
      <c r="E2085" s="3">
        <f>IFERROR(__xludf.DUMMYFUNCTION("""COMPUTED_VALUE"""),2959.15)</f>
        <v>2959.15</v>
      </c>
      <c r="F2085" s="3">
        <f>IFERROR(__xludf.DUMMYFUNCTION("""COMPUTED_VALUE"""),0.0)</f>
        <v>0</v>
      </c>
    </row>
    <row r="2086">
      <c r="A2086" s="7">
        <f>IFERROR(__xludf.DUMMYFUNCTION("""COMPUTED_VALUE"""),39814.645833333336)</f>
        <v>39814.64583</v>
      </c>
      <c r="B2086" s="3">
        <f>IFERROR(__xludf.DUMMYFUNCTION("""COMPUTED_VALUE"""),2963.3)</f>
        <v>2963.3</v>
      </c>
      <c r="C2086" s="3">
        <f>IFERROR(__xludf.DUMMYFUNCTION("""COMPUTED_VALUE"""),3039.25)</f>
        <v>3039.25</v>
      </c>
      <c r="D2086" s="3">
        <f>IFERROR(__xludf.DUMMYFUNCTION("""COMPUTED_VALUE"""),2963.3)</f>
        <v>2963.3</v>
      </c>
      <c r="E2086" s="3">
        <f>IFERROR(__xludf.DUMMYFUNCTION("""COMPUTED_VALUE"""),3033.45)</f>
        <v>3033.45</v>
      </c>
      <c r="F2086" s="3">
        <f>IFERROR(__xludf.DUMMYFUNCTION("""COMPUTED_VALUE"""),0.0)</f>
        <v>0</v>
      </c>
    </row>
    <row r="2087">
      <c r="A2087" s="7">
        <f>IFERROR(__xludf.DUMMYFUNCTION("""COMPUTED_VALUE"""),39815.645833333336)</f>
        <v>39815.64583</v>
      </c>
      <c r="B2087" s="3">
        <f>IFERROR(__xludf.DUMMYFUNCTION("""COMPUTED_VALUE"""),3034.6)</f>
        <v>3034.6</v>
      </c>
      <c r="C2087" s="3">
        <f>IFERROR(__xludf.DUMMYFUNCTION("""COMPUTED_VALUE"""),3079.85)</f>
        <v>3079.85</v>
      </c>
      <c r="D2087" s="3">
        <f>IFERROR(__xludf.DUMMYFUNCTION("""COMPUTED_VALUE"""),3021.8)</f>
        <v>3021.8</v>
      </c>
      <c r="E2087" s="3">
        <f>IFERROR(__xludf.DUMMYFUNCTION("""COMPUTED_VALUE"""),3046.75)</f>
        <v>3046.75</v>
      </c>
      <c r="F2087" s="3">
        <f>IFERROR(__xludf.DUMMYFUNCTION("""COMPUTED_VALUE"""),0.0)</f>
        <v>0</v>
      </c>
    </row>
    <row r="2088">
      <c r="A2088" s="7">
        <f>IFERROR(__xludf.DUMMYFUNCTION("""COMPUTED_VALUE"""),39818.645833333336)</f>
        <v>39818.64583</v>
      </c>
      <c r="B2088" s="3">
        <f>IFERROR(__xludf.DUMMYFUNCTION("""COMPUTED_VALUE"""),3058.75)</f>
        <v>3058.75</v>
      </c>
      <c r="C2088" s="3">
        <f>IFERROR(__xludf.DUMMYFUNCTION("""COMPUTED_VALUE"""),3131.95)</f>
        <v>3131.95</v>
      </c>
      <c r="D2088" s="3">
        <f>IFERROR(__xludf.DUMMYFUNCTION("""COMPUTED_VALUE"""),3056.45)</f>
        <v>3056.45</v>
      </c>
      <c r="E2088" s="3">
        <f>IFERROR(__xludf.DUMMYFUNCTION("""COMPUTED_VALUE"""),3121.45)</f>
        <v>3121.45</v>
      </c>
      <c r="F2088" s="3">
        <f>IFERROR(__xludf.DUMMYFUNCTION("""COMPUTED_VALUE"""),0.0)</f>
        <v>0</v>
      </c>
    </row>
    <row r="2089">
      <c r="A2089" s="7">
        <f>IFERROR(__xludf.DUMMYFUNCTION("""COMPUTED_VALUE"""),39819.645833333336)</f>
        <v>39819.64583</v>
      </c>
      <c r="B2089" s="3">
        <f>IFERROR(__xludf.DUMMYFUNCTION("""COMPUTED_VALUE"""),3121.5)</f>
        <v>3121.5</v>
      </c>
      <c r="C2089" s="3">
        <f>IFERROR(__xludf.DUMMYFUNCTION("""COMPUTED_VALUE"""),3141.8)</f>
        <v>3141.8</v>
      </c>
      <c r="D2089" s="3">
        <f>IFERROR(__xludf.DUMMYFUNCTION("""COMPUTED_VALUE"""),3056.1)</f>
        <v>3056.1</v>
      </c>
      <c r="E2089" s="3">
        <f>IFERROR(__xludf.DUMMYFUNCTION("""COMPUTED_VALUE"""),3112.8)</f>
        <v>3112.8</v>
      </c>
      <c r="F2089" s="3">
        <f>IFERROR(__xludf.DUMMYFUNCTION("""COMPUTED_VALUE"""),0.0)</f>
        <v>0</v>
      </c>
    </row>
    <row r="2090">
      <c r="A2090" s="7">
        <f>IFERROR(__xludf.DUMMYFUNCTION("""COMPUTED_VALUE"""),39820.645833333336)</f>
        <v>39820.64583</v>
      </c>
      <c r="B2090" s="3">
        <f>IFERROR(__xludf.DUMMYFUNCTION("""COMPUTED_VALUE"""),3112.8)</f>
        <v>3112.8</v>
      </c>
      <c r="C2090" s="3">
        <f>IFERROR(__xludf.DUMMYFUNCTION("""COMPUTED_VALUE"""),3147.2)</f>
        <v>3147.2</v>
      </c>
      <c r="D2090" s="3">
        <f>IFERROR(__xludf.DUMMYFUNCTION("""COMPUTED_VALUE"""),2888.2)</f>
        <v>2888.2</v>
      </c>
      <c r="E2090" s="3">
        <f>IFERROR(__xludf.DUMMYFUNCTION("""COMPUTED_VALUE"""),2920.4)</f>
        <v>2920.4</v>
      </c>
      <c r="F2090" s="3">
        <f>IFERROR(__xludf.DUMMYFUNCTION("""COMPUTED_VALUE"""),0.0)</f>
        <v>0</v>
      </c>
    </row>
    <row r="2091">
      <c r="A2091" s="7">
        <f>IFERROR(__xludf.DUMMYFUNCTION("""COMPUTED_VALUE"""),39822.645833333336)</f>
        <v>39822.64583</v>
      </c>
      <c r="B2091" s="3">
        <f>IFERROR(__xludf.DUMMYFUNCTION("""COMPUTED_VALUE"""),2919.95)</f>
        <v>2919.95</v>
      </c>
      <c r="C2091" s="3">
        <f>IFERROR(__xludf.DUMMYFUNCTION("""COMPUTED_VALUE"""),2929.85)</f>
        <v>2929.85</v>
      </c>
      <c r="D2091" s="3">
        <f>IFERROR(__xludf.DUMMYFUNCTION("""COMPUTED_VALUE"""),2810.25)</f>
        <v>2810.25</v>
      </c>
      <c r="E2091" s="3">
        <f>IFERROR(__xludf.DUMMYFUNCTION("""COMPUTED_VALUE"""),2873.0)</f>
        <v>2873</v>
      </c>
      <c r="F2091" s="3">
        <f>IFERROR(__xludf.DUMMYFUNCTION("""COMPUTED_VALUE"""),0.0)</f>
        <v>0</v>
      </c>
    </row>
    <row r="2092">
      <c r="A2092" s="7">
        <f>IFERROR(__xludf.DUMMYFUNCTION("""COMPUTED_VALUE"""),39825.645833333336)</f>
        <v>39825.64583</v>
      </c>
      <c r="B2092" s="3">
        <f>IFERROR(__xludf.DUMMYFUNCTION("""COMPUTED_VALUE"""),2868.85)</f>
        <v>2868.85</v>
      </c>
      <c r="C2092" s="3">
        <f>IFERROR(__xludf.DUMMYFUNCTION("""COMPUTED_VALUE"""),2869.2)</f>
        <v>2869.2</v>
      </c>
      <c r="D2092" s="3">
        <f>IFERROR(__xludf.DUMMYFUNCTION("""COMPUTED_VALUE"""),2748.55)</f>
        <v>2748.55</v>
      </c>
      <c r="E2092" s="3">
        <f>IFERROR(__xludf.DUMMYFUNCTION("""COMPUTED_VALUE"""),2773.1)</f>
        <v>2773.1</v>
      </c>
      <c r="F2092" s="3">
        <f>IFERROR(__xludf.DUMMYFUNCTION("""COMPUTED_VALUE"""),0.0)</f>
        <v>0</v>
      </c>
    </row>
    <row r="2093">
      <c r="A2093" s="7">
        <f>IFERROR(__xludf.DUMMYFUNCTION("""COMPUTED_VALUE"""),39826.645833333336)</f>
        <v>39826.64583</v>
      </c>
      <c r="B2093" s="3">
        <f>IFERROR(__xludf.DUMMYFUNCTION("""COMPUTED_VALUE"""),2775.0)</f>
        <v>2775</v>
      </c>
      <c r="C2093" s="3">
        <f>IFERROR(__xludf.DUMMYFUNCTION("""COMPUTED_VALUE"""),2802.6)</f>
        <v>2802.6</v>
      </c>
      <c r="D2093" s="3">
        <f>IFERROR(__xludf.DUMMYFUNCTION("""COMPUTED_VALUE"""),2720.8)</f>
        <v>2720.8</v>
      </c>
      <c r="E2093" s="3">
        <f>IFERROR(__xludf.DUMMYFUNCTION("""COMPUTED_VALUE"""),2744.95)</f>
        <v>2744.95</v>
      </c>
      <c r="F2093" s="3">
        <f>IFERROR(__xludf.DUMMYFUNCTION("""COMPUTED_VALUE"""),0.0)</f>
        <v>0</v>
      </c>
    </row>
    <row r="2094">
      <c r="A2094" s="7">
        <f>IFERROR(__xludf.DUMMYFUNCTION("""COMPUTED_VALUE"""),39827.645833333336)</f>
        <v>39827.64583</v>
      </c>
      <c r="B2094" s="3">
        <f>IFERROR(__xludf.DUMMYFUNCTION("""COMPUTED_VALUE"""),2748.4)</f>
        <v>2748.4</v>
      </c>
      <c r="C2094" s="3">
        <f>IFERROR(__xludf.DUMMYFUNCTION("""COMPUTED_VALUE"""),2853.25)</f>
        <v>2853.25</v>
      </c>
      <c r="D2094" s="3">
        <f>IFERROR(__xludf.DUMMYFUNCTION("""COMPUTED_VALUE"""),2748.4)</f>
        <v>2748.4</v>
      </c>
      <c r="E2094" s="3">
        <f>IFERROR(__xludf.DUMMYFUNCTION("""COMPUTED_VALUE"""),2835.3)</f>
        <v>2835.3</v>
      </c>
      <c r="F2094" s="3">
        <f>IFERROR(__xludf.DUMMYFUNCTION("""COMPUTED_VALUE"""),0.0)</f>
        <v>0</v>
      </c>
    </row>
    <row r="2095">
      <c r="A2095" s="7">
        <f>IFERROR(__xludf.DUMMYFUNCTION("""COMPUTED_VALUE"""),39828.645833333336)</f>
        <v>39828.64583</v>
      </c>
      <c r="B2095" s="3">
        <f>IFERROR(__xludf.DUMMYFUNCTION("""COMPUTED_VALUE"""),2832.3)</f>
        <v>2832.3</v>
      </c>
      <c r="C2095" s="3">
        <f>IFERROR(__xludf.DUMMYFUNCTION("""COMPUTED_VALUE"""),2832.3)</f>
        <v>2832.3</v>
      </c>
      <c r="D2095" s="3">
        <f>IFERROR(__xludf.DUMMYFUNCTION("""COMPUTED_VALUE"""),2701.75)</f>
        <v>2701.75</v>
      </c>
      <c r="E2095" s="3">
        <f>IFERROR(__xludf.DUMMYFUNCTION("""COMPUTED_VALUE"""),2736.7)</f>
        <v>2736.7</v>
      </c>
      <c r="F2095" s="3">
        <f>IFERROR(__xludf.DUMMYFUNCTION("""COMPUTED_VALUE"""),0.0)</f>
        <v>0</v>
      </c>
    </row>
    <row r="2096">
      <c r="A2096" s="7">
        <f>IFERROR(__xludf.DUMMYFUNCTION("""COMPUTED_VALUE"""),39829.645833333336)</f>
        <v>39829.64583</v>
      </c>
      <c r="B2096" s="3">
        <f>IFERROR(__xludf.DUMMYFUNCTION("""COMPUTED_VALUE"""),2737.0)</f>
        <v>2737</v>
      </c>
      <c r="C2096" s="3">
        <f>IFERROR(__xludf.DUMMYFUNCTION("""COMPUTED_VALUE"""),2835.65)</f>
        <v>2835.65</v>
      </c>
      <c r="D2096" s="3">
        <f>IFERROR(__xludf.DUMMYFUNCTION("""COMPUTED_VALUE"""),2724.2)</f>
        <v>2724.2</v>
      </c>
      <c r="E2096" s="3">
        <f>IFERROR(__xludf.DUMMYFUNCTION("""COMPUTED_VALUE"""),2828.45)</f>
        <v>2828.45</v>
      </c>
      <c r="F2096" s="3">
        <f>IFERROR(__xludf.DUMMYFUNCTION("""COMPUTED_VALUE"""),0.0)</f>
        <v>0</v>
      </c>
    </row>
    <row r="2097">
      <c r="A2097" s="7">
        <f>IFERROR(__xludf.DUMMYFUNCTION("""COMPUTED_VALUE"""),39832.645833333336)</f>
        <v>39832.64583</v>
      </c>
      <c r="B2097" s="3">
        <f>IFERROR(__xludf.DUMMYFUNCTION("""COMPUTED_VALUE"""),2828.7)</f>
        <v>2828.7</v>
      </c>
      <c r="C2097" s="3">
        <f>IFERROR(__xludf.DUMMYFUNCTION("""COMPUTED_VALUE"""),2868.2)</f>
        <v>2868.2</v>
      </c>
      <c r="D2097" s="3">
        <f>IFERROR(__xludf.DUMMYFUNCTION("""COMPUTED_VALUE"""),2819.9)</f>
        <v>2819.9</v>
      </c>
      <c r="E2097" s="3">
        <f>IFERROR(__xludf.DUMMYFUNCTION("""COMPUTED_VALUE"""),2846.2)</f>
        <v>2846.2</v>
      </c>
      <c r="F2097" s="3">
        <f>IFERROR(__xludf.DUMMYFUNCTION("""COMPUTED_VALUE"""),0.0)</f>
        <v>0</v>
      </c>
    </row>
    <row r="2098">
      <c r="A2098" s="7">
        <f>IFERROR(__xludf.DUMMYFUNCTION("""COMPUTED_VALUE"""),39833.645833333336)</f>
        <v>39833.64583</v>
      </c>
      <c r="B2098" s="3">
        <f>IFERROR(__xludf.DUMMYFUNCTION("""COMPUTED_VALUE"""),2842.9)</f>
        <v>2842.9</v>
      </c>
      <c r="C2098" s="3">
        <f>IFERROR(__xludf.DUMMYFUNCTION("""COMPUTED_VALUE"""),2842.9)</f>
        <v>2842.9</v>
      </c>
      <c r="D2098" s="3">
        <f>IFERROR(__xludf.DUMMYFUNCTION("""COMPUTED_VALUE"""),2758.0)</f>
        <v>2758</v>
      </c>
      <c r="E2098" s="3">
        <f>IFERROR(__xludf.DUMMYFUNCTION("""COMPUTED_VALUE"""),2796.6)</f>
        <v>2796.6</v>
      </c>
      <c r="F2098" s="3">
        <f>IFERROR(__xludf.DUMMYFUNCTION("""COMPUTED_VALUE"""),0.0)</f>
        <v>0</v>
      </c>
    </row>
    <row r="2099">
      <c r="A2099" s="7">
        <f>IFERROR(__xludf.DUMMYFUNCTION("""COMPUTED_VALUE"""),39834.645833333336)</f>
        <v>39834.64583</v>
      </c>
      <c r="B2099" s="3">
        <f>IFERROR(__xludf.DUMMYFUNCTION("""COMPUTED_VALUE"""),2777.4)</f>
        <v>2777.4</v>
      </c>
      <c r="C2099" s="3">
        <f>IFERROR(__xludf.DUMMYFUNCTION("""COMPUTED_VALUE"""),2787.3)</f>
        <v>2787.3</v>
      </c>
      <c r="D2099" s="3">
        <f>IFERROR(__xludf.DUMMYFUNCTION("""COMPUTED_VALUE"""),2690.2)</f>
        <v>2690.2</v>
      </c>
      <c r="E2099" s="3">
        <f>IFERROR(__xludf.DUMMYFUNCTION("""COMPUTED_VALUE"""),2706.15)</f>
        <v>2706.15</v>
      </c>
      <c r="F2099" s="3">
        <f>IFERROR(__xludf.DUMMYFUNCTION("""COMPUTED_VALUE"""),0.0)</f>
        <v>0</v>
      </c>
    </row>
    <row r="2100">
      <c r="A2100" s="7">
        <f>IFERROR(__xludf.DUMMYFUNCTION("""COMPUTED_VALUE"""),39835.645833333336)</f>
        <v>39835.64583</v>
      </c>
      <c r="B2100" s="3">
        <f>IFERROR(__xludf.DUMMYFUNCTION("""COMPUTED_VALUE"""),2714.7)</f>
        <v>2714.7</v>
      </c>
      <c r="C2100" s="3">
        <f>IFERROR(__xludf.DUMMYFUNCTION("""COMPUTED_VALUE"""),2744.85)</f>
        <v>2744.85</v>
      </c>
      <c r="D2100" s="3">
        <f>IFERROR(__xludf.DUMMYFUNCTION("""COMPUTED_VALUE"""),2681.4)</f>
        <v>2681.4</v>
      </c>
      <c r="E2100" s="3">
        <f>IFERROR(__xludf.DUMMYFUNCTION("""COMPUTED_VALUE"""),2713.8)</f>
        <v>2713.8</v>
      </c>
      <c r="F2100" s="3">
        <f>IFERROR(__xludf.DUMMYFUNCTION("""COMPUTED_VALUE"""),0.0)</f>
        <v>0</v>
      </c>
    </row>
    <row r="2101">
      <c r="A2101" s="7">
        <f>IFERROR(__xludf.DUMMYFUNCTION("""COMPUTED_VALUE"""),39836.645833333336)</f>
        <v>39836.64583</v>
      </c>
      <c r="B2101" s="3">
        <f>IFERROR(__xludf.DUMMYFUNCTION("""COMPUTED_VALUE"""),2705.45)</f>
        <v>2705.45</v>
      </c>
      <c r="C2101" s="3">
        <f>IFERROR(__xludf.DUMMYFUNCTION("""COMPUTED_VALUE"""),2765.55)</f>
        <v>2765.55</v>
      </c>
      <c r="D2101" s="3">
        <f>IFERROR(__xludf.DUMMYFUNCTION("""COMPUTED_VALUE"""),2661.65)</f>
        <v>2661.65</v>
      </c>
      <c r="E2101" s="3">
        <f>IFERROR(__xludf.DUMMYFUNCTION("""COMPUTED_VALUE"""),2678.55)</f>
        <v>2678.55</v>
      </c>
      <c r="F2101" s="3">
        <f>IFERROR(__xludf.DUMMYFUNCTION("""COMPUTED_VALUE"""),0.0)</f>
        <v>0</v>
      </c>
    </row>
    <row r="2102">
      <c r="A2102" s="7">
        <f>IFERROR(__xludf.DUMMYFUNCTION("""COMPUTED_VALUE"""),39840.645833333336)</f>
        <v>39840.64583</v>
      </c>
      <c r="B2102" s="3">
        <f>IFERROR(__xludf.DUMMYFUNCTION("""COMPUTED_VALUE"""),2686.05)</f>
        <v>2686.05</v>
      </c>
      <c r="C2102" s="3">
        <f>IFERROR(__xludf.DUMMYFUNCTION("""COMPUTED_VALUE"""),2777.3)</f>
        <v>2777.3</v>
      </c>
      <c r="D2102" s="3">
        <f>IFERROR(__xludf.DUMMYFUNCTION("""COMPUTED_VALUE"""),2685.25)</f>
        <v>2685.25</v>
      </c>
      <c r="E2102" s="3">
        <f>IFERROR(__xludf.DUMMYFUNCTION("""COMPUTED_VALUE"""),2771.35)</f>
        <v>2771.35</v>
      </c>
      <c r="F2102" s="3">
        <f>IFERROR(__xludf.DUMMYFUNCTION("""COMPUTED_VALUE"""),0.0)</f>
        <v>0</v>
      </c>
    </row>
    <row r="2103">
      <c r="A2103" s="7">
        <f>IFERROR(__xludf.DUMMYFUNCTION("""COMPUTED_VALUE"""),39841.645833333336)</f>
        <v>39841.64583</v>
      </c>
      <c r="B2103" s="3">
        <f>IFERROR(__xludf.DUMMYFUNCTION("""COMPUTED_VALUE"""),2771.1)</f>
        <v>2771.1</v>
      </c>
      <c r="C2103" s="3">
        <f>IFERROR(__xludf.DUMMYFUNCTION("""COMPUTED_VALUE"""),2855.4)</f>
        <v>2855.4</v>
      </c>
      <c r="D2103" s="3">
        <f>IFERROR(__xludf.DUMMYFUNCTION("""COMPUTED_VALUE"""),2765.6)</f>
        <v>2765.6</v>
      </c>
      <c r="E2103" s="3">
        <f>IFERROR(__xludf.DUMMYFUNCTION("""COMPUTED_VALUE"""),2849.5)</f>
        <v>2849.5</v>
      </c>
      <c r="F2103" s="3">
        <f>IFERROR(__xludf.DUMMYFUNCTION("""COMPUTED_VALUE"""),0.0)</f>
        <v>0</v>
      </c>
    </row>
    <row r="2104">
      <c r="A2104" s="7">
        <f>IFERROR(__xludf.DUMMYFUNCTION("""COMPUTED_VALUE"""),39842.645833333336)</f>
        <v>39842.64583</v>
      </c>
      <c r="B2104" s="3">
        <f>IFERROR(__xludf.DUMMYFUNCTION("""COMPUTED_VALUE"""),2849.35)</f>
        <v>2849.35</v>
      </c>
      <c r="C2104" s="3">
        <f>IFERROR(__xludf.DUMMYFUNCTION("""COMPUTED_VALUE"""),2873.85)</f>
        <v>2873.85</v>
      </c>
      <c r="D2104" s="3">
        <f>IFERROR(__xludf.DUMMYFUNCTION("""COMPUTED_VALUE"""),2795.35)</f>
        <v>2795.35</v>
      </c>
      <c r="E2104" s="3">
        <f>IFERROR(__xludf.DUMMYFUNCTION("""COMPUTED_VALUE"""),2823.95)</f>
        <v>2823.95</v>
      </c>
      <c r="F2104" s="3">
        <f>IFERROR(__xludf.DUMMYFUNCTION("""COMPUTED_VALUE"""),0.0)</f>
        <v>0</v>
      </c>
    </row>
    <row r="2105">
      <c r="A2105" s="7">
        <f>IFERROR(__xludf.DUMMYFUNCTION("""COMPUTED_VALUE"""),39843.645833333336)</f>
        <v>39843.64583</v>
      </c>
      <c r="B2105" s="3">
        <f>IFERROR(__xludf.DUMMYFUNCTION("""COMPUTED_VALUE"""),2824.05)</f>
        <v>2824.05</v>
      </c>
      <c r="C2105" s="3">
        <f>IFERROR(__xludf.DUMMYFUNCTION("""COMPUTED_VALUE"""),2881.0)</f>
        <v>2881</v>
      </c>
      <c r="D2105" s="3">
        <f>IFERROR(__xludf.DUMMYFUNCTION("""COMPUTED_VALUE"""),2774.1)</f>
        <v>2774.1</v>
      </c>
      <c r="E2105" s="3">
        <f>IFERROR(__xludf.DUMMYFUNCTION("""COMPUTED_VALUE"""),2874.8)</f>
        <v>2874.8</v>
      </c>
      <c r="F2105" s="3">
        <f>IFERROR(__xludf.DUMMYFUNCTION("""COMPUTED_VALUE"""),0.0)</f>
        <v>0</v>
      </c>
    </row>
    <row r="2106">
      <c r="A2106" s="7">
        <f>IFERROR(__xludf.DUMMYFUNCTION("""COMPUTED_VALUE"""),39846.645833333336)</f>
        <v>39846.64583</v>
      </c>
      <c r="B2106" s="3">
        <f>IFERROR(__xludf.DUMMYFUNCTION("""COMPUTED_VALUE"""),2872.35)</f>
        <v>2872.35</v>
      </c>
      <c r="C2106" s="3">
        <f>IFERROR(__xludf.DUMMYFUNCTION("""COMPUTED_VALUE"""),2873.45)</f>
        <v>2873.45</v>
      </c>
      <c r="D2106" s="3">
        <f>IFERROR(__xludf.DUMMYFUNCTION("""COMPUTED_VALUE"""),2760.7)</f>
        <v>2760.7</v>
      </c>
      <c r="E2106" s="3">
        <f>IFERROR(__xludf.DUMMYFUNCTION("""COMPUTED_VALUE"""),2766.65)</f>
        <v>2766.65</v>
      </c>
      <c r="F2106" s="3">
        <f>IFERROR(__xludf.DUMMYFUNCTION("""COMPUTED_VALUE"""),0.0)</f>
        <v>0</v>
      </c>
    </row>
    <row r="2107">
      <c r="A2107" s="7">
        <f>IFERROR(__xludf.DUMMYFUNCTION("""COMPUTED_VALUE"""),39847.645833333336)</f>
        <v>39847.64583</v>
      </c>
      <c r="B2107" s="3">
        <f>IFERROR(__xludf.DUMMYFUNCTION("""COMPUTED_VALUE"""),2773.5)</f>
        <v>2773.5</v>
      </c>
      <c r="C2107" s="3">
        <f>IFERROR(__xludf.DUMMYFUNCTION("""COMPUTED_VALUE"""),2831.7)</f>
        <v>2831.7</v>
      </c>
      <c r="D2107" s="3">
        <f>IFERROR(__xludf.DUMMYFUNCTION("""COMPUTED_VALUE"""),2752.9)</f>
        <v>2752.9</v>
      </c>
      <c r="E2107" s="3">
        <f>IFERROR(__xludf.DUMMYFUNCTION("""COMPUTED_VALUE"""),2783.9)</f>
        <v>2783.9</v>
      </c>
      <c r="F2107" s="3">
        <f>IFERROR(__xludf.DUMMYFUNCTION("""COMPUTED_VALUE"""),0.0)</f>
        <v>0</v>
      </c>
    </row>
    <row r="2108">
      <c r="A2108" s="7">
        <f>IFERROR(__xludf.DUMMYFUNCTION("""COMPUTED_VALUE"""),39848.645833333336)</f>
        <v>39848.64583</v>
      </c>
      <c r="B2108" s="3">
        <f>IFERROR(__xludf.DUMMYFUNCTION("""COMPUTED_VALUE"""),2780.7)</f>
        <v>2780.7</v>
      </c>
      <c r="C2108" s="3">
        <f>IFERROR(__xludf.DUMMYFUNCTION("""COMPUTED_VALUE"""),2842.2)</f>
        <v>2842.2</v>
      </c>
      <c r="D2108" s="3">
        <f>IFERROR(__xludf.DUMMYFUNCTION("""COMPUTED_VALUE"""),2780.7)</f>
        <v>2780.7</v>
      </c>
      <c r="E2108" s="3">
        <f>IFERROR(__xludf.DUMMYFUNCTION("""COMPUTED_VALUE"""),2803.05)</f>
        <v>2803.05</v>
      </c>
      <c r="F2108" s="3">
        <f>IFERROR(__xludf.DUMMYFUNCTION("""COMPUTED_VALUE"""),0.0)</f>
        <v>0</v>
      </c>
    </row>
    <row r="2109">
      <c r="A2109" s="7">
        <f>IFERROR(__xludf.DUMMYFUNCTION("""COMPUTED_VALUE"""),39849.645833333336)</f>
        <v>39849.64583</v>
      </c>
      <c r="B2109" s="3">
        <f>IFERROR(__xludf.DUMMYFUNCTION("""COMPUTED_VALUE"""),2802.75)</f>
        <v>2802.75</v>
      </c>
      <c r="C2109" s="3">
        <f>IFERROR(__xludf.DUMMYFUNCTION("""COMPUTED_VALUE"""),2816.8)</f>
        <v>2816.8</v>
      </c>
      <c r="D2109" s="3">
        <f>IFERROR(__xludf.DUMMYFUNCTION("""COMPUTED_VALUE"""),2754.85)</f>
        <v>2754.85</v>
      </c>
      <c r="E2109" s="3">
        <f>IFERROR(__xludf.DUMMYFUNCTION("""COMPUTED_VALUE"""),2780.05)</f>
        <v>2780.05</v>
      </c>
      <c r="F2109" s="3">
        <f>IFERROR(__xludf.DUMMYFUNCTION("""COMPUTED_VALUE"""),0.0)</f>
        <v>0</v>
      </c>
    </row>
    <row r="2110">
      <c r="A2110" s="7">
        <f>IFERROR(__xludf.DUMMYFUNCTION("""COMPUTED_VALUE"""),39850.645833333336)</f>
        <v>39850.64583</v>
      </c>
      <c r="B2110" s="3">
        <f>IFERROR(__xludf.DUMMYFUNCTION("""COMPUTED_VALUE"""),2779.35)</f>
        <v>2779.35</v>
      </c>
      <c r="C2110" s="3">
        <f>IFERROR(__xludf.DUMMYFUNCTION("""COMPUTED_VALUE"""),2852.5)</f>
        <v>2852.5</v>
      </c>
      <c r="D2110" s="3">
        <f>IFERROR(__xludf.DUMMYFUNCTION("""COMPUTED_VALUE"""),2778.65)</f>
        <v>2778.65</v>
      </c>
      <c r="E2110" s="3">
        <f>IFERROR(__xludf.DUMMYFUNCTION("""COMPUTED_VALUE"""),2843.1)</f>
        <v>2843.1</v>
      </c>
      <c r="F2110" s="3">
        <f>IFERROR(__xludf.DUMMYFUNCTION("""COMPUTED_VALUE"""),0.0)</f>
        <v>0</v>
      </c>
    </row>
    <row r="2111">
      <c r="A2111" s="7">
        <f>IFERROR(__xludf.DUMMYFUNCTION("""COMPUTED_VALUE"""),39853.645833333336)</f>
        <v>39853.64583</v>
      </c>
      <c r="B2111" s="3">
        <f>IFERROR(__xludf.DUMMYFUNCTION("""COMPUTED_VALUE"""),2843.05)</f>
        <v>2843.05</v>
      </c>
      <c r="C2111" s="3">
        <f>IFERROR(__xludf.DUMMYFUNCTION("""COMPUTED_VALUE"""),2926.75)</f>
        <v>2926.75</v>
      </c>
      <c r="D2111" s="3">
        <f>IFERROR(__xludf.DUMMYFUNCTION("""COMPUTED_VALUE"""),2840.15)</f>
        <v>2840.15</v>
      </c>
      <c r="E2111" s="3">
        <f>IFERROR(__xludf.DUMMYFUNCTION("""COMPUTED_VALUE"""),2919.9)</f>
        <v>2919.9</v>
      </c>
      <c r="F2111" s="3">
        <f>IFERROR(__xludf.DUMMYFUNCTION("""COMPUTED_VALUE"""),0.0)</f>
        <v>0</v>
      </c>
    </row>
    <row r="2112">
      <c r="A2112" s="7">
        <f>IFERROR(__xludf.DUMMYFUNCTION("""COMPUTED_VALUE"""),39854.645833333336)</f>
        <v>39854.64583</v>
      </c>
      <c r="B2112" s="3">
        <f>IFERROR(__xludf.DUMMYFUNCTION("""COMPUTED_VALUE"""),2919.7)</f>
        <v>2919.7</v>
      </c>
      <c r="C2112" s="3">
        <f>IFERROR(__xludf.DUMMYFUNCTION("""COMPUTED_VALUE"""),2957.4)</f>
        <v>2957.4</v>
      </c>
      <c r="D2112" s="3">
        <f>IFERROR(__xludf.DUMMYFUNCTION("""COMPUTED_VALUE"""),2891.75)</f>
        <v>2891.75</v>
      </c>
      <c r="E2112" s="3">
        <f>IFERROR(__xludf.DUMMYFUNCTION("""COMPUTED_VALUE"""),2934.5)</f>
        <v>2934.5</v>
      </c>
      <c r="F2112" s="3">
        <f>IFERROR(__xludf.DUMMYFUNCTION("""COMPUTED_VALUE"""),0.0)</f>
        <v>0</v>
      </c>
    </row>
    <row r="2113">
      <c r="A2113" s="7">
        <f>IFERROR(__xludf.DUMMYFUNCTION("""COMPUTED_VALUE"""),39855.645833333336)</f>
        <v>39855.64583</v>
      </c>
      <c r="B2113" s="3">
        <f>IFERROR(__xludf.DUMMYFUNCTION("""COMPUTED_VALUE"""),2933.0)</f>
        <v>2933</v>
      </c>
      <c r="C2113" s="3">
        <f>IFERROR(__xludf.DUMMYFUNCTION("""COMPUTED_VALUE"""),2937.5)</f>
        <v>2937.5</v>
      </c>
      <c r="D2113" s="3">
        <f>IFERROR(__xludf.DUMMYFUNCTION("""COMPUTED_VALUE"""),2877.6)</f>
        <v>2877.6</v>
      </c>
      <c r="E2113" s="3">
        <f>IFERROR(__xludf.DUMMYFUNCTION("""COMPUTED_VALUE"""),2925.7)</f>
        <v>2925.7</v>
      </c>
      <c r="F2113" s="3">
        <f>IFERROR(__xludf.DUMMYFUNCTION("""COMPUTED_VALUE"""),0.0)</f>
        <v>0</v>
      </c>
    </row>
    <row r="2114">
      <c r="A2114" s="7">
        <f>IFERROR(__xludf.DUMMYFUNCTION("""COMPUTED_VALUE"""),39856.645833333336)</f>
        <v>39856.64583</v>
      </c>
      <c r="B2114" s="3">
        <f>IFERROR(__xludf.DUMMYFUNCTION("""COMPUTED_VALUE"""),2927.4)</f>
        <v>2927.4</v>
      </c>
      <c r="C2114" s="3">
        <f>IFERROR(__xludf.DUMMYFUNCTION("""COMPUTED_VALUE"""),2939.0)</f>
        <v>2939</v>
      </c>
      <c r="D2114" s="3">
        <f>IFERROR(__xludf.DUMMYFUNCTION("""COMPUTED_VALUE"""),2886.55)</f>
        <v>2886.55</v>
      </c>
      <c r="E2114" s="3">
        <f>IFERROR(__xludf.DUMMYFUNCTION("""COMPUTED_VALUE"""),2893.05)</f>
        <v>2893.05</v>
      </c>
      <c r="F2114" s="3">
        <f>IFERROR(__xludf.DUMMYFUNCTION("""COMPUTED_VALUE"""),0.0)</f>
        <v>0</v>
      </c>
    </row>
    <row r="2115">
      <c r="A2115" s="7">
        <f>IFERROR(__xludf.DUMMYFUNCTION("""COMPUTED_VALUE"""),39857.645833333336)</f>
        <v>39857.64583</v>
      </c>
      <c r="B2115" s="3">
        <f>IFERROR(__xludf.DUMMYFUNCTION("""COMPUTED_VALUE"""),2896.95)</f>
        <v>2896.95</v>
      </c>
      <c r="C2115" s="3">
        <f>IFERROR(__xludf.DUMMYFUNCTION("""COMPUTED_VALUE"""),2969.75)</f>
        <v>2969.75</v>
      </c>
      <c r="D2115" s="3">
        <f>IFERROR(__xludf.DUMMYFUNCTION("""COMPUTED_VALUE"""),2896.85)</f>
        <v>2896.85</v>
      </c>
      <c r="E2115" s="3">
        <f>IFERROR(__xludf.DUMMYFUNCTION("""COMPUTED_VALUE"""),2948.35)</f>
        <v>2948.35</v>
      </c>
      <c r="F2115" s="3">
        <f>IFERROR(__xludf.DUMMYFUNCTION("""COMPUTED_VALUE"""),0.0)</f>
        <v>0</v>
      </c>
    </row>
    <row r="2116">
      <c r="A2116" s="7">
        <f>IFERROR(__xludf.DUMMYFUNCTION("""COMPUTED_VALUE"""),39860.645833333336)</f>
        <v>39860.64583</v>
      </c>
      <c r="B2116" s="3">
        <f>IFERROR(__xludf.DUMMYFUNCTION("""COMPUTED_VALUE"""),2948.25)</f>
        <v>2948.25</v>
      </c>
      <c r="C2116" s="3">
        <f>IFERROR(__xludf.DUMMYFUNCTION("""COMPUTED_VALUE"""),2953.2)</f>
        <v>2953.2</v>
      </c>
      <c r="D2116" s="3">
        <f>IFERROR(__xludf.DUMMYFUNCTION("""COMPUTED_VALUE"""),2839.1)</f>
        <v>2839.1</v>
      </c>
      <c r="E2116" s="3">
        <f>IFERROR(__xludf.DUMMYFUNCTION("""COMPUTED_VALUE"""),2848.5)</f>
        <v>2848.5</v>
      </c>
      <c r="F2116" s="3">
        <f>IFERROR(__xludf.DUMMYFUNCTION("""COMPUTED_VALUE"""),0.0)</f>
        <v>0</v>
      </c>
    </row>
    <row r="2117">
      <c r="A2117" s="7">
        <f>IFERROR(__xludf.DUMMYFUNCTION("""COMPUTED_VALUE"""),39861.645833333336)</f>
        <v>39861.64583</v>
      </c>
      <c r="B2117" s="3">
        <f>IFERROR(__xludf.DUMMYFUNCTION("""COMPUTED_VALUE"""),2853.85)</f>
        <v>2853.85</v>
      </c>
      <c r="C2117" s="3">
        <f>IFERROR(__xludf.DUMMYFUNCTION("""COMPUTED_VALUE"""),2854.65)</f>
        <v>2854.65</v>
      </c>
      <c r="D2117" s="3">
        <f>IFERROR(__xludf.DUMMYFUNCTION("""COMPUTED_VALUE"""),2757.3)</f>
        <v>2757.3</v>
      </c>
      <c r="E2117" s="3">
        <f>IFERROR(__xludf.DUMMYFUNCTION("""COMPUTED_VALUE"""),2770.5)</f>
        <v>2770.5</v>
      </c>
      <c r="F2117" s="3">
        <f>IFERROR(__xludf.DUMMYFUNCTION("""COMPUTED_VALUE"""),0.0)</f>
        <v>0</v>
      </c>
    </row>
    <row r="2118">
      <c r="A2118" s="7">
        <f>IFERROR(__xludf.DUMMYFUNCTION("""COMPUTED_VALUE"""),39862.645833333336)</f>
        <v>39862.64583</v>
      </c>
      <c r="B2118" s="3">
        <f>IFERROR(__xludf.DUMMYFUNCTION("""COMPUTED_VALUE"""),2755.15)</f>
        <v>2755.15</v>
      </c>
      <c r="C2118" s="3">
        <f>IFERROR(__xludf.DUMMYFUNCTION("""COMPUTED_VALUE"""),2806.5)</f>
        <v>2806.5</v>
      </c>
      <c r="D2118" s="3">
        <f>IFERROR(__xludf.DUMMYFUNCTION("""COMPUTED_VALUE"""),2736.65)</f>
        <v>2736.65</v>
      </c>
      <c r="E2118" s="3">
        <f>IFERROR(__xludf.DUMMYFUNCTION("""COMPUTED_VALUE"""),2776.15)</f>
        <v>2776.15</v>
      </c>
      <c r="F2118" s="3">
        <f>IFERROR(__xludf.DUMMYFUNCTION("""COMPUTED_VALUE"""),0.0)</f>
        <v>0</v>
      </c>
    </row>
    <row r="2119">
      <c r="A2119" s="7">
        <f>IFERROR(__xludf.DUMMYFUNCTION("""COMPUTED_VALUE"""),39863.645833333336)</f>
        <v>39863.64583</v>
      </c>
      <c r="B2119" s="3">
        <f>IFERROR(__xludf.DUMMYFUNCTION("""COMPUTED_VALUE"""),2776.7)</f>
        <v>2776.7</v>
      </c>
      <c r="C2119" s="3">
        <f>IFERROR(__xludf.DUMMYFUNCTION("""COMPUTED_VALUE"""),2802.15)</f>
        <v>2802.15</v>
      </c>
      <c r="D2119" s="3">
        <f>IFERROR(__xludf.DUMMYFUNCTION("""COMPUTED_VALUE"""),2767.6)</f>
        <v>2767.6</v>
      </c>
      <c r="E2119" s="3">
        <f>IFERROR(__xludf.DUMMYFUNCTION("""COMPUTED_VALUE"""),2789.35)</f>
        <v>2789.35</v>
      </c>
      <c r="F2119" s="3">
        <f>IFERROR(__xludf.DUMMYFUNCTION("""COMPUTED_VALUE"""),0.0)</f>
        <v>0</v>
      </c>
    </row>
    <row r="2120">
      <c r="A2120" s="7">
        <f>IFERROR(__xludf.DUMMYFUNCTION("""COMPUTED_VALUE"""),39864.645833333336)</f>
        <v>39864.64583</v>
      </c>
      <c r="B2120" s="3">
        <f>IFERROR(__xludf.DUMMYFUNCTION("""COMPUTED_VALUE"""),2789.3)</f>
        <v>2789.3</v>
      </c>
      <c r="C2120" s="3">
        <f>IFERROR(__xludf.DUMMYFUNCTION("""COMPUTED_VALUE"""),2789.3)</f>
        <v>2789.3</v>
      </c>
      <c r="D2120" s="3">
        <f>IFERROR(__xludf.DUMMYFUNCTION("""COMPUTED_VALUE"""),2709.3)</f>
        <v>2709.3</v>
      </c>
      <c r="E2120" s="3">
        <f>IFERROR(__xludf.DUMMYFUNCTION("""COMPUTED_VALUE"""),2736.45)</f>
        <v>2736.45</v>
      </c>
      <c r="F2120" s="3">
        <f>IFERROR(__xludf.DUMMYFUNCTION("""COMPUTED_VALUE"""),0.0)</f>
        <v>0</v>
      </c>
    </row>
    <row r="2121">
      <c r="A2121" s="7">
        <f>IFERROR(__xludf.DUMMYFUNCTION("""COMPUTED_VALUE"""),39868.645833333336)</f>
        <v>39868.64583</v>
      </c>
      <c r="B2121" s="3">
        <f>IFERROR(__xludf.DUMMYFUNCTION("""COMPUTED_VALUE"""),2737.25)</f>
        <v>2737.25</v>
      </c>
      <c r="C2121" s="3">
        <f>IFERROR(__xludf.DUMMYFUNCTION("""COMPUTED_VALUE"""),2746.2)</f>
        <v>2746.2</v>
      </c>
      <c r="D2121" s="3">
        <f>IFERROR(__xludf.DUMMYFUNCTION("""COMPUTED_VALUE"""),2677.55)</f>
        <v>2677.55</v>
      </c>
      <c r="E2121" s="3">
        <f>IFERROR(__xludf.DUMMYFUNCTION("""COMPUTED_VALUE"""),2733.9)</f>
        <v>2733.9</v>
      </c>
      <c r="F2121" s="3">
        <f>IFERROR(__xludf.DUMMYFUNCTION("""COMPUTED_VALUE"""),0.0)</f>
        <v>0</v>
      </c>
    </row>
    <row r="2122">
      <c r="A2122" s="7">
        <f>IFERROR(__xludf.DUMMYFUNCTION("""COMPUTED_VALUE"""),39869.645833333336)</f>
        <v>39869.64583</v>
      </c>
      <c r="B2122" s="3">
        <f>IFERROR(__xludf.DUMMYFUNCTION("""COMPUTED_VALUE"""),2733.45)</f>
        <v>2733.45</v>
      </c>
      <c r="C2122" s="3">
        <f>IFERROR(__xludf.DUMMYFUNCTION("""COMPUTED_VALUE"""),2789.35)</f>
        <v>2789.35</v>
      </c>
      <c r="D2122" s="3">
        <f>IFERROR(__xludf.DUMMYFUNCTION("""COMPUTED_VALUE"""),2733.45)</f>
        <v>2733.45</v>
      </c>
      <c r="E2122" s="3">
        <f>IFERROR(__xludf.DUMMYFUNCTION("""COMPUTED_VALUE"""),2762.5)</f>
        <v>2762.5</v>
      </c>
      <c r="F2122" s="3">
        <f>IFERROR(__xludf.DUMMYFUNCTION("""COMPUTED_VALUE"""),0.0)</f>
        <v>0</v>
      </c>
    </row>
    <row r="2123">
      <c r="A2123" s="7">
        <f>IFERROR(__xludf.DUMMYFUNCTION("""COMPUTED_VALUE"""),39870.645833333336)</f>
        <v>39870.64583</v>
      </c>
      <c r="B2123" s="3">
        <f>IFERROR(__xludf.DUMMYFUNCTION("""COMPUTED_VALUE"""),2762.2)</f>
        <v>2762.2</v>
      </c>
      <c r="C2123" s="3">
        <f>IFERROR(__xludf.DUMMYFUNCTION("""COMPUTED_VALUE"""),2797.8)</f>
        <v>2797.8</v>
      </c>
      <c r="D2123" s="3">
        <f>IFERROR(__xludf.DUMMYFUNCTION("""COMPUTED_VALUE"""),2731.9)</f>
        <v>2731.9</v>
      </c>
      <c r="E2123" s="3">
        <f>IFERROR(__xludf.DUMMYFUNCTION("""COMPUTED_VALUE"""),2785.65)</f>
        <v>2785.65</v>
      </c>
      <c r="F2123" s="3">
        <f>IFERROR(__xludf.DUMMYFUNCTION("""COMPUTED_VALUE"""),0.0)</f>
        <v>0</v>
      </c>
    </row>
    <row r="2124">
      <c r="A2124" s="7">
        <f>IFERROR(__xludf.DUMMYFUNCTION("""COMPUTED_VALUE"""),39871.645833333336)</f>
        <v>39871.64583</v>
      </c>
      <c r="B2124" s="3">
        <f>IFERROR(__xludf.DUMMYFUNCTION("""COMPUTED_VALUE"""),2785.7)</f>
        <v>2785.7</v>
      </c>
      <c r="C2124" s="3">
        <f>IFERROR(__xludf.DUMMYFUNCTION("""COMPUTED_VALUE"""),2787.2)</f>
        <v>2787.2</v>
      </c>
      <c r="D2124" s="3">
        <f>IFERROR(__xludf.DUMMYFUNCTION("""COMPUTED_VALUE"""),2708.45)</f>
        <v>2708.45</v>
      </c>
      <c r="E2124" s="3">
        <f>IFERROR(__xludf.DUMMYFUNCTION("""COMPUTED_VALUE"""),2763.65)</f>
        <v>2763.65</v>
      </c>
      <c r="F2124" s="3">
        <f>IFERROR(__xludf.DUMMYFUNCTION("""COMPUTED_VALUE"""),0.0)</f>
        <v>0</v>
      </c>
    </row>
    <row r="2125">
      <c r="A2125" s="7">
        <f>IFERROR(__xludf.DUMMYFUNCTION("""COMPUTED_VALUE"""),39874.645833333336)</f>
        <v>39874.64583</v>
      </c>
      <c r="B2125" s="3">
        <f>IFERROR(__xludf.DUMMYFUNCTION("""COMPUTED_VALUE"""),2764.6)</f>
        <v>2764.6</v>
      </c>
      <c r="C2125" s="3">
        <f>IFERROR(__xludf.DUMMYFUNCTION("""COMPUTED_VALUE"""),2764.6)</f>
        <v>2764.6</v>
      </c>
      <c r="D2125" s="3">
        <f>IFERROR(__xludf.DUMMYFUNCTION("""COMPUTED_VALUE"""),2659.55)</f>
        <v>2659.55</v>
      </c>
      <c r="E2125" s="3">
        <f>IFERROR(__xludf.DUMMYFUNCTION("""COMPUTED_VALUE"""),2674.6)</f>
        <v>2674.6</v>
      </c>
      <c r="F2125" s="3">
        <f>IFERROR(__xludf.DUMMYFUNCTION("""COMPUTED_VALUE"""),0.0)</f>
        <v>0</v>
      </c>
    </row>
    <row r="2126">
      <c r="A2126" s="7">
        <f>IFERROR(__xludf.DUMMYFUNCTION("""COMPUTED_VALUE"""),39875.645833333336)</f>
        <v>39875.64583</v>
      </c>
      <c r="B2126" s="3">
        <f>IFERROR(__xludf.DUMMYFUNCTION("""COMPUTED_VALUE"""),2672.15)</f>
        <v>2672.15</v>
      </c>
      <c r="C2126" s="3">
        <f>IFERROR(__xludf.DUMMYFUNCTION("""COMPUTED_VALUE"""),2688.5)</f>
        <v>2688.5</v>
      </c>
      <c r="D2126" s="3">
        <f>IFERROR(__xludf.DUMMYFUNCTION("""COMPUTED_VALUE"""),2611.55)</f>
        <v>2611.55</v>
      </c>
      <c r="E2126" s="3">
        <f>IFERROR(__xludf.DUMMYFUNCTION("""COMPUTED_VALUE"""),2622.4)</f>
        <v>2622.4</v>
      </c>
      <c r="F2126" s="3">
        <f>IFERROR(__xludf.DUMMYFUNCTION("""COMPUTED_VALUE"""),0.0)</f>
        <v>0</v>
      </c>
    </row>
    <row r="2127">
      <c r="A2127" s="7">
        <f>IFERROR(__xludf.DUMMYFUNCTION("""COMPUTED_VALUE"""),39876.645833333336)</f>
        <v>39876.64583</v>
      </c>
      <c r="B2127" s="3">
        <f>IFERROR(__xludf.DUMMYFUNCTION("""COMPUTED_VALUE"""),2611.95)</f>
        <v>2611.95</v>
      </c>
      <c r="C2127" s="3">
        <f>IFERROR(__xludf.DUMMYFUNCTION("""COMPUTED_VALUE"""),2655.7)</f>
        <v>2655.7</v>
      </c>
      <c r="D2127" s="3">
        <f>IFERROR(__xludf.DUMMYFUNCTION("""COMPUTED_VALUE"""),2611.95)</f>
        <v>2611.95</v>
      </c>
      <c r="E2127" s="3">
        <f>IFERROR(__xludf.DUMMYFUNCTION("""COMPUTED_VALUE"""),2645.2)</f>
        <v>2645.2</v>
      </c>
      <c r="F2127" s="3">
        <f>IFERROR(__xludf.DUMMYFUNCTION("""COMPUTED_VALUE"""),0.0)</f>
        <v>0</v>
      </c>
    </row>
    <row r="2128">
      <c r="A2128" s="7">
        <f>IFERROR(__xludf.DUMMYFUNCTION("""COMPUTED_VALUE"""),39877.645833333336)</f>
        <v>39877.64583</v>
      </c>
      <c r="B2128" s="3">
        <f>IFERROR(__xludf.DUMMYFUNCTION("""COMPUTED_VALUE"""),2645.9)</f>
        <v>2645.9</v>
      </c>
      <c r="C2128" s="3">
        <f>IFERROR(__xludf.DUMMYFUNCTION("""COMPUTED_VALUE"""),2663.9)</f>
        <v>2663.9</v>
      </c>
      <c r="D2128" s="3">
        <f>IFERROR(__xludf.DUMMYFUNCTION("""COMPUTED_VALUE"""),2564.1)</f>
        <v>2564.1</v>
      </c>
      <c r="E2128" s="3">
        <f>IFERROR(__xludf.DUMMYFUNCTION("""COMPUTED_VALUE"""),2576.7)</f>
        <v>2576.7</v>
      </c>
      <c r="F2128" s="3">
        <f>IFERROR(__xludf.DUMMYFUNCTION("""COMPUTED_VALUE"""),0.0)</f>
        <v>0</v>
      </c>
    </row>
    <row r="2129">
      <c r="A2129" s="7">
        <f>IFERROR(__xludf.DUMMYFUNCTION("""COMPUTED_VALUE"""),39878.645833333336)</f>
        <v>39878.64583</v>
      </c>
      <c r="B2129" s="3">
        <f>IFERROR(__xludf.DUMMYFUNCTION("""COMPUTED_VALUE"""),2576.75)</f>
        <v>2576.75</v>
      </c>
      <c r="C2129" s="3">
        <f>IFERROR(__xludf.DUMMYFUNCTION("""COMPUTED_VALUE"""),2628.1)</f>
        <v>2628.1</v>
      </c>
      <c r="D2129" s="3">
        <f>IFERROR(__xludf.DUMMYFUNCTION("""COMPUTED_VALUE"""),2539.45)</f>
        <v>2539.45</v>
      </c>
      <c r="E2129" s="3">
        <f>IFERROR(__xludf.DUMMYFUNCTION("""COMPUTED_VALUE"""),2620.15)</f>
        <v>2620.15</v>
      </c>
      <c r="F2129" s="3">
        <f>IFERROR(__xludf.DUMMYFUNCTION("""COMPUTED_VALUE"""),0.0)</f>
        <v>0</v>
      </c>
    </row>
    <row r="2130">
      <c r="A2130" s="7">
        <f>IFERROR(__xludf.DUMMYFUNCTION("""COMPUTED_VALUE"""),39881.645833333336)</f>
        <v>39881.64583</v>
      </c>
      <c r="B2130" s="3">
        <f>IFERROR(__xludf.DUMMYFUNCTION("""COMPUTED_VALUE"""),2620.1)</f>
        <v>2620.1</v>
      </c>
      <c r="C2130" s="3">
        <f>IFERROR(__xludf.DUMMYFUNCTION("""COMPUTED_VALUE"""),2621.25)</f>
        <v>2621.25</v>
      </c>
      <c r="D2130" s="3">
        <f>IFERROR(__xludf.DUMMYFUNCTION("""COMPUTED_VALUE"""),2555.6)</f>
        <v>2555.6</v>
      </c>
      <c r="E2130" s="3">
        <f>IFERROR(__xludf.DUMMYFUNCTION("""COMPUTED_VALUE"""),2573.15)</f>
        <v>2573.15</v>
      </c>
      <c r="F2130" s="3">
        <f>IFERROR(__xludf.DUMMYFUNCTION("""COMPUTED_VALUE"""),0.0)</f>
        <v>0</v>
      </c>
    </row>
    <row r="2131">
      <c r="A2131" s="7">
        <f>IFERROR(__xludf.DUMMYFUNCTION("""COMPUTED_VALUE"""),39884.645833333336)</f>
        <v>39884.64583</v>
      </c>
      <c r="B2131" s="3">
        <f>IFERROR(__xludf.DUMMYFUNCTION("""COMPUTED_VALUE"""),2574.5)</f>
        <v>2574.5</v>
      </c>
      <c r="C2131" s="3">
        <f>IFERROR(__xludf.DUMMYFUNCTION("""COMPUTED_VALUE"""),2646.1)</f>
        <v>2646.1</v>
      </c>
      <c r="D2131" s="3">
        <f>IFERROR(__xludf.DUMMYFUNCTION("""COMPUTED_VALUE"""),2574.5)</f>
        <v>2574.5</v>
      </c>
      <c r="E2131" s="3">
        <f>IFERROR(__xludf.DUMMYFUNCTION("""COMPUTED_VALUE"""),2617.45)</f>
        <v>2617.45</v>
      </c>
      <c r="F2131" s="3">
        <f>IFERROR(__xludf.DUMMYFUNCTION("""COMPUTED_VALUE"""),0.0)</f>
        <v>0</v>
      </c>
    </row>
    <row r="2132">
      <c r="A2132" s="7">
        <f>IFERROR(__xludf.DUMMYFUNCTION("""COMPUTED_VALUE"""),39885.645833333336)</f>
        <v>39885.64583</v>
      </c>
      <c r="B2132" s="3">
        <f>IFERROR(__xludf.DUMMYFUNCTION("""COMPUTED_VALUE"""),2616.6)</f>
        <v>2616.6</v>
      </c>
      <c r="C2132" s="3">
        <f>IFERROR(__xludf.DUMMYFUNCTION("""COMPUTED_VALUE"""),2726.15)</f>
        <v>2726.15</v>
      </c>
      <c r="D2132" s="3">
        <f>IFERROR(__xludf.DUMMYFUNCTION("""COMPUTED_VALUE"""),2616.6)</f>
        <v>2616.6</v>
      </c>
      <c r="E2132" s="3">
        <f>IFERROR(__xludf.DUMMYFUNCTION("""COMPUTED_VALUE"""),2719.25)</f>
        <v>2719.25</v>
      </c>
      <c r="F2132" s="3">
        <f>IFERROR(__xludf.DUMMYFUNCTION("""COMPUTED_VALUE"""),0.0)</f>
        <v>0</v>
      </c>
    </row>
    <row r="2133">
      <c r="A2133" s="7">
        <f>IFERROR(__xludf.DUMMYFUNCTION("""COMPUTED_VALUE"""),39888.645833333336)</f>
        <v>39888.64583</v>
      </c>
      <c r="B2133" s="3">
        <f>IFERROR(__xludf.DUMMYFUNCTION("""COMPUTED_VALUE"""),2716.05)</f>
        <v>2716.05</v>
      </c>
      <c r="C2133" s="3">
        <f>IFERROR(__xludf.DUMMYFUNCTION("""COMPUTED_VALUE"""),2781.95)</f>
        <v>2781.95</v>
      </c>
      <c r="D2133" s="3">
        <f>IFERROR(__xludf.DUMMYFUNCTION("""COMPUTED_VALUE"""),2701.95)</f>
        <v>2701.95</v>
      </c>
      <c r="E2133" s="3">
        <f>IFERROR(__xludf.DUMMYFUNCTION("""COMPUTED_VALUE"""),2777.25)</f>
        <v>2777.25</v>
      </c>
      <c r="F2133" s="3">
        <f>IFERROR(__xludf.DUMMYFUNCTION("""COMPUTED_VALUE"""),0.0)</f>
        <v>0</v>
      </c>
    </row>
    <row r="2134">
      <c r="A2134" s="7">
        <f>IFERROR(__xludf.DUMMYFUNCTION("""COMPUTED_VALUE"""),39889.645833333336)</f>
        <v>39889.64583</v>
      </c>
      <c r="B2134" s="3">
        <f>IFERROR(__xludf.DUMMYFUNCTION("""COMPUTED_VALUE"""),2776.35)</f>
        <v>2776.35</v>
      </c>
      <c r="C2134" s="3">
        <f>IFERROR(__xludf.DUMMYFUNCTION("""COMPUTED_VALUE"""),2805.6)</f>
        <v>2805.6</v>
      </c>
      <c r="D2134" s="3">
        <f>IFERROR(__xludf.DUMMYFUNCTION("""COMPUTED_VALUE"""),2738.7)</f>
        <v>2738.7</v>
      </c>
      <c r="E2134" s="3">
        <f>IFERROR(__xludf.DUMMYFUNCTION("""COMPUTED_VALUE"""),2757.45)</f>
        <v>2757.45</v>
      </c>
      <c r="F2134" s="3">
        <f>IFERROR(__xludf.DUMMYFUNCTION("""COMPUTED_VALUE"""),0.0)</f>
        <v>0</v>
      </c>
    </row>
    <row r="2135">
      <c r="A2135" s="7">
        <f>IFERROR(__xludf.DUMMYFUNCTION("""COMPUTED_VALUE"""),39890.645833333336)</f>
        <v>39890.64583</v>
      </c>
      <c r="B2135" s="3">
        <f>IFERROR(__xludf.DUMMYFUNCTION("""COMPUTED_VALUE"""),2757.65)</f>
        <v>2757.65</v>
      </c>
      <c r="C2135" s="3">
        <f>IFERROR(__xludf.DUMMYFUNCTION("""COMPUTED_VALUE"""),2836.05)</f>
        <v>2836.05</v>
      </c>
      <c r="D2135" s="3">
        <f>IFERROR(__xludf.DUMMYFUNCTION("""COMPUTED_VALUE"""),2752.25)</f>
        <v>2752.25</v>
      </c>
      <c r="E2135" s="3">
        <f>IFERROR(__xludf.DUMMYFUNCTION("""COMPUTED_VALUE"""),2794.7)</f>
        <v>2794.7</v>
      </c>
      <c r="F2135" s="3">
        <f>IFERROR(__xludf.DUMMYFUNCTION("""COMPUTED_VALUE"""),0.0)</f>
        <v>0</v>
      </c>
    </row>
    <row r="2136">
      <c r="A2136" s="7">
        <f>IFERROR(__xludf.DUMMYFUNCTION("""COMPUTED_VALUE"""),39891.645833333336)</f>
        <v>39891.64583</v>
      </c>
      <c r="B2136" s="3">
        <f>IFERROR(__xludf.DUMMYFUNCTION("""COMPUTED_VALUE"""),2797.05)</f>
        <v>2797.05</v>
      </c>
      <c r="C2136" s="3">
        <f>IFERROR(__xludf.DUMMYFUNCTION("""COMPUTED_VALUE"""),2822.25)</f>
        <v>2822.25</v>
      </c>
      <c r="D2136" s="3">
        <f>IFERROR(__xludf.DUMMYFUNCTION("""COMPUTED_VALUE"""),2771.35)</f>
        <v>2771.35</v>
      </c>
      <c r="E2136" s="3">
        <f>IFERROR(__xludf.DUMMYFUNCTION("""COMPUTED_VALUE"""),2807.15)</f>
        <v>2807.15</v>
      </c>
      <c r="F2136" s="3">
        <f>IFERROR(__xludf.DUMMYFUNCTION("""COMPUTED_VALUE"""),0.0)</f>
        <v>0</v>
      </c>
    </row>
    <row r="2137">
      <c r="A2137" s="7">
        <f>IFERROR(__xludf.DUMMYFUNCTION("""COMPUTED_VALUE"""),39892.645833333336)</f>
        <v>39892.64583</v>
      </c>
      <c r="B2137" s="3">
        <f>IFERROR(__xludf.DUMMYFUNCTION("""COMPUTED_VALUE"""),2807.35)</f>
        <v>2807.35</v>
      </c>
      <c r="C2137" s="3">
        <f>IFERROR(__xludf.DUMMYFUNCTION("""COMPUTED_VALUE"""),2816.1)</f>
        <v>2816.1</v>
      </c>
      <c r="D2137" s="3">
        <f>IFERROR(__xludf.DUMMYFUNCTION("""COMPUTED_VALUE"""),2773.65)</f>
        <v>2773.65</v>
      </c>
      <c r="E2137" s="3">
        <f>IFERROR(__xludf.DUMMYFUNCTION("""COMPUTED_VALUE"""),2807.05)</f>
        <v>2807.05</v>
      </c>
      <c r="F2137" s="3">
        <f>IFERROR(__xludf.DUMMYFUNCTION("""COMPUTED_VALUE"""),0.0)</f>
        <v>0</v>
      </c>
    </row>
    <row r="2138">
      <c r="A2138" s="7">
        <f>IFERROR(__xludf.DUMMYFUNCTION("""COMPUTED_VALUE"""),39895.645833333336)</f>
        <v>39895.64583</v>
      </c>
      <c r="B2138" s="3">
        <f>IFERROR(__xludf.DUMMYFUNCTION("""COMPUTED_VALUE"""),2807.25)</f>
        <v>2807.25</v>
      </c>
      <c r="C2138" s="3">
        <f>IFERROR(__xludf.DUMMYFUNCTION("""COMPUTED_VALUE"""),2949.75)</f>
        <v>2949.75</v>
      </c>
      <c r="D2138" s="3">
        <f>IFERROR(__xludf.DUMMYFUNCTION("""COMPUTED_VALUE"""),2807.25)</f>
        <v>2807.25</v>
      </c>
      <c r="E2138" s="3">
        <f>IFERROR(__xludf.DUMMYFUNCTION("""COMPUTED_VALUE"""),2939.9)</f>
        <v>2939.9</v>
      </c>
      <c r="F2138" s="3">
        <f>IFERROR(__xludf.DUMMYFUNCTION("""COMPUTED_VALUE"""),0.0)</f>
        <v>0</v>
      </c>
    </row>
    <row r="2139">
      <c r="A2139" s="7">
        <f>IFERROR(__xludf.DUMMYFUNCTION("""COMPUTED_VALUE"""),39896.645833333336)</f>
        <v>39896.64583</v>
      </c>
      <c r="B2139" s="3">
        <f>IFERROR(__xludf.DUMMYFUNCTION("""COMPUTED_VALUE"""),2923.8)</f>
        <v>2923.8</v>
      </c>
      <c r="C2139" s="3">
        <f>IFERROR(__xludf.DUMMYFUNCTION("""COMPUTED_VALUE"""),3017.4)</f>
        <v>3017.4</v>
      </c>
      <c r="D2139" s="3">
        <f>IFERROR(__xludf.DUMMYFUNCTION("""COMPUTED_VALUE"""),2914.5)</f>
        <v>2914.5</v>
      </c>
      <c r="E2139" s="3">
        <f>IFERROR(__xludf.DUMMYFUNCTION("""COMPUTED_VALUE"""),2938.7)</f>
        <v>2938.7</v>
      </c>
      <c r="F2139" s="3">
        <f>IFERROR(__xludf.DUMMYFUNCTION("""COMPUTED_VALUE"""),0.0)</f>
        <v>0</v>
      </c>
    </row>
    <row r="2140">
      <c r="A2140" s="7">
        <f>IFERROR(__xludf.DUMMYFUNCTION("""COMPUTED_VALUE"""),39897.645833333336)</f>
        <v>39897.64583</v>
      </c>
      <c r="B2140" s="3">
        <f>IFERROR(__xludf.DUMMYFUNCTION("""COMPUTED_VALUE"""),2938.8)</f>
        <v>2938.8</v>
      </c>
      <c r="C2140" s="3">
        <f>IFERROR(__xludf.DUMMYFUNCTION("""COMPUTED_VALUE"""),2996.5)</f>
        <v>2996.5</v>
      </c>
      <c r="D2140" s="3">
        <f>IFERROR(__xludf.DUMMYFUNCTION("""COMPUTED_VALUE"""),2923.3)</f>
        <v>2923.3</v>
      </c>
      <c r="E2140" s="3">
        <f>IFERROR(__xludf.DUMMYFUNCTION("""COMPUTED_VALUE"""),2984.35)</f>
        <v>2984.35</v>
      </c>
      <c r="F2140" s="3">
        <f>IFERROR(__xludf.DUMMYFUNCTION("""COMPUTED_VALUE"""),0.0)</f>
        <v>0</v>
      </c>
    </row>
    <row r="2141">
      <c r="A2141" s="7">
        <f>IFERROR(__xludf.DUMMYFUNCTION("""COMPUTED_VALUE"""),39898.645833333336)</f>
        <v>39898.64583</v>
      </c>
      <c r="B2141" s="3">
        <f>IFERROR(__xludf.DUMMYFUNCTION("""COMPUTED_VALUE"""),2982.25)</f>
        <v>2982.25</v>
      </c>
      <c r="C2141" s="3">
        <f>IFERROR(__xludf.DUMMYFUNCTION("""COMPUTED_VALUE"""),3103.35)</f>
        <v>3103.35</v>
      </c>
      <c r="D2141" s="3">
        <f>IFERROR(__xludf.DUMMYFUNCTION("""COMPUTED_VALUE"""),2982.25)</f>
        <v>2982.25</v>
      </c>
      <c r="E2141" s="3">
        <f>IFERROR(__xludf.DUMMYFUNCTION("""COMPUTED_VALUE"""),3082.25)</f>
        <v>3082.25</v>
      </c>
      <c r="F2141" s="3">
        <f>IFERROR(__xludf.DUMMYFUNCTION("""COMPUTED_VALUE"""),0.0)</f>
        <v>0</v>
      </c>
    </row>
    <row r="2142">
      <c r="A2142" s="7">
        <f>IFERROR(__xludf.DUMMYFUNCTION("""COMPUTED_VALUE"""),39899.645833333336)</f>
        <v>39899.64583</v>
      </c>
      <c r="B2142" s="3">
        <f>IFERROR(__xludf.DUMMYFUNCTION("""COMPUTED_VALUE"""),3079.4)</f>
        <v>3079.4</v>
      </c>
      <c r="C2142" s="3">
        <f>IFERROR(__xludf.DUMMYFUNCTION("""COMPUTED_VALUE"""),3123.35)</f>
        <v>3123.35</v>
      </c>
      <c r="D2142" s="3">
        <f>IFERROR(__xludf.DUMMYFUNCTION("""COMPUTED_VALUE"""),3055.9)</f>
        <v>3055.9</v>
      </c>
      <c r="E2142" s="3">
        <f>IFERROR(__xludf.DUMMYFUNCTION("""COMPUTED_VALUE"""),3108.65)</f>
        <v>3108.65</v>
      </c>
      <c r="F2142" s="3">
        <f>IFERROR(__xludf.DUMMYFUNCTION("""COMPUTED_VALUE"""),0.0)</f>
        <v>0</v>
      </c>
    </row>
    <row r="2143">
      <c r="A2143" s="7">
        <f>IFERROR(__xludf.DUMMYFUNCTION("""COMPUTED_VALUE"""),39902.645833333336)</f>
        <v>39902.64583</v>
      </c>
      <c r="B2143" s="3">
        <f>IFERROR(__xludf.DUMMYFUNCTION("""COMPUTED_VALUE"""),3108.75)</f>
        <v>3108.75</v>
      </c>
      <c r="C2143" s="3">
        <f>IFERROR(__xludf.DUMMYFUNCTION("""COMPUTED_VALUE"""),3110.2)</f>
        <v>3110.2</v>
      </c>
      <c r="D2143" s="3">
        <f>IFERROR(__xludf.DUMMYFUNCTION("""COMPUTED_VALUE"""),2962.4)</f>
        <v>2962.4</v>
      </c>
      <c r="E2143" s="3">
        <f>IFERROR(__xludf.DUMMYFUNCTION("""COMPUTED_VALUE"""),2978.15)</f>
        <v>2978.15</v>
      </c>
      <c r="F2143" s="3">
        <f>IFERROR(__xludf.DUMMYFUNCTION("""COMPUTED_VALUE"""),0.0)</f>
        <v>0</v>
      </c>
    </row>
    <row r="2144">
      <c r="A2144" s="7">
        <f>IFERROR(__xludf.DUMMYFUNCTION("""COMPUTED_VALUE"""),39903.645833333336)</f>
        <v>39903.64583</v>
      </c>
      <c r="B2144" s="3">
        <f>IFERROR(__xludf.DUMMYFUNCTION("""COMPUTED_VALUE"""),2981.7)</f>
        <v>2981.7</v>
      </c>
      <c r="C2144" s="3">
        <f>IFERROR(__xludf.DUMMYFUNCTION("""COMPUTED_VALUE"""),3054.3)</f>
        <v>3054.3</v>
      </c>
      <c r="D2144" s="3">
        <f>IFERROR(__xludf.DUMMYFUNCTION("""COMPUTED_VALUE"""),2966.4)</f>
        <v>2966.4</v>
      </c>
      <c r="E2144" s="3">
        <f>IFERROR(__xludf.DUMMYFUNCTION("""COMPUTED_VALUE"""),3020.95)</f>
        <v>3020.95</v>
      </c>
      <c r="F2144" s="3">
        <f>IFERROR(__xludf.DUMMYFUNCTION("""COMPUTED_VALUE"""),0.0)</f>
        <v>0</v>
      </c>
    </row>
    <row r="2145">
      <c r="A2145" s="7">
        <f>IFERROR(__xludf.DUMMYFUNCTION("""COMPUTED_VALUE"""),39904.645833333336)</f>
        <v>39904.64583</v>
      </c>
      <c r="B2145" s="3">
        <f>IFERROR(__xludf.DUMMYFUNCTION("""COMPUTED_VALUE"""),3023.85)</f>
        <v>3023.85</v>
      </c>
      <c r="C2145" s="3">
        <f>IFERROR(__xludf.DUMMYFUNCTION("""COMPUTED_VALUE"""),3069.3)</f>
        <v>3069.3</v>
      </c>
      <c r="D2145" s="3">
        <f>IFERROR(__xludf.DUMMYFUNCTION("""COMPUTED_VALUE"""),2965.7)</f>
        <v>2965.7</v>
      </c>
      <c r="E2145" s="3">
        <f>IFERROR(__xludf.DUMMYFUNCTION("""COMPUTED_VALUE"""),3060.35)</f>
        <v>3060.35</v>
      </c>
      <c r="F2145" s="3">
        <f>IFERROR(__xludf.DUMMYFUNCTION("""COMPUTED_VALUE"""),0.0)</f>
        <v>0</v>
      </c>
    </row>
    <row r="2146">
      <c r="A2146" s="7">
        <f>IFERROR(__xludf.DUMMYFUNCTION("""COMPUTED_VALUE"""),39905.645833333336)</f>
        <v>39905.64583</v>
      </c>
      <c r="B2146" s="3">
        <f>IFERROR(__xludf.DUMMYFUNCTION("""COMPUTED_VALUE"""),3061.05)</f>
        <v>3061.05</v>
      </c>
      <c r="C2146" s="3">
        <f>IFERROR(__xludf.DUMMYFUNCTION("""COMPUTED_VALUE"""),3228.75)</f>
        <v>3228.75</v>
      </c>
      <c r="D2146" s="3">
        <f>IFERROR(__xludf.DUMMYFUNCTION("""COMPUTED_VALUE"""),3061.05)</f>
        <v>3061.05</v>
      </c>
      <c r="E2146" s="3">
        <f>IFERROR(__xludf.DUMMYFUNCTION("""COMPUTED_VALUE"""),3211.05)</f>
        <v>3211.05</v>
      </c>
      <c r="F2146" s="3">
        <f>IFERROR(__xludf.DUMMYFUNCTION("""COMPUTED_VALUE"""),0.0)</f>
        <v>0</v>
      </c>
    </row>
    <row r="2147">
      <c r="A2147" s="7">
        <f>IFERROR(__xludf.DUMMYFUNCTION("""COMPUTED_VALUE"""),39909.645833333336)</f>
        <v>39909.64583</v>
      </c>
      <c r="B2147" s="3">
        <f>IFERROR(__xludf.DUMMYFUNCTION("""COMPUTED_VALUE"""),3211.35)</f>
        <v>3211.35</v>
      </c>
      <c r="C2147" s="3">
        <f>IFERROR(__xludf.DUMMYFUNCTION("""COMPUTED_VALUE"""),3303.9)</f>
        <v>3303.9</v>
      </c>
      <c r="D2147" s="3">
        <f>IFERROR(__xludf.DUMMYFUNCTION("""COMPUTED_VALUE"""),3211.35)</f>
        <v>3211.35</v>
      </c>
      <c r="E2147" s="3">
        <f>IFERROR(__xludf.DUMMYFUNCTION("""COMPUTED_VALUE"""),3256.6)</f>
        <v>3256.6</v>
      </c>
      <c r="F2147" s="3">
        <f>IFERROR(__xludf.DUMMYFUNCTION("""COMPUTED_VALUE"""),0.0)</f>
        <v>0</v>
      </c>
    </row>
    <row r="2148">
      <c r="A2148" s="7">
        <f>IFERROR(__xludf.DUMMYFUNCTION("""COMPUTED_VALUE"""),39911.645833333336)</f>
        <v>39911.64583</v>
      </c>
      <c r="B2148" s="3">
        <f>IFERROR(__xludf.DUMMYFUNCTION("""COMPUTED_VALUE"""),3255.35)</f>
        <v>3255.35</v>
      </c>
      <c r="C2148" s="3">
        <f>IFERROR(__xludf.DUMMYFUNCTION("""COMPUTED_VALUE"""),3357.05)</f>
        <v>3357.05</v>
      </c>
      <c r="D2148" s="3">
        <f>IFERROR(__xludf.DUMMYFUNCTION("""COMPUTED_VALUE"""),3149.25)</f>
        <v>3149.25</v>
      </c>
      <c r="E2148" s="3">
        <f>IFERROR(__xludf.DUMMYFUNCTION("""COMPUTED_VALUE"""),3342.95)</f>
        <v>3342.95</v>
      </c>
      <c r="F2148" s="3">
        <f>IFERROR(__xludf.DUMMYFUNCTION("""COMPUTED_VALUE"""),0.0)</f>
        <v>0</v>
      </c>
    </row>
    <row r="2149">
      <c r="A2149" s="7">
        <f>IFERROR(__xludf.DUMMYFUNCTION("""COMPUTED_VALUE"""),39912.645833333336)</f>
        <v>39912.64583</v>
      </c>
      <c r="B2149" s="3">
        <f>IFERROR(__xludf.DUMMYFUNCTION("""COMPUTED_VALUE"""),3346.0)</f>
        <v>3346</v>
      </c>
      <c r="C2149" s="3">
        <f>IFERROR(__xludf.DUMMYFUNCTION("""COMPUTED_VALUE"""),3401.15)</f>
        <v>3401.15</v>
      </c>
      <c r="D2149" s="3">
        <f>IFERROR(__xludf.DUMMYFUNCTION("""COMPUTED_VALUE"""),3307.05)</f>
        <v>3307.05</v>
      </c>
      <c r="E2149" s="3">
        <f>IFERROR(__xludf.DUMMYFUNCTION("""COMPUTED_VALUE"""),3342.05)</f>
        <v>3342.05</v>
      </c>
      <c r="F2149" s="3">
        <f>IFERROR(__xludf.DUMMYFUNCTION("""COMPUTED_VALUE"""),0.0)</f>
        <v>0</v>
      </c>
    </row>
    <row r="2150">
      <c r="A2150" s="7">
        <f>IFERROR(__xludf.DUMMYFUNCTION("""COMPUTED_VALUE"""),39916.645833333336)</f>
        <v>39916.64583</v>
      </c>
      <c r="B2150" s="3">
        <f>IFERROR(__xludf.DUMMYFUNCTION("""COMPUTED_VALUE"""),3342.2)</f>
        <v>3342.2</v>
      </c>
      <c r="C2150" s="3">
        <f>IFERROR(__xludf.DUMMYFUNCTION("""COMPUTED_VALUE"""),3417.8)</f>
        <v>3417.8</v>
      </c>
      <c r="D2150" s="3">
        <f>IFERROR(__xludf.DUMMYFUNCTION("""COMPUTED_VALUE"""),3334.15)</f>
        <v>3334.15</v>
      </c>
      <c r="E2150" s="3">
        <f>IFERROR(__xludf.DUMMYFUNCTION("""COMPUTED_VALUE"""),3382.6)</f>
        <v>3382.6</v>
      </c>
      <c r="F2150" s="3">
        <f>IFERROR(__xludf.DUMMYFUNCTION("""COMPUTED_VALUE"""),0.0)</f>
        <v>0</v>
      </c>
    </row>
    <row r="2151">
      <c r="A2151" s="7">
        <f>IFERROR(__xludf.DUMMYFUNCTION("""COMPUTED_VALUE"""),39918.645833333336)</f>
        <v>39918.64583</v>
      </c>
      <c r="B2151" s="3">
        <f>IFERROR(__xludf.DUMMYFUNCTION("""COMPUTED_VALUE"""),3381.45)</f>
        <v>3381.45</v>
      </c>
      <c r="C2151" s="3">
        <f>IFERROR(__xludf.DUMMYFUNCTION("""COMPUTED_VALUE"""),3497.55)</f>
        <v>3497.55</v>
      </c>
      <c r="D2151" s="3">
        <f>IFERROR(__xludf.DUMMYFUNCTION("""COMPUTED_VALUE"""),3311.8)</f>
        <v>3311.8</v>
      </c>
      <c r="E2151" s="3">
        <f>IFERROR(__xludf.DUMMYFUNCTION("""COMPUTED_VALUE"""),3484.15)</f>
        <v>3484.15</v>
      </c>
      <c r="F2151" s="3">
        <f>IFERROR(__xludf.DUMMYFUNCTION("""COMPUTED_VALUE"""),0.0)</f>
        <v>0</v>
      </c>
    </row>
    <row r="2152">
      <c r="A2152" s="7">
        <f>IFERROR(__xludf.DUMMYFUNCTION("""COMPUTED_VALUE"""),39919.645833333336)</f>
        <v>39919.64583</v>
      </c>
      <c r="B2152" s="3">
        <f>IFERROR(__xludf.DUMMYFUNCTION("""COMPUTED_VALUE"""),3484.35)</f>
        <v>3484.35</v>
      </c>
      <c r="C2152" s="3">
        <f>IFERROR(__xludf.DUMMYFUNCTION("""COMPUTED_VALUE"""),3511.25)</f>
        <v>3511.25</v>
      </c>
      <c r="D2152" s="3">
        <f>IFERROR(__xludf.DUMMYFUNCTION("""COMPUTED_VALUE"""),3354.2)</f>
        <v>3354.2</v>
      </c>
      <c r="E2152" s="3">
        <f>IFERROR(__xludf.DUMMYFUNCTION("""COMPUTED_VALUE"""),3369.5)</f>
        <v>3369.5</v>
      </c>
      <c r="F2152" s="3">
        <f>IFERROR(__xludf.DUMMYFUNCTION("""COMPUTED_VALUE"""),0.0)</f>
        <v>0</v>
      </c>
    </row>
    <row r="2153">
      <c r="A2153" s="7">
        <f>IFERROR(__xludf.DUMMYFUNCTION("""COMPUTED_VALUE"""),39920.645833333336)</f>
        <v>39920.64583</v>
      </c>
      <c r="B2153" s="3">
        <f>IFERROR(__xludf.DUMMYFUNCTION("""COMPUTED_VALUE"""),3369.5)</f>
        <v>3369.5</v>
      </c>
      <c r="C2153" s="3">
        <f>IFERROR(__xludf.DUMMYFUNCTION("""COMPUTED_VALUE"""),3489.85)</f>
        <v>3489.85</v>
      </c>
      <c r="D2153" s="3">
        <f>IFERROR(__xludf.DUMMYFUNCTION("""COMPUTED_VALUE"""),3359.25)</f>
        <v>3359.25</v>
      </c>
      <c r="E2153" s="3">
        <f>IFERROR(__xludf.DUMMYFUNCTION("""COMPUTED_VALUE"""),3384.4)</f>
        <v>3384.4</v>
      </c>
      <c r="F2153" s="3">
        <f>IFERROR(__xludf.DUMMYFUNCTION("""COMPUTED_VALUE"""),0.0)</f>
        <v>0</v>
      </c>
    </row>
    <row r="2154">
      <c r="A2154" s="7">
        <f>IFERROR(__xludf.DUMMYFUNCTION("""COMPUTED_VALUE"""),39923.645833333336)</f>
        <v>39923.64583</v>
      </c>
      <c r="B2154" s="3">
        <f>IFERROR(__xludf.DUMMYFUNCTION("""COMPUTED_VALUE"""),3384.75)</f>
        <v>3384.75</v>
      </c>
      <c r="C2154" s="3">
        <f>IFERROR(__xludf.DUMMYFUNCTION("""COMPUTED_VALUE"""),3441.1)</f>
        <v>3441.1</v>
      </c>
      <c r="D2154" s="3">
        <f>IFERROR(__xludf.DUMMYFUNCTION("""COMPUTED_VALUE"""),3339.45)</f>
        <v>3339.45</v>
      </c>
      <c r="E2154" s="3">
        <f>IFERROR(__xludf.DUMMYFUNCTION("""COMPUTED_VALUE"""),3377.1)</f>
        <v>3377.1</v>
      </c>
      <c r="F2154" s="3">
        <f>IFERROR(__xludf.DUMMYFUNCTION("""COMPUTED_VALUE"""),0.0)</f>
        <v>0</v>
      </c>
    </row>
    <row r="2155">
      <c r="A2155" s="7">
        <f>IFERROR(__xludf.DUMMYFUNCTION("""COMPUTED_VALUE"""),39924.645833333336)</f>
        <v>39924.64583</v>
      </c>
      <c r="B2155" s="3">
        <f>IFERROR(__xludf.DUMMYFUNCTION("""COMPUTED_VALUE"""),3376.85)</f>
        <v>3376.85</v>
      </c>
      <c r="C2155" s="3">
        <f>IFERROR(__xludf.DUMMYFUNCTION("""COMPUTED_VALUE"""),3414.7)</f>
        <v>3414.7</v>
      </c>
      <c r="D2155" s="3">
        <f>IFERROR(__xludf.DUMMYFUNCTION("""COMPUTED_VALUE"""),3309.35)</f>
        <v>3309.35</v>
      </c>
      <c r="E2155" s="3">
        <f>IFERROR(__xludf.DUMMYFUNCTION("""COMPUTED_VALUE"""),3365.3)</f>
        <v>3365.3</v>
      </c>
      <c r="F2155" s="3">
        <f>IFERROR(__xludf.DUMMYFUNCTION("""COMPUTED_VALUE"""),0.0)</f>
        <v>0</v>
      </c>
    </row>
    <row r="2156">
      <c r="A2156" s="7">
        <f>IFERROR(__xludf.DUMMYFUNCTION("""COMPUTED_VALUE"""),39925.645833333336)</f>
        <v>39925.64583</v>
      </c>
      <c r="B2156" s="3">
        <f>IFERROR(__xludf.DUMMYFUNCTION("""COMPUTED_VALUE"""),3364.6)</f>
        <v>3364.6</v>
      </c>
      <c r="C2156" s="3">
        <f>IFERROR(__xludf.DUMMYFUNCTION("""COMPUTED_VALUE"""),3401.1)</f>
        <v>3401.1</v>
      </c>
      <c r="D2156" s="3">
        <f>IFERROR(__xludf.DUMMYFUNCTION("""COMPUTED_VALUE"""),3296.9)</f>
        <v>3296.9</v>
      </c>
      <c r="E2156" s="3">
        <f>IFERROR(__xludf.DUMMYFUNCTION("""COMPUTED_VALUE"""),3330.3)</f>
        <v>3330.3</v>
      </c>
      <c r="F2156" s="3">
        <f>IFERROR(__xludf.DUMMYFUNCTION("""COMPUTED_VALUE"""),0.0)</f>
        <v>0</v>
      </c>
    </row>
    <row r="2157">
      <c r="A2157" s="7">
        <f>IFERROR(__xludf.DUMMYFUNCTION("""COMPUTED_VALUE"""),39926.645833333336)</f>
        <v>39926.64583</v>
      </c>
      <c r="B2157" s="3">
        <f>IFERROR(__xludf.DUMMYFUNCTION("""COMPUTED_VALUE"""),3330.5)</f>
        <v>3330.5</v>
      </c>
      <c r="C2157" s="3">
        <f>IFERROR(__xludf.DUMMYFUNCTION("""COMPUTED_VALUE"""),3439.9)</f>
        <v>3439.9</v>
      </c>
      <c r="D2157" s="3">
        <f>IFERROR(__xludf.DUMMYFUNCTION("""COMPUTED_VALUE"""),3310.5)</f>
        <v>3310.5</v>
      </c>
      <c r="E2157" s="3">
        <f>IFERROR(__xludf.DUMMYFUNCTION("""COMPUTED_VALUE"""),3423.7)</f>
        <v>3423.7</v>
      </c>
      <c r="F2157" s="3">
        <f>IFERROR(__xludf.DUMMYFUNCTION("""COMPUTED_VALUE"""),0.0)</f>
        <v>0</v>
      </c>
    </row>
    <row r="2158">
      <c r="A2158" s="7">
        <f>IFERROR(__xludf.DUMMYFUNCTION("""COMPUTED_VALUE"""),39927.645833333336)</f>
        <v>39927.64583</v>
      </c>
      <c r="B2158" s="3">
        <f>IFERROR(__xludf.DUMMYFUNCTION("""COMPUTED_VALUE"""),3423.6)</f>
        <v>3423.6</v>
      </c>
      <c r="C2158" s="3">
        <f>IFERROR(__xludf.DUMMYFUNCTION("""COMPUTED_VALUE"""),3491.35)</f>
        <v>3491.35</v>
      </c>
      <c r="D2158" s="3">
        <f>IFERROR(__xludf.DUMMYFUNCTION("""COMPUTED_VALUE"""),3402.9)</f>
        <v>3402.9</v>
      </c>
      <c r="E2158" s="3">
        <f>IFERROR(__xludf.DUMMYFUNCTION("""COMPUTED_VALUE"""),3480.75)</f>
        <v>3480.75</v>
      </c>
      <c r="F2158" s="3">
        <f>IFERROR(__xludf.DUMMYFUNCTION("""COMPUTED_VALUE"""),0.0)</f>
        <v>0</v>
      </c>
    </row>
    <row r="2159">
      <c r="A2159" s="7">
        <f>IFERROR(__xludf.DUMMYFUNCTION("""COMPUTED_VALUE"""),39930.645833333336)</f>
        <v>39930.64583</v>
      </c>
      <c r="B2159" s="3">
        <f>IFERROR(__xludf.DUMMYFUNCTION("""COMPUTED_VALUE"""),3481.3)</f>
        <v>3481.3</v>
      </c>
      <c r="C2159" s="3">
        <f>IFERROR(__xludf.DUMMYFUNCTION("""COMPUTED_VALUE"""),3517.25)</f>
        <v>3517.25</v>
      </c>
      <c r="D2159" s="3">
        <f>IFERROR(__xludf.DUMMYFUNCTION("""COMPUTED_VALUE"""),3435.3)</f>
        <v>3435.3</v>
      </c>
      <c r="E2159" s="3">
        <f>IFERROR(__xludf.DUMMYFUNCTION("""COMPUTED_VALUE"""),3470.0)</f>
        <v>3470</v>
      </c>
      <c r="F2159" s="3">
        <f>IFERROR(__xludf.DUMMYFUNCTION("""COMPUTED_VALUE"""),0.0)</f>
        <v>0</v>
      </c>
    </row>
    <row r="2160">
      <c r="A2160" s="7">
        <f>IFERROR(__xludf.DUMMYFUNCTION("""COMPUTED_VALUE"""),39931.645833333336)</f>
        <v>39931.64583</v>
      </c>
      <c r="B2160" s="3">
        <f>IFERROR(__xludf.DUMMYFUNCTION("""COMPUTED_VALUE"""),3469.5)</f>
        <v>3469.5</v>
      </c>
      <c r="C2160" s="3">
        <f>IFERROR(__xludf.DUMMYFUNCTION("""COMPUTED_VALUE"""),3471.95)</f>
        <v>3471.95</v>
      </c>
      <c r="D2160" s="3">
        <f>IFERROR(__xludf.DUMMYFUNCTION("""COMPUTED_VALUE"""),3351.5)</f>
        <v>3351.5</v>
      </c>
      <c r="E2160" s="3">
        <f>IFERROR(__xludf.DUMMYFUNCTION("""COMPUTED_VALUE"""),3362.35)</f>
        <v>3362.35</v>
      </c>
      <c r="F2160" s="3">
        <f>IFERROR(__xludf.DUMMYFUNCTION("""COMPUTED_VALUE"""),0.0)</f>
        <v>0</v>
      </c>
    </row>
    <row r="2161">
      <c r="A2161" s="7">
        <f>IFERROR(__xludf.DUMMYFUNCTION("""COMPUTED_VALUE"""),39932.645833333336)</f>
        <v>39932.64583</v>
      </c>
      <c r="B2161" s="3">
        <f>IFERROR(__xludf.DUMMYFUNCTION("""COMPUTED_VALUE"""),3371.65)</f>
        <v>3371.65</v>
      </c>
      <c r="C2161" s="3">
        <f>IFERROR(__xludf.DUMMYFUNCTION("""COMPUTED_VALUE"""),3486.4)</f>
        <v>3486.4</v>
      </c>
      <c r="D2161" s="3">
        <f>IFERROR(__xludf.DUMMYFUNCTION("""COMPUTED_VALUE"""),3366.7)</f>
        <v>3366.7</v>
      </c>
      <c r="E2161" s="3">
        <f>IFERROR(__xludf.DUMMYFUNCTION("""COMPUTED_VALUE"""),3473.95)</f>
        <v>3473.95</v>
      </c>
      <c r="F2161" s="3">
        <f>IFERROR(__xludf.DUMMYFUNCTION("""COMPUTED_VALUE"""),0.0)</f>
        <v>0</v>
      </c>
    </row>
    <row r="2162">
      <c r="A2162" s="7">
        <f>IFERROR(__xludf.DUMMYFUNCTION("""COMPUTED_VALUE"""),39937.645833333336)</f>
        <v>39937.64583</v>
      </c>
      <c r="B2162" s="3">
        <f>IFERROR(__xludf.DUMMYFUNCTION("""COMPUTED_VALUE"""),3478.7)</f>
        <v>3478.7</v>
      </c>
      <c r="C2162" s="3">
        <f>IFERROR(__xludf.DUMMYFUNCTION("""COMPUTED_VALUE"""),3664.5)</f>
        <v>3664.5</v>
      </c>
      <c r="D2162" s="3">
        <f>IFERROR(__xludf.DUMMYFUNCTION("""COMPUTED_VALUE"""),3478.7)</f>
        <v>3478.7</v>
      </c>
      <c r="E2162" s="3">
        <f>IFERROR(__xludf.DUMMYFUNCTION("""COMPUTED_VALUE"""),3654.0)</f>
        <v>3654</v>
      </c>
      <c r="F2162" s="3">
        <f>IFERROR(__xludf.DUMMYFUNCTION("""COMPUTED_VALUE"""),0.0)</f>
        <v>0</v>
      </c>
    </row>
    <row r="2163">
      <c r="A2163" s="7">
        <f>IFERROR(__xludf.DUMMYFUNCTION("""COMPUTED_VALUE"""),39938.645833333336)</f>
        <v>39938.64583</v>
      </c>
      <c r="B2163" s="3">
        <f>IFERROR(__xludf.DUMMYFUNCTION("""COMPUTED_VALUE"""),3664.5)</f>
        <v>3664.5</v>
      </c>
      <c r="C2163" s="3">
        <f>IFERROR(__xludf.DUMMYFUNCTION("""COMPUTED_VALUE"""),3682.2)</f>
        <v>3682.2</v>
      </c>
      <c r="D2163" s="3">
        <f>IFERROR(__xludf.DUMMYFUNCTION("""COMPUTED_VALUE"""),3618.75)</f>
        <v>3618.75</v>
      </c>
      <c r="E2163" s="3">
        <f>IFERROR(__xludf.DUMMYFUNCTION("""COMPUTED_VALUE"""),3661.9)</f>
        <v>3661.9</v>
      </c>
      <c r="F2163" s="3">
        <f>IFERROR(__xludf.DUMMYFUNCTION("""COMPUTED_VALUE"""),0.0)</f>
        <v>0</v>
      </c>
    </row>
    <row r="2164">
      <c r="A2164" s="7">
        <f>IFERROR(__xludf.DUMMYFUNCTION("""COMPUTED_VALUE"""),39939.645833333336)</f>
        <v>39939.64583</v>
      </c>
      <c r="B2164" s="3">
        <f>IFERROR(__xludf.DUMMYFUNCTION("""COMPUTED_VALUE"""),3662.0)</f>
        <v>3662</v>
      </c>
      <c r="C2164" s="3">
        <f>IFERROR(__xludf.DUMMYFUNCTION("""COMPUTED_VALUE"""),3717.05)</f>
        <v>3717.05</v>
      </c>
      <c r="D2164" s="3">
        <f>IFERROR(__xludf.DUMMYFUNCTION("""COMPUTED_VALUE"""),3608.65)</f>
        <v>3608.65</v>
      </c>
      <c r="E2164" s="3">
        <f>IFERROR(__xludf.DUMMYFUNCTION("""COMPUTED_VALUE"""),3625.05)</f>
        <v>3625.05</v>
      </c>
      <c r="F2164" s="3">
        <f>IFERROR(__xludf.DUMMYFUNCTION("""COMPUTED_VALUE"""),0.0)</f>
        <v>0</v>
      </c>
    </row>
    <row r="2165">
      <c r="A2165" s="7">
        <f>IFERROR(__xludf.DUMMYFUNCTION("""COMPUTED_VALUE"""),39940.645833333336)</f>
        <v>39940.64583</v>
      </c>
      <c r="B2165" s="3">
        <f>IFERROR(__xludf.DUMMYFUNCTION("""COMPUTED_VALUE"""),3617.15)</f>
        <v>3617.15</v>
      </c>
      <c r="C2165" s="3">
        <f>IFERROR(__xludf.DUMMYFUNCTION("""COMPUTED_VALUE"""),3692.05)</f>
        <v>3692.05</v>
      </c>
      <c r="D2165" s="3">
        <f>IFERROR(__xludf.DUMMYFUNCTION("""COMPUTED_VALUE"""),3617.15)</f>
        <v>3617.15</v>
      </c>
      <c r="E2165" s="3">
        <f>IFERROR(__xludf.DUMMYFUNCTION("""COMPUTED_VALUE"""),3683.9)</f>
        <v>3683.9</v>
      </c>
      <c r="F2165" s="3">
        <f>IFERROR(__xludf.DUMMYFUNCTION("""COMPUTED_VALUE"""),0.0)</f>
        <v>0</v>
      </c>
    </row>
    <row r="2166">
      <c r="A2166" s="7">
        <f>IFERROR(__xludf.DUMMYFUNCTION("""COMPUTED_VALUE"""),39941.645833333336)</f>
        <v>39941.64583</v>
      </c>
      <c r="B2166" s="3">
        <f>IFERROR(__xludf.DUMMYFUNCTION("""COMPUTED_VALUE"""),3681.8)</f>
        <v>3681.8</v>
      </c>
      <c r="C2166" s="3">
        <f>IFERROR(__xludf.DUMMYFUNCTION("""COMPUTED_VALUE"""),3711.25)</f>
        <v>3711.25</v>
      </c>
      <c r="D2166" s="3">
        <f>IFERROR(__xludf.DUMMYFUNCTION("""COMPUTED_VALUE"""),3582.85)</f>
        <v>3582.85</v>
      </c>
      <c r="E2166" s="3">
        <f>IFERROR(__xludf.DUMMYFUNCTION("""COMPUTED_VALUE"""),3620.7)</f>
        <v>3620.7</v>
      </c>
      <c r="F2166" s="3">
        <f>IFERROR(__xludf.DUMMYFUNCTION("""COMPUTED_VALUE"""),0.0)</f>
        <v>0</v>
      </c>
    </row>
    <row r="2167">
      <c r="A2167" s="7">
        <f>IFERROR(__xludf.DUMMYFUNCTION("""COMPUTED_VALUE"""),39944.645833333336)</f>
        <v>39944.64583</v>
      </c>
      <c r="B2167" s="3">
        <f>IFERROR(__xludf.DUMMYFUNCTION("""COMPUTED_VALUE"""),3615.75)</f>
        <v>3615.75</v>
      </c>
      <c r="C2167" s="3">
        <f>IFERROR(__xludf.DUMMYFUNCTION("""COMPUTED_VALUE"""),3660.2)</f>
        <v>3660.2</v>
      </c>
      <c r="D2167" s="3">
        <f>IFERROR(__xludf.DUMMYFUNCTION("""COMPUTED_VALUE"""),3534.55)</f>
        <v>3534.55</v>
      </c>
      <c r="E2167" s="3">
        <f>IFERROR(__xludf.DUMMYFUNCTION("""COMPUTED_VALUE"""),3554.6)</f>
        <v>3554.6</v>
      </c>
      <c r="F2167" s="3">
        <f>IFERROR(__xludf.DUMMYFUNCTION("""COMPUTED_VALUE"""),0.0)</f>
        <v>0</v>
      </c>
    </row>
    <row r="2168">
      <c r="A2168" s="7">
        <f>IFERROR(__xludf.DUMMYFUNCTION("""COMPUTED_VALUE"""),39945.645833333336)</f>
        <v>39945.64583</v>
      </c>
      <c r="B2168" s="3">
        <f>IFERROR(__xludf.DUMMYFUNCTION("""COMPUTED_VALUE"""),3554.65)</f>
        <v>3554.65</v>
      </c>
      <c r="C2168" s="3">
        <f>IFERROR(__xludf.DUMMYFUNCTION("""COMPUTED_VALUE"""),3691.65)</f>
        <v>3691.65</v>
      </c>
      <c r="D2168" s="3">
        <f>IFERROR(__xludf.DUMMYFUNCTION("""COMPUTED_VALUE"""),3534.2)</f>
        <v>3534.2</v>
      </c>
      <c r="E2168" s="3">
        <f>IFERROR(__xludf.DUMMYFUNCTION("""COMPUTED_VALUE"""),3681.1)</f>
        <v>3681.1</v>
      </c>
      <c r="F2168" s="3">
        <f>IFERROR(__xludf.DUMMYFUNCTION("""COMPUTED_VALUE"""),0.0)</f>
        <v>0</v>
      </c>
    </row>
    <row r="2169">
      <c r="A2169" s="7">
        <f>IFERROR(__xludf.DUMMYFUNCTION("""COMPUTED_VALUE"""),39946.645833333336)</f>
        <v>39946.64583</v>
      </c>
      <c r="B2169" s="3">
        <f>IFERROR(__xludf.DUMMYFUNCTION("""COMPUTED_VALUE"""),3668.75)</f>
        <v>3668.75</v>
      </c>
      <c r="C2169" s="3">
        <f>IFERROR(__xludf.DUMMYFUNCTION("""COMPUTED_VALUE"""),3709.6)</f>
        <v>3709.6</v>
      </c>
      <c r="D2169" s="3">
        <f>IFERROR(__xludf.DUMMYFUNCTION("""COMPUTED_VALUE"""),3610.2)</f>
        <v>3610.2</v>
      </c>
      <c r="E2169" s="3">
        <f>IFERROR(__xludf.DUMMYFUNCTION("""COMPUTED_VALUE"""),3635.25)</f>
        <v>3635.25</v>
      </c>
      <c r="F2169" s="3">
        <f>IFERROR(__xludf.DUMMYFUNCTION("""COMPUTED_VALUE"""),0.0)</f>
        <v>0</v>
      </c>
    </row>
    <row r="2170">
      <c r="A2170" s="7">
        <f>IFERROR(__xludf.DUMMYFUNCTION("""COMPUTED_VALUE"""),39947.645833333336)</f>
        <v>39947.64583</v>
      </c>
      <c r="B2170" s="3">
        <f>IFERROR(__xludf.DUMMYFUNCTION("""COMPUTED_VALUE"""),3631.9)</f>
        <v>3631.9</v>
      </c>
      <c r="C2170" s="3">
        <f>IFERROR(__xludf.DUMMYFUNCTION("""COMPUTED_VALUE"""),3631.9)</f>
        <v>3631.9</v>
      </c>
      <c r="D2170" s="3">
        <f>IFERROR(__xludf.DUMMYFUNCTION("""COMPUTED_VALUE"""),3537.6)</f>
        <v>3537.6</v>
      </c>
      <c r="E2170" s="3">
        <f>IFERROR(__xludf.DUMMYFUNCTION("""COMPUTED_VALUE"""),3593.45)</f>
        <v>3593.45</v>
      </c>
      <c r="F2170" s="3">
        <f>IFERROR(__xludf.DUMMYFUNCTION("""COMPUTED_VALUE"""),0.0)</f>
        <v>0</v>
      </c>
    </row>
    <row r="2171">
      <c r="A2171" s="7">
        <f>IFERROR(__xludf.DUMMYFUNCTION("""COMPUTED_VALUE"""),39948.645833333336)</f>
        <v>39948.64583</v>
      </c>
      <c r="B2171" s="3">
        <f>IFERROR(__xludf.DUMMYFUNCTION("""COMPUTED_VALUE"""),3597.85)</f>
        <v>3597.85</v>
      </c>
      <c r="C2171" s="3">
        <f>IFERROR(__xludf.DUMMYFUNCTION("""COMPUTED_VALUE"""),3686.25)</f>
        <v>3686.25</v>
      </c>
      <c r="D2171" s="3">
        <f>IFERROR(__xludf.DUMMYFUNCTION("""COMPUTED_VALUE"""),3597.85)</f>
        <v>3597.85</v>
      </c>
      <c r="E2171" s="3">
        <f>IFERROR(__xludf.DUMMYFUNCTION("""COMPUTED_VALUE"""),3671.65)</f>
        <v>3671.65</v>
      </c>
      <c r="F2171" s="3">
        <f>IFERROR(__xludf.DUMMYFUNCTION("""COMPUTED_VALUE"""),0.0)</f>
        <v>0</v>
      </c>
    </row>
    <row r="2172">
      <c r="A2172" s="7">
        <f>IFERROR(__xludf.DUMMYFUNCTION("""COMPUTED_VALUE"""),39951.645833333336)</f>
        <v>39951.64583</v>
      </c>
      <c r="B2172" s="3">
        <f>IFERROR(__xludf.DUMMYFUNCTION("""COMPUTED_VALUE"""),3673.15)</f>
        <v>3673.15</v>
      </c>
      <c r="C2172" s="3">
        <f>IFERROR(__xludf.DUMMYFUNCTION("""COMPUTED_VALUE"""),4384.3)</f>
        <v>4384.3</v>
      </c>
      <c r="D2172" s="3">
        <f>IFERROR(__xludf.DUMMYFUNCTION("""COMPUTED_VALUE"""),3673.15)</f>
        <v>3673.15</v>
      </c>
      <c r="E2172" s="3">
        <f>IFERROR(__xludf.DUMMYFUNCTION("""COMPUTED_VALUE"""),4323.15)</f>
        <v>4323.15</v>
      </c>
      <c r="F2172" s="3">
        <f>IFERROR(__xludf.DUMMYFUNCTION("""COMPUTED_VALUE"""),0.0)</f>
        <v>0</v>
      </c>
    </row>
    <row r="2173">
      <c r="A2173" s="7">
        <f>IFERROR(__xludf.DUMMYFUNCTION("""COMPUTED_VALUE"""),39952.645833333336)</f>
        <v>39952.64583</v>
      </c>
      <c r="B2173" s="3">
        <f>IFERROR(__xludf.DUMMYFUNCTION("""COMPUTED_VALUE"""),4324.95)</f>
        <v>4324.95</v>
      </c>
      <c r="C2173" s="3">
        <f>IFERROR(__xludf.DUMMYFUNCTION("""COMPUTED_VALUE"""),4509.4)</f>
        <v>4509.4</v>
      </c>
      <c r="D2173" s="3">
        <f>IFERROR(__xludf.DUMMYFUNCTION("""COMPUTED_VALUE"""),4167.65)</f>
        <v>4167.65</v>
      </c>
      <c r="E2173" s="3">
        <f>IFERROR(__xludf.DUMMYFUNCTION("""COMPUTED_VALUE"""),4318.45)</f>
        <v>4318.45</v>
      </c>
      <c r="F2173" s="3">
        <f>IFERROR(__xludf.DUMMYFUNCTION("""COMPUTED_VALUE"""),0.0)</f>
        <v>0</v>
      </c>
    </row>
    <row r="2174">
      <c r="A2174" s="7">
        <f>IFERROR(__xludf.DUMMYFUNCTION("""COMPUTED_VALUE"""),39953.645833333336)</f>
        <v>39953.64583</v>
      </c>
      <c r="B2174" s="3">
        <f>IFERROR(__xludf.DUMMYFUNCTION("""COMPUTED_VALUE"""),4318.75)</f>
        <v>4318.75</v>
      </c>
      <c r="C2174" s="3">
        <f>IFERROR(__xludf.DUMMYFUNCTION("""COMPUTED_VALUE"""),4362.85)</f>
        <v>4362.85</v>
      </c>
      <c r="D2174" s="3">
        <f>IFERROR(__xludf.DUMMYFUNCTION("""COMPUTED_VALUE"""),4244.7)</f>
        <v>4244.7</v>
      </c>
      <c r="E2174" s="3">
        <f>IFERROR(__xludf.DUMMYFUNCTION("""COMPUTED_VALUE"""),4270.3)</f>
        <v>4270.3</v>
      </c>
      <c r="F2174" s="3">
        <f>IFERROR(__xludf.DUMMYFUNCTION("""COMPUTED_VALUE"""),0.0)</f>
        <v>0</v>
      </c>
    </row>
    <row r="2175">
      <c r="A2175" s="7">
        <f>IFERROR(__xludf.DUMMYFUNCTION("""COMPUTED_VALUE"""),39954.645833333336)</f>
        <v>39954.64583</v>
      </c>
      <c r="B2175" s="3">
        <f>IFERROR(__xludf.DUMMYFUNCTION("""COMPUTED_VALUE"""),4270.35)</f>
        <v>4270.35</v>
      </c>
      <c r="C2175" s="3">
        <f>IFERROR(__xludf.DUMMYFUNCTION("""COMPUTED_VALUE"""),4319.0)</f>
        <v>4319</v>
      </c>
      <c r="D2175" s="3">
        <f>IFERROR(__xludf.DUMMYFUNCTION("""COMPUTED_VALUE"""),4199.2)</f>
        <v>4199.2</v>
      </c>
      <c r="E2175" s="3">
        <f>IFERROR(__xludf.DUMMYFUNCTION("""COMPUTED_VALUE"""),4210.9)</f>
        <v>4210.9</v>
      </c>
      <c r="F2175" s="3">
        <f>IFERROR(__xludf.DUMMYFUNCTION("""COMPUTED_VALUE"""),0.0)</f>
        <v>0</v>
      </c>
    </row>
    <row r="2176">
      <c r="A2176" s="7">
        <f>IFERROR(__xludf.DUMMYFUNCTION("""COMPUTED_VALUE"""),39955.645833333336)</f>
        <v>39955.64583</v>
      </c>
      <c r="B2176" s="3">
        <f>IFERROR(__xludf.DUMMYFUNCTION("""COMPUTED_VALUE"""),4211.85)</f>
        <v>4211.85</v>
      </c>
      <c r="C2176" s="3">
        <f>IFERROR(__xludf.DUMMYFUNCTION("""COMPUTED_VALUE"""),4249.5)</f>
        <v>4249.5</v>
      </c>
      <c r="D2176" s="3">
        <f>IFERROR(__xludf.DUMMYFUNCTION("""COMPUTED_VALUE"""),4155.85)</f>
        <v>4155.85</v>
      </c>
      <c r="E2176" s="3">
        <f>IFERROR(__xludf.DUMMYFUNCTION("""COMPUTED_VALUE"""),4238.5)</f>
        <v>4238.5</v>
      </c>
      <c r="F2176" s="3">
        <f>IFERROR(__xludf.DUMMYFUNCTION("""COMPUTED_VALUE"""),0.0)</f>
        <v>0</v>
      </c>
    </row>
    <row r="2177">
      <c r="A2177" s="7">
        <f>IFERROR(__xludf.DUMMYFUNCTION("""COMPUTED_VALUE"""),39958.645833333336)</f>
        <v>39958.64583</v>
      </c>
      <c r="B2177" s="3">
        <f>IFERROR(__xludf.DUMMYFUNCTION("""COMPUTED_VALUE"""),4238.1)</f>
        <v>4238.1</v>
      </c>
      <c r="C2177" s="3">
        <f>IFERROR(__xludf.DUMMYFUNCTION("""COMPUTED_VALUE"""),4270.05)</f>
        <v>4270.05</v>
      </c>
      <c r="D2177" s="3">
        <f>IFERROR(__xludf.DUMMYFUNCTION("""COMPUTED_VALUE"""),4205.1)</f>
        <v>4205.1</v>
      </c>
      <c r="E2177" s="3">
        <f>IFERROR(__xludf.DUMMYFUNCTION("""COMPUTED_VALUE"""),4237.55)</f>
        <v>4237.55</v>
      </c>
      <c r="F2177" s="3">
        <f>IFERROR(__xludf.DUMMYFUNCTION("""COMPUTED_VALUE"""),0.0)</f>
        <v>0</v>
      </c>
    </row>
    <row r="2178">
      <c r="A2178" s="7">
        <f>IFERROR(__xludf.DUMMYFUNCTION("""COMPUTED_VALUE"""),39959.645833333336)</f>
        <v>39959.64583</v>
      </c>
      <c r="B2178" s="3">
        <f>IFERROR(__xludf.DUMMYFUNCTION("""COMPUTED_VALUE"""),4239.55)</f>
        <v>4239.55</v>
      </c>
      <c r="C2178" s="3">
        <f>IFERROR(__xludf.DUMMYFUNCTION("""COMPUTED_VALUE"""),4256.05)</f>
        <v>4256.05</v>
      </c>
      <c r="D2178" s="3">
        <f>IFERROR(__xludf.DUMMYFUNCTION("""COMPUTED_VALUE"""),4092.25)</f>
        <v>4092.25</v>
      </c>
      <c r="E2178" s="3">
        <f>IFERROR(__xludf.DUMMYFUNCTION("""COMPUTED_VALUE"""),4116.7)</f>
        <v>4116.7</v>
      </c>
      <c r="F2178" s="3">
        <f>IFERROR(__xludf.DUMMYFUNCTION("""COMPUTED_VALUE"""),0.0)</f>
        <v>0</v>
      </c>
    </row>
    <row r="2179">
      <c r="A2179" s="7">
        <f>IFERROR(__xludf.DUMMYFUNCTION("""COMPUTED_VALUE"""),39960.645833333336)</f>
        <v>39960.64583</v>
      </c>
      <c r="B2179" s="3">
        <f>IFERROR(__xludf.DUMMYFUNCTION("""COMPUTED_VALUE"""),4117.3)</f>
        <v>4117.3</v>
      </c>
      <c r="C2179" s="3">
        <f>IFERROR(__xludf.DUMMYFUNCTION("""COMPUTED_VALUE"""),4286.45)</f>
        <v>4286.45</v>
      </c>
      <c r="D2179" s="3">
        <f>IFERROR(__xludf.DUMMYFUNCTION("""COMPUTED_VALUE"""),4115.25)</f>
        <v>4115.25</v>
      </c>
      <c r="E2179" s="3">
        <f>IFERROR(__xludf.DUMMYFUNCTION("""COMPUTED_VALUE"""),4276.05)</f>
        <v>4276.05</v>
      </c>
      <c r="F2179" s="3">
        <f>IFERROR(__xludf.DUMMYFUNCTION("""COMPUTED_VALUE"""),0.0)</f>
        <v>0</v>
      </c>
    </row>
    <row r="2180">
      <c r="A2180" s="7">
        <f>IFERROR(__xludf.DUMMYFUNCTION("""COMPUTED_VALUE"""),39961.645833333336)</f>
        <v>39961.64583</v>
      </c>
      <c r="B2180" s="3">
        <f>IFERROR(__xludf.DUMMYFUNCTION("""COMPUTED_VALUE"""),4276.15)</f>
        <v>4276.15</v>
      </c>
      <c r="C2180" s="3">
        <f>IFERROR(__xludf.DUMMYFUNCTION("""COMPUTED_VALUE"""),4354.85)</f>
        <v>4354.85</v>
      </c>
      <c r="D2180" s="3">
        <f>IFERROR(__xludf.DUMMYFUNCTION("""COMPUTED_VALUE"""),4254.85)</f>
        <v>4254.85</v>
      </c>
      <c r="E2180" s="3">
        <f>IFERROR(__xludf.DUMMYFUNCTION("""COMPUTED_VALUE"""),4337.1)</f>
        <v>4337.1</v>
      </c>
      <c r="F2180" s="3">
        <f>IFERROR(__xludf.DUMMYFUNCTION("""COMPUTED_VALUE"""),0.0)</f>
        <v>0</v>
      </c>
    </row>
    <row r="2181">
      <c r="A2181" s="7">
        <f>IFERROR(__xludf.DUMMYFUNCTION("""COMPUTED_VALUE"""),39962.645833333336)</f>
        <v>39962.64583</v>
      </c>
      <c r="B2181" s="3">
        <f>IFERROR(__xludf.DUMMYFUNCTION("""COMPUTED_VALUE"""),4340.75)</f>
        <v>4340.75</v>
      </c>
      <c r="C2181" s="3">
        <f>IFERROR(__xludf.DUMMYFUNCTION("""COMPUTED_VALUE"""),4488.05)</f>
        <v>4488.05</v>
      </c>
      <c r="D2181" s="3">
        <f>IFERROR(__xludf.DUMMYFUNCTION("""COMPUTED_VALUE"""),4340.75)</f>
        <v>4340.75</v>
      </c>
      <c r="E2181" s="3">
        <f>IFERROR(__xludf.DUMMYFUNCTION("""COMPUTED_VALUE"""),4448.95)</f>
        <v>4448.95</v>
      </c>
      <c r="F2181" s="3">
        <f>IFERROR(__xludf.DUMMYFUNCTION("""COMPUTED_VALUE"""),0.0)</f>
        <v>0</v>
      </c>
    </row>
    <row r="2182">
      <c r="A2182" s="7">
        <f>IFERROR(__xludf.DUMMYFUNCTION("""COMPUTED_VALUE"""),39965.645833333336)</f>
        <v>39965.64583</v>
      </c>
      <c r="B2182" s="3">
        <f>IFERROR(__xludf.DUMMYFUNCTION("""COMPUTED_VALUE"""),4450.4)</f>
        <v>4450.4</v>
      </c>
      <c r="C2182" s="3">
        <f>IFERROR(__xludf.DUMMYFUNCTION("""COMPUTED_VALUE"""),4545.4)</f>
        <v>4545.4</v>
      </c>
      <c r="D2182" s="3">
        <f>IFERROR(__xludf.DUMMYFUNCTION("""COMPUTED_VALUE"""),4450.4)</f>
        <v>4450.4</v>
      </c>
      <c r="E2182" s="3">
        <f>IFERROR(__xludf.DUMMYFUNCTION("""COMPUTED_VALUE"""),4529.9)</f>
        <v>4529.9</v>
      </c>
      <c r="F2182" s="3">
        <f>IFERROR(__xludf.DUMMYFUNCTION("""COMPUTED_VALUE"""),0.0)</f>
        <v>0</v>
      </c>
    </row>
    <row r="2183">
      <c r="A2183" s="7">
        <f>IFERROR(__xludf.DUMMYFUNCTION("""COMPUTED_VALUE"""),39966.645833333336)</f>
        <v>39966.64583</v>
      </c>
      <c r="B2183" s="3">
        <f>IFERROR(__xludf.DUMMYFUNCTION("""COMPUTED_VALUE"""),4530.45)</f>
        <v>4530.45</v>
      </c>
      <c r="C2183" s="3">
        <f>IFERROR(__xludf.DUMMYFUNCTION("""COMPUTED_VALUE"""),4586.4)</f>
        <v>4586.4</v>
      </c>
      <c r="D2183" s="3">
        <f>IFERROR(__xludf.DUMMYFUNCTION("""COMPUTED_VALUE"""),4451.3)</f>
        <v>4451.3</v>
      </c>
      <c r="E2183" s="3">
        <f>IFERROR(__xludf.DUMMYFUNCTION("""COMPUTED_VALUE"""),4525.25)</f>
        <v>4525.25</v>
      </c>
      <c r="F2183" s="3">
        <f>IFERROR(__xludf.DUMMYFUNCTION("""COMPUTED_VALUE"""),0.0)</f>
        <v>0</v>
      </c>
    </row>
    <row r="2184">
      <c r="A2184" s="7">
        <f>IFERROR(__xludf.DUMMYFUNCTION("""COMPUTED_VALUE"""),39967.645833333336)</f>
        <v>39967.64583</v>
      </c>
      <c r="B2184" s="3">
        <f>IFERROR(__xludf.DUMMYFUNCTION("""COMPUTED_VALUE"""),4525.5)</f>
        <v>4525.5</v>
      </c>
      <c r="C2184" s="3">
        <f>IFERROR(__xludf.DUMMYFUNCTION("""COMPUTED_VALUE"""),4574.9)</f>
        <v>4574.9</v>
      </c>
      <c r="D2184" s="3">
        <f>IFERROR(__xludf.DUMMYFUNCTION("""COMPUTED_VALUE"""),4478.6)</f>
        <v>4478.6</v>
      </c>
      <c r="E2184" s="3">
        <f>IFERROR(__xludf.DUMMYFUNCTION("""COMPUTED_VALUE"""),4530.7)</f>
        <v>4530.7</v>
      </c>
      <c r="F2184" s="3">
        <f>IFERROR(__xludf.DUMMYFUNCTION("""COMPUTED_VALUE"""),0.0)</f>
        <v>0</v>
      </c>
    </row>
    <row r="2185">
      <c r="A2185" s="7">
        <f>IFERROR(__xludf.DUMMYFUNCTION("""COMPUTED_VALUE"""),39968.645833333336)</f>
        <v>39968.64583</v>
      </c>
      <c r="B2185" s="3">
        <f>IFERROR(__xludf.DUMMYFUNCTION("""COMPUTED_VALUE"""),4530.3)</f>
        <v>4530.3</v>
      </c>
      <c r="C2185" s="3">
        <f>IFERROR(__xludf.DUMMYFUNCTION("""COMPUTED_VALUE"""),4582.2)</f>
        <v>4582.2</v>
      </c>
      <c r="D2185" s="3">
        <f>IFERROR(__xludf.DUMMYFUNCTION("""COMPUTED_VALUE"""),4453.45)</f>
        <v>4453.45</v>
      </c>
      <c r="E2185" s="3">
        <f>IFERROR(__xludf.DUMMYFUNCTION("""COMPUTED_VALUE"""),4572.65)</f>
        <v>4572.65</v>
      </c>
      <c r="F2185" s="3">
        <f>IFERROR(__xludf.DUMMYFUNCTION("""COMPUTED_VALUE"""),0.0)</f>
        <v>0</v>
      </c>
    </row>
    <row r="2186">
      <c r="A2186" s="7">
        <f>IFERROR(__xludf.DUMMYFUNCTION("""COMPUTED_VALUE"""),39969.645833333336)</f>
        <v>39969.64583</v>
      </c>
      <c r="B2186" s="3">
        <f>IFERROR(__xludf.DUMMYFUNCTION("""COMPUTED_VALUE"""),4573.3)</f>
        <v>4573.3</v>
      </c>
      <c r="C2186" s="3">
        <f>IFERROR(__xludf.DUMMYFUNCTION("""COMPUTED_VALUE"""),4636.85)</f>
        <v>4636.85</v>
      </c>
      <c r="D2186" s="3">
        <f>IFERROR(__xludf.DUMMYFUNCTION("""COMPUTED_VALUE"""),4561.95)</f>
        <v>4561.95</v>
      </c>
      <c r="E2186" s="3">
        <f>IFERROR(__xludf.DUMMYFUNCTION("""COMPUTED_VALUE"""),4586.9)</f>
        <v>4586.9</v>
      </c>
      <c r="F2186" s="3">
        <f>IFERROR(__xludf.DUMMYFUNCTION("""COMPUTED_VALUE"""),0.0)</f>
        <v>0</v>
      </c>
    </row>
    <row r="2187">
      <c r="A2187" s="7">
        <f>IFERROR(__xludf.DUMMYFUNCTION("""COMPUTED_VALUE"""),39972.645833333336)</f>
        <v>39972.64583</v>
      </c>
      <c r="B2187" s="3">
        <f>IFERROR(__xludf.DUMMYFUNCTION("""COMPUTED_VALUE"""),4582.35)</f>
        <v>4582.35</v>
      </c>
      <c r="C2187" s="3">
        <f>IFERROR(__xludf.DUMMYFUNCTION("""COMPUTED_VALUE"""),4611.4)</f>
        <v>4611.4</v>
      </c>
      <c r="D2187" s="3">
        <f>IFERROR(__xludf.DUMMYFUNCTION("""COMPUTED_VALUE"""),4404.65)</f>
        <v>4404.65</v>
      </c>
      <c r="E2187" s="3">
        <f>IFERROR(__xludf.DUMMYFUNCTION("""COMPUTED_VALUE"""),4429.9)</f>
        <v>4429.9</v>
      </c>
      <c r="F2187" s="3">
        <f>IFERROR(__xludf.DUMMYFUNCTION("""COMPUTED_VALUE"""),0.0)</f>
        <v>0</v>
      </c>
    </row>
    <row r="2188">
      <c r="A2188" s="7">
        <f>IFERROR(__xludf.DUMMYFUNCTION("""COMPUTED_VALUE"""),39973.645833333336)</f>
        <v>39973.64583</v>
      </c>
      <c r="B2188" s="3">
        <f>IFERROR(__xludf.DUMMYFUNCTION("""COMPUTED_VALUE"""),4427.75)</f>
        <v>4427.75</v>
      </c>
      <c r="C2188" s="3">
        <f>IFERROR(__xludf.DUMMYFUNCTION("""COMPUTED_VALUE"""),4562.45)</f>
        <v>4562.45</v>
      </c>
      <c r="D2188" s="3">
        <f>IFERROR(__xludf.DUMMYFUNCTION("""COMPUTED_VALUE"""),4365.1)</f>
        <v>4365.1</v>
      </c>
      <c r="E2188" s="3">
        <f>IFERROR(__xludf.DUMMYFUNCTION("""COMPUTED_VALUE"""),4550.95)</f>
        <v>4550.95</v>
      </c>
      <c r="F2188" s="3">
        <f>IFERROR(__xludf.DUMMYFUNCTION("""COMPUTED_VALUE"""),0.0)</f>
        <v>0</v>
      </c>
    </row>
    <row r="2189">
      <c r="A2189" s="7">
        <f>IFERROR(__xludf.DUMMYFUNCTION("""COMPUTED_VALUE"""),39974.645833333336)</f>
        <v>39974.64583</v>
      </c>
      <c r="B2189" s="3">
        <f>IFERROR(__xludf.DUMMYFUNCTION("""COMPUTED_VALUE"""),4551.7)</f>
        <v>4551.7</v>
      </c>
      <c r="C2189" s="3">
        <f>IFERROR(__xludf.DUMMYFUNCTION("""COMPUTED_VALUE"""),4688.95)</f>
        <v>4688.95</v>
      </c>
      <c r="D2189" s="3">
        <f>IFERROR(__xludf.DUMMYFUNCTION("""COMPUTED_VALUE"""),4551.7)</f>
        <v>4551.7</v>
      </c>
      <c r="E2189" s="3">
        <f>IFERROR(__xludf.DUMMYFUNCTION("""COMPUTED_VALUE"""),4655.25)</f>
        <v>4655.25</v>
      </c>
      <c r="F2189" s="3">
        <f>IFERROR(__xludf.DUMMYFUNCTION("""COMPUTED_VALUE"""),0.0)</f>
        <v>0</v>
      </c>
    </row>
    <row r="2190">
      <c r="A2190" s="7">
        <f>IFERROR(__xludf.DUMMYFUNCTION("""COMPUTED_VALUE"""),39975.645833333336)</f>
        <v>39975.64583</v>
      </c>
      <c r="B2190" s="3">
        <f>IFERROR(__xludf.DUMMYFUNCTION("""COMPUTED_VALUE"""),4657.4)</f>
        <v>4657.4</v>
      </c>
      <c r="C2190" s="3">
        <f>IFERROR(__xludf.DUMMYFUNCTION("""COMPUTED_VALUE"""),4679.55)</f>
        <v>4679.55</v>
      </c>
      <c r="D2190" s="3">
        <f>IFERROR(__xludf.DUMMYFUNCTION("""COMPUTED_VALUE"""),4586.15)</f>
        <v>4586.15</v>
      </c>
      <c r="E2190" s="3">
        <f>IFERROR(__xludf.DUMMYFUNCTION("""COMPUTED_VALUE"""),4637.7)</f>
        <v>4637.7</v>
      </c>
      <c r="F2190" s="3">
        <f>IFERROR(__xludf.DUMMYFUNCTION("""COMPUTED_VALUE"""),0.0)</f>
        <v>0</v>
      </c>
    </row>
    <row r="2191">
      <c r="A2191" s="7">
        <f>IFERROR(__xludf.DUMMYFUNCTION("""COMPUTED_VALUE"""),39976.645833333336)</f>
        <v>39976.64583</v>
      </c>
      <c r="B2191" s="3">
        <f>IFERROR(__xludf.DUMMYFUNCTION("""COMPUTED_VALUE"""),4637.55)</f>
        <v>4637.55</v>
      </c>
      <c r="C2191" s="3">
        <f>IFERROR(__xludf.DUMMYFUNCTION("""COMPUTED_VALUE"""),4693.2)</f>
        <v>4693.2</v>
      </c>
      <c r="D2191" s="3">
        <f>IFERROR(__xludf.DUMMYFUNCTION("""COMPUTED_VALUE"""),4566.15)</f>
        <v>4566.15</v>
      </c>
      <c r="E2191" s="3">
        <f>IFERROR(__xludf.DUMMYFUNCTION("""COMPUTED_VALUE"""),4583.4)</f>
        <v>4583.4</v>
      </c>
      <c r="F2191" s="3">
        <f>IFERROR(__xludf.DUMMYFUNCTION("""COMPUTED_VALUE"""),0.0)</f>
        <v>0</v>
      </c>
    </row>
    <row r="2192">
      <c r="A2192" s="7">
        <f>IFERROR(__xludf.DUMMYFUNCTION("""COMPUTED_VALUE"""),39979.645833333336)</f>
        <v>39979.64583</v>
      </c>
      <c r="B2192" s="3">
        <f>IFERROR(__xludf.DUMMYFUNCTION("""COMPUTED_VALUE"""),4584.65)</f>
        <v>4584.65</v>
      </c>
      <c r="C2192" s="3">
        <f>IFERROR(__xludf.DUMMYFUNCTION("""COMPUTED_VALUE"""),4601.05)</f>
        <v>4601.05</v>
      </c>
      <c r="D2192" s="3">
        <f>IFERROR(__xludf.DUMMYFUNCTION("""COMPUTED_VALUE"""),4469.6)</f>
        <v>4469.6</v>
      </c>
      <c r="E2192" s="3">
        <f>IFERROR(__xludf.DUMMYFUNCTION("""COMPUTED_VALUE"""),4484.0)</f>
        <v>4484</v>
      </c>
      <c r="F2192" s="3">
        <f>IFERROR(__xludf.DUMMYFUNCTION("""COMPUTED_VALUE"""),0.0)</f>
        <v>0</v>
      </c>
    </row>
    <row r="2193">
      <c r="A2193" s="7">
        <f>IFERROR(__xludf.DUMMYFUNCTION("""COMPUTED_VALUE"""),39980.645833333336)</f>
        <v>39980.64583</v>
      </c>
      <c r="B2193" s="3">
        <f>IFERROR(__xludf.DUMMYFUNCTION("""COMPUTED_VALUE"""),4478.1)</f>
        <v>4478.1</v>
      </c>
      <c r="C2193" s="3">
        <f>IFERROR(__xludf.DUMMYFUNCTION("""COMPUTED_VALUE"""),4537.95)</f>
        <v>4537.95</v>
      </c>
      <c r="D2193" s="3">
        <f>IFERROR(__xludf.DUMMYFUNCTION("""COMPUTED_VALUE"""),4405.95)</f>
        <v>4405.95</v>
      </c>
      <c r="E2193" s="3">
        <f>IFERROR(__xludf.DUMMYFUNCTION("""COMPUTED_VALUE"""),4517.8)</f>
        <v>4517.8</v>
      </c>
      <c r="F2193" s="3">
        <f>IFERROR(__xludf.DUMMYFUNCTION("""COMPUTED_VALUE"""),0.0)</f>
        <v>0</v>
      </c>
    </row>
    <row r="2194">
      <c r="A2194" s="7">
        <f>IFERROR(__xludf.DUMMYFUNCTION("""COMPUTED_VALUE"""),39981.645833333336)</f>
        <v>39981.64583</v>
      </c>
      <c r="B2194" s="3">
        <f>IFERROR(__xludf.DUMMYFUNCTION("""COMPUTED_VALUE"""),4515.35)</f>
        <v>4515.35</v>
      </c>
      <c r="C2194" s="3">
        <f>IFERROR(__xludf.DUMMYFUNCTION("""COMPUTED_VALUE"""),4517.8)</f>
        <v>4517.8</v>
      </c>
      <c r="D2194" s="3">
        <f>IFERROR(__xludf.DUMMYFUNCTION("""COMPUTED_VALUE"""),4332.8)</f>
        <v>4332.8</v>
      </c>
      <c r="E2194" s="3">
        <f>IFERROR(__xludf.DUMMYFUNCTION("""COMPUTED_VALUE"""),4356.15)</f>
        <v>4356.15</v>
      </c>
      <c r="F2194" s="3">
        <f>IFERROR(__xludf.DUMMYFUNCTION("""COMPUTED_VALUE"""),0.0)</f>
        <v>0</v>
      </c>
    </row>
    <row r="2195">
      <c r="A2195" s="7">
        <f>IFERROR(__xludf.DUMMYFUNCTION("""COMPUTED_VALUE"""),39982.645833333336)</f>
        <v>39982.64583</v>
      </c>
      <c r="B2195" s="3">
        <f>IFERROR(__xludf.DUMMYFUNCTION("""COMPUTED_VALUE"""),4352.95)</f>
        <v>4352.95</v>
      </c>
      <c r="C2195" s="3">
        <f>IFERROR(__xludf.DUMMYFUNCTION("""COMPUTED_VALUE"""),4375.3)</f>
        <v>4375.3</v>
      </c>
      <c r="D2195" s="3">
        <f>IFERROR(__xludf.DUMMYFUNCTION("""COMPUTED_VALUE"""),4222.15)</f>
        <v>4222.15</v>
      </c>
      <c r="E2195" s="3">
        <f>IFERROR(__xludf.DUMMYFUNCTION("""COMPUTED_VALUE"""),4251.4)</f>
        <v>4251.4</v>
      </c>
      <c r="F2195" s="3">
        <f>IFERROR(__xludf.DUMMYFUNCTION("""COMPUTED_VALUE"""),0.0)</f>
        <v>0</v>
      </c>
    </row>
    <row r="2196">
      <c r="A2196" s="7">
        <f>IFERROR(__xludf.DUMMYFUNCTION("""COMPUTED_VALUE"""),39983.645833333336)</f>
        <v>39983.64583</v>
      </c>
      <c r="B2196" s="3">
        <f>IFERROR(__xludf.DUMMYFUNCTION("""COMPUTED_VALUE"""),4251.1)</f>
        <v>4251.1</v>
      </c>
      <c r="C2196" s="3">
        <f>IFERROR(__xludf.DUMMYFUNCTION("""COMPUTED_VALUE"""),4326.2)</f>
        <v>4326.2</v>
      </c>
      <c r="D2196" s="3">
        <f>IFERROR(__xludf.DUMMYFUNCTION("""COMPUTED_VALUE"""),4206.7)</f>
        <v>4206.7</v>
      </c>
      <c r="E2196" s="3">
        <f>IFERROR(__xludf.DUMMYFUNCTION("""COMPUTED_VALUE"""),4313.6)</f>
        <v>4313.6</v>
      </c>
      <c r="F2196" s="3">
        <f>IFERROR(__xludf.DUMMYFUNCTION("""COMPUTED_VALUE"""),0.0)</f>
        <v>0</v>
      </c>
    </row>
    <row r="2197">
      <c r="A2197" s="7">
        <f>IFERROR(__xludf.DUMMYFUNCTION("""COMPUTED_VALUE"""),39986.645833333336)</f>
        <v>39986.64583</v>
      </c>
      <c r="B2197" s="3">
        <f>IFERROR(__xludf.DUMMYFUNCTION("""COMPUTED_VALUE"""),4314.2)</f>
        <v>4314.2</v>
      </c>
      <c r="C2197" s="3">
        <f>IFERROR(__xludf.DUMMYFUNCTION("""COMPUTED_VALUE"""),4352.25)</f>
        <v>4352.25</v>
      </c>
      <c r="D2197" s="3">
        <f>IFERROR(__xludf.DUMMYFUNCTION("""COMPUTED_VALUE"""),4221.9)</f>
        <v>4221.9</v>
      </c>
      <c r="E2197" s="3">
        <f>IFERROR(__xludf.DUMMYFUNCTION("""COMPUTED_VALUE"""),4235.25)</f>
        <v>4235.25</v>
      </c>
      <c r="F2197" s="3">
        <f>IFERROR(__xludf.DUMMYFUNCTION("""COMPUTED_VALUE"""),0.0)</f>
        <v>0</v>
      </c>
    </row>
    <row r="2198">
      <c r="A2198" s="7">
        <f>IFERROR(__xludf.DUMMYFUNCTION("""COMPUTED_VALUE"""),39987.645833333336)</f>
        <v>39987.64583</v>
      </c>
      <c r="B2198" s="3">
        <f>IFERROR(__xludf.DUMMYFUNCTION("""COMPUTED_VALUE"""),4223.3)</f>
        <v>4223.3</v>
      </c>
      <c r="C2198" s="3">
        <f>IFERROR(__xludf.DUMMYFUNCTION("""COMPUTED_VALUE"""),4267.45)</f>
        <v>4267.45</v>
      </c>
      <c r="D2198" s="3">
        <f>IFERROR(__xludf.DUMMYFUNCTION("""COMPUTED_VALUE"""),4143.25)</f>
        <v>4143.25</v>
      </c>
      <c r="E2198" s="3">
        <f>IFERROR(__xludf.DUMMYFUNCTION("""COMPUTED_VALUE"""),4247.0)</f>
        <v>4247</v>
      </c>
      <c r="F2198" s="3">
        <f>IFERROR(__xludf.DUMMYFUNCTION("""COMPUTED_VALUE"""),0.0)</f>
        <v>0</v>
      </c>
    </row>
    <row r="2199">
      <c r="A2199" s="7">
        <f>IFERROR(__xludf.DUMMYFUNCTION("""COMPUTED_VALUE"""),39988.645833333336)</f>
        <v>39988.64583</v>
      </c>
      <c r="B2199" s="3">
        <f>IFERROR(__xludf.DUMMYFUNCTION("""COMPUTED_VALUE"""),4247.3)</f>
        <v>4247.3</v>
      </c>
      <c r="C2199" s="3">
        <f>IFERROR(__xludf.DUMMYFUNCTION("""COMPUTED_VALUE"""),4307.0)</f>
        <v>4307</v>
      </c>
      <c r="D2199" s="3">
        <f>IFERROR(__xludf.DUMMYFUNCTION("""COMPUTED_VALUE"""),4218.25)</f>
        <v>4218.25</v>
      </c>
      <c r="E2199" s="3">
        <f>IFERROR(__xludf.DUMMYFUNCTION("""COMPUTED_VALUE"""),4292.95)</f>
        <v>4292.95</v>
      </c>
      <c r="F2199" s="3">
        <f>IFERROR(__xludf.DUMMYFUNCTION("""COMPUTED_VALUE"""),0.0)</f>
        <v>0</v>
      </c>
    </row>
    <row r="2200">
      <c r="A2200" s="7">
        <f>IFERROR(__xludf.DUMMYFUNCTION("""COMPUTED_VALUE"""),39989.645833333336)</f>
        <v>39989.64583</v>
      </c>
      <c r="B2200" s="3">
        <f>IFERROR(__xludf.DUMMYFUNCTION("""COMPUTED_VALUE"""),4293.85)</f>
        <v>4293.85</v>
      </c>
      <c r="C2200" s="3">
        <f>IFERROR(__xludf.DUMMYFUNCTION("""COMPUTED_VALUE"""),4337.95)</f>
        <v>4337.95</v>
      </c>
      <c r="D2200" s="3">
        <f>IFERROR(__xludf.DUMMYFUNCTION("""COMPUTED_VALUE"""),4221.15)</f>
        <v>4221.15</v>
      </c>
      <c r="E2200" s="3">
        <f>IFERROR(__xludf.DUMMYFUNCTION("""COMPUTED_VALUE"""),4241.85)</f>
        <v>4241.85</v>
      </c>
      <c r="F2200" s="3">
        <f>IFERROR(__xludf.DUMMYFUNCTION("""COMPUTED_VALUE"""),0.0)</f>
        <v>0</v>
      </c>
    </row>
    <row r="2201">
      <c r="A2201" s="7">
        <f>IFERROR(__xludf.DUMMYFUNCTION("""COMPUTED_VALUE"""),39990.645833333336)</f>
        <v>39990.64583</v>
      </c>
      <c r="B2201" s="3">
        <f>IFERROR(__xludf.DUMMYFUNCTION("""COMPUTED_VALUE"""),4243.95)</f>
        <v>4243.95</v>
      </c>
      <c r="C2201" s="3">
        <f>IFERROR(__xludf.DUMMYFUNCTION("""COMPUTED_VALUE"""),4383.75)</f>
        <v>4383.75</v>
      </c>
      <c r="D2201" s="3">
        <f>IFERROR(__xludf.DUMMYFUNCTION("""COMPUTED_VALUE"""),4243.95)</f>
        <v>4243.95</v>
      </c>
      <c r="E2201" s="3">
        <f>IFERROR(__xludf.DUMMYFUNCTION("""COMPUTED_VALUE"""),4375.5)</f>
        <v>4375.5</v>
      </c>
      <c r="F2201" s="3">
        <f>IFERROR(__xludf.DUMMYFUNCTION("""COMPUTED_VALUE"""),0.0)</f>
        <v>0</v>
      </c>
    </row>
    <row r="2202">
      <c r="A2202" s="7">
        <f>IFERROR(__xludf.DUMMYFUNCTION("""COMPUTED_VALUE"""),39993.645833333336)</f>
        <v>39993.64583</v>
      </c>
      <c r="B2202" s="3">
        <f>IFERROR(__xludf.DUMMYFUNCTION("""COMPUTED_VALUE"""),4375.4)</f>
        <v>4375.4</v>
      </c>
      <c r="C2202" s="3">
        <f>IFERROR(__xludf.DUMMYFUNCTION("""COMPUTED_VALUE"""),4439.95)</f>
        <v>4439.95</v>
      </c>
      <c r="D2202" s="3">
        <f>IFERROR(__xludf.DUMMYFUNCTION("""COMPUTED_VALUE"""),4350.9)</f>
        <v>4350.9</v>
      </c>
      <c r="E2202" s="3">
        <f>IFERROR(__xludf.DUMMYFUNCTION("""COMPUTED_VALUE"""),4390.95)</f>
        <v>4390.95</v>
      </c>
      <c r="F2202" s="3">
        <f>IFERROR(__xludf.DUMMYFUNCTION("""COMPUTED_VALUE"""),0.0)</f>
        <v>0</v>
      </c>
    </row>
    <row r="2203">
      <c r="A2203" s="7">
        <f>IFERROR(__xludf.DUMMYFUNCTION("""COMPUTED_VALUE"""),39994.645833333336)</f>
        <v>39994.64583</v>
      </c>
      <c r="B2203" s="3">
        <f>IFERROR(__xludf.DUMMYFUNCTION("""COMPUTED_VALUE"""),4391.5)</f>
        <v>4391.5</v>
      </c>
      <c r="C2203" s="3">
        <f>IFERROR(__xludf.DUMMYFUNCTION("""COMPUTED_VALUE"""),4426.75)</f>
        <v>4426.75</v>
      </c>
      <c r="D2203" s="3">
        <f>IFERROR(__xludf.DUMMYFUNCTION("""COMPUTED_VALUE"""),4267.35)</f>
        <v>4267.35</v>
      </c>
      <c r="E2203" s="3">
        <f>IFERROR(__xludf.DUMMYFUNCTION("""COMPUTED_VALUE"""),4291.1)</f>
        <v>4291.1</v>
      </c>
      <c r="F2203" s="3">
        <f>IFERROR(__xludf.DUMMYFUNCTION("""COMPUTED_VALUE"""),0.0)</f>
        <v>0</v>
      </c>
    </row>
    <row r="2204">
      <c r="A2204" s="7">
        <f>IFERROR(__xludf.DUMMYFUNCTION("""COMPUTED_VALUE"""),39995.645833333336)</f>
        <v>39995.64583</v>
      </c>
      <c r="B2204" s="3">
        <f>IFERROR(__xludf.DUMMYFUNCTION("""COMPUTED_VALUE"""),4292.3)</f>
        <v>4292.3</v>
      </c>
      <c r="C2204" s="3">
        <f>IFERROR(__xludf.DUMMYFUNCTION("""COMPUTED_VALUE"""),4362.3)</f>
        <v>4362.3</v>
      </c>
      <c r="D2204" s="3">
        <f>IFERROR(__xludf.DUMMYFUNCTION("""COMPUTED_VALUE"""),4249.7)</f>
        <v>4249.7</v>
      </c>
      <c r="E2204" s="3">
        <f>IFERROR(__xludf.DUMMYFUNCTION("""COMPUTED_VALUE"""),4340.9)</f>
        <v>4340.9</v>
      </c>
      <c r="F2204" s="3">
        <f>IFERROR(__xludf.DUMMYFUNCTION("""COMPUTED_VALUE"""),0.0)</f>
        <v>0</v>
      </c>
    </row>
    <row r="2205">
      <c r="A2205" s="7">
        <f>IFERROR(__xludf.DUMMYFUNCTION("""COMPUTED_VALUE"""),39996.645833333336)</f>
        <v>39996.64583</v>
      </c>
      <c r="B2205" s="3">
        <f>IFERROR(__xludf.DUMMYFUNCTION("""COMPUTED_VALUE"""),4373.5)</f>
        <v>4373.5</v>
      </c>
      <c r="C2205" s="3">
        <f>IFERROR(__xludf.DUMMYFUNCTION("""COMPUTED_VALUE"""),4383.65)</f>
        <v>4383.65</v>
      </c>
      <c r="D2205" s="3">
        <f>IFERROR(__xludf.DUMMYFUNCTION("""COMPUTED_VALUE"""),4288.75)</f>
        <v>4288.75</v>
      </c>
      <c r="E2205" s="3">
        <f>IFERROR(__xludf.DUMMYFUNCTION("""COMPUTED_VALUE"""),4348.85)</f>
        <v>4348.85</v>
      </c>
      <c r="F2205" s="3">
        <f>IFERROR(__xludf.DUMMYFUNCTION("""COMPUTED_VALUE"""),0.0)</f>
        <v>0</v>
      </c>
    </row>
    <row r="2206">
      <c r="A2206" s="7">
        <f>IFERROR(__xludf.DUMMYFUNCTION("""COMPUTED_VALUE"""),39997.645833333336)</f>
        <v>39997.64583</v>
      </c>
      <c r="B2206" s="3">
        <f>IFERROR(__xludf.DUMMYFUNCTION("""COMPUTED_VALUE"""),4347.3)</f>
        <v>4347.3</v>
      </c>
      <c r="C2206" s="3">
        <f>IFERROR(__xludf.DUMMYFUNCTION("""COMPUTED_VALUE"""),4434.45)</f>
        <v>4434.45</v>
      </c>
      <c r="D2206" s="3">
        <f>IFERROR(__xludf.DUMMYFUNCTION("""COMPUTED_VALUE"""),4298.95)</f>
        <v>4298.95</v>
      </c>
      <c r="E2206" s="3">
        <f>IFERROR(__xludf.DUMMYFUNCTION("""COMPUTED_VALUE"""),4424.25)</f>
        <v>4424.25</v>
      </c>
      <c r="F2206" s="3">
        <f>IFERROR(__xludf.DUMMYFUNCTION("""COMPUTED_VALUE"""),0.0)</f>
        <v>0</v>
      </c>
    </row>
    <row r="2207">
      <c r="A2207" s="7">
        <f>IFERROR(__xludf.DUMMYFUNCTION("""COMPUTED_VALUE"""),40000.645833333336)</f>
        <v>40000.64583</v>
      </c>
      <c r="B2207" s="3">
        <f>IFERROR(__xludf.DUMMYFUNCTION("""COMPUTED_VALUE"""),4429.6)</f>
        <v>4429.6</v>
      </c>
      <c r="C2207" s="3">
        <f>IFERROR(__xludf.DUMMYFUNCTION("""COMPUTED_VALUE"""),4479.8)</f>
        <v>4479.8</v>
      </c>
      <c r="D2207" s="3">
        <f>IFERROR(__xludf.DUMMYFUNCTION("""COMPUTED_VALUE"""),4133.7)</f>
        <v>4133.7</v>
      </c>
      <c r="E2207" s="3">
        <f>IFERROR(__xludf.DUMMYFUNCTION("""COMPUTED_VALUE"""),4165.7)</f>
        <v>4165.7</v>
      </c>
      <c r="F2207" s="3">
        <f>IFERROR(__xludf.DUMMYFUNCTION("""COMPUTED_VALUE"""),0.0)</f>
        <v>0</v>
      </c>
    </row>
    <row r="2208">
      <c r="A2208" s="7">
        <f>IFERROR(__xludf.DUMMYFUNCTION("""COMPUTED_VALUE"""),40001.645833333336)</f>
        <v>40001.64583</v>
      </c>
      <c r="B2208" s="3">
        <f>IFERROR(__xludf.DUMMYFUNCTION("""COMPUTED_VALUE"""),4166.0)</f>
        <v>4166</v>
      </c>
      <c r="C2208" s="3">
        <f>IFERROR(__xludf.DUMMYFUNCTION("""COMPUTED_VALUE"""),4231.8)</f>
        <v>4231.8</v>
      </c>
      <c r="D2208" s="3">
        <f>IFERROR(__xludf.DUMMYFUNCTION("""COMPUTED_VALUE"""),4155.5)</f>
        <v>4155.5</v>
      </c>
      <c r="E2208" s="3">
        <f>IFERROR(__xludf.DUMMYFUNCTION("""COMPUTED_VALUE"""),4202.15)</f>
        <v>4202.15</v>
      </c>
      <c r="F2208" s="3">
        <f>IFERROR(__xludf.DUMMYFUNCTION("""COMPUTED_VALUE"""),0.0)</f>
        <v>0</v>
      </c>
    </row>
    <row r="2209">
      <c r="A2209" s="7">
        <f>IFERROR(__xludf.DUMMYFUNCTION("""COMPUTED_VALUE"""),40002.645833333336)</f>
        <v>40002.64583</v>
      </c>
      <c r="B2209" s="3">
        <f>IFERROR(__xludf.DUMMYFUNCTION("""COMPUTED_VALUE"""),4201.85)</f>
        <v>4201.85</v>
      </c>
      <c r="C2209" s="3">
        <f>IFERROR(__xludf.DUMMYFUNCTION("""COMPUTED_VALUE"""),4201.85)</f>
        <v>4201.85</v>
      </c>
      <c r="D2209" s="3">
        <f>IFERROR(__xludf.DUMMYFUNCTION("""COMPUTED_VALUE"""),4061.1)</f>
        <v>4061.1</v>
      </c>
      <c r="E2209" s="3">
        <f>IFERROR(__xludf.DUMMYFUNCTION("""COMPUTED_VALUE"""),4078.9)</f>
        <v>4078.9</v>
      </c>
      <c r="F2209" s="3">
        <f>IFERROR(__xludf.DUMMYFUNCTION("""COMPUTED_VALUE"""),0.0)</f>
        <v>0</v>
      </c>
    </row>
    <row r="2210">
      <c r="A2210" s="7">
        <f>IFERROR(__xludf.DUMMYFUNCTION("""COMPUTED_VALUE"""),40003.645833333336)</f>
        <v>40003.64583</v>
      </c>
      <c r="B2210" s="3">
        <f>IFERROR(__xludf.DUMMYFUNCTION("""COMPUTED_VALUE"""),4078.75)</f>
        <v>4078.75</v>
      </c>
      <c r="C2210" s="3">
        <f>IFERROR(__xludf.DUMMYFUNCTION("""COMPUTED_VALUE"""),4114.9)</f>
        <v>4114.9</v>
      </c>
      <c r="D2210" s="3">
        <f>IFERROR(__xludf.DUMMYFUNCTION("""COMPUTED_VALUE"""),4039.85)</f>
        <v>4039.85</v>
      </c>
      <c r="E2210" s="3">
        <f>IFERROR(__xludf.DUMMYFUNCTION("""COMPUTED_VALUE"""),4080.95)</f>
        <v>4080.95</v>
      </c>
      <c r="F2210" s="3">
        <f>IFERROR(__xludf.DUMMYFUNCTION("""COMPUTED_VALUE"""),0.0)</f>
        <v>0</v>
      </c>
    </row>
    <row r="2211">
      <c r="A2211" s="7">
        <f>IFERROR(__xludf.DUMMYFUNCTION("""COMPUTED_VALUE"""),40004.645833333336)</f>
        <v>40004.64583</v>
      </c>
      <c r="B2211" s="3">
        <f>IFERROR(__xludf.DUMMYFUNCTION("""COMPUTED_VALUE"""),4081.4)</f>
        <v>4081.4</v>
      </c>
      <c r="C2211" s="3">
        <f>IFERROR(__xludf.DUMMYFUNCTION("""COMPUTED_VALUE"""),4129.95)</f>
        <v>4129.95</v>
      </c>
      <c r="D2211" s="3">
        <f>IFERROR(__xludf.DUMMYFUNCTION("""COMPUTED_VALUE"""),3976.8)</f>
        <v>3976.8</v>
      </c>
      <c r="E2211" s="3">
        <f>IFERROR(__xludf.DUMMYFUNCTION("""COMPUTED_VALUE"""),4003.9)</f>
        <v>4003.9</v>
      </c>
      <c r="F2211" s="3">
        <f>IFERROR(__xludf.DUMMYFUNCTION("""COMPUTED_VALUE"""),0.0)</f>
        <v>0</v>
      </c>
    </row>
    <row r="2212">
      <c r="A2212" s="7">
        <f>IFERROR(__xludf.DUMMYFUNCTION("""COMPUTED_VALUE"""),40007.645833333336)</f>
        <v>40007.64583</v>
      </c>
      <c r="B2212" s="3">
        <f>IFERROR(__xludf.DUMMYFUNCTION("""COMPUTED_VALUE"""),4003.4)</f>
        <v>4003.4</v>
      </c>
      <c r="C2212" s="3">
        <f>IFERROR(__xludf.DUMMYFUNCTION("""COMPUTED_VALUE"""),4003.4)</f>
        <v>4003.4</v>
      </c>
      <c r="D2212" s="3">
        <f>IFERROR(__xludf.DUMMYFUNCTION("""COMPUTED_VALUE"""),3918.75)</f>
        <v>3918.75</v>
      </c>
      <c r="E2212" s="3">
        <f>IFERROR(__xludf.DUMMYFUNCTION("""COMPUTED_VALUE"""),3974.05)</f>
        <v>3974.05</v>
      </c>
      <c r="F2212" s="3">
        <f>IFERROR(__xludf.DUMMYFUNCTION("""COMPUTED_VALUE"""),0.0)</f>
        <v>0</v>
      </c>
    </row>
    <row r="2213">
      <c r="A2213" s="7">
        <f>IFERROR(__xludf.DUMMYFUNCTION("""COMPUTED_VALUE"""),40008.645833333336)</f>
        <v>40008.64583</v>
      </c>
      <c r="B2213" s="3">
        <f>IFERROR(__xludf.DUMMYFUNCTION("""COMPUTED_VALUE"""),3974.1)</f>
        <v>3974.1</v>
      </c>
      <c r="C2213" s="3">
        <f>IFERROR(__xludf.DUMMYFUNCTION("""COMPUTED_VALUE"""),4128.9)</f>
        <v>4128.9</v>
      </c>
      <c r="D2213" s="3">
        <f>IFERROR(__xludf.DUMMYFUNCTION("""COMPUTED_VALUE"""),3974.1)</f>
        <v>3974.1</v>
      </c>
      <c r="E2213" s="3">
        <f>IFERROR(__xludf.DUMMYFUNCTION("""COMPUTED_VALUE"""),4111.4)</f>
        <v>4111.4</v>
      </c>
      <c r="F2213" s="3">
        <f>IFERROR(__xludf.DUMMYFUNCTION("""COMPUTED_VALUE"""),0.0)</f>
        <v>0</v>
      </c>
    </row>
    <row r="2214">
      <c r="A2214" s="7">
        <f>IFERROR(__xludf.DUMMYFUNCTION("""COMPUTED_VALUE"""),40009.645833333336)</f>
        <v>40009.64583</v>
      </c>
      <c r="B2214" s="3">
        <f>IFERROR(__xludf.DUMMYFUNCTION("""COMPUTED_VALUE"""),4120.8)</f>
        <v>4120.8</v>
      </c>
      <c r="C2214" s="3">
        <f>IFERROR(__xludf.DUMMYFUNCTION("""COMPUTED_VALUE"""),4249.55)</f>
        <v>4249.55</v>
      </c>
      <c r="D2214" s="3">
        <f>IFERROR(__xludf.DUMMYFUNCTION("""COMPUTED_VALUE"""),4118.75)</f>
        <v>4118.75</v>
      </c>
      <c r="E2214" s="3">
        <f>IFERROR(__xludf.DUMMYFUNCTION("""COMPUTED_VALUE"""),4233.5)</f>
        <v>4233.5</v>
      </c>
      <c r="F2214" s="3">
        <f>IFERROR(__xludf.DUMMYFUNCTION("""COMPUTED_VALUE"""),0.0)</f>
        <v>0</v>
      </c>
    </row>
    <row r="2215">
      <c r="A2215" s="7">
        <f>IFERROR(__xludf.DUMMYFUNCTION("""COMPUTED_VALUE"""),40010.645833333336)</f>
        <v>40010.64583</v>
      </c>
      <c r="B2215" s="3">
        <f>IFERROR(__xludf.DUMMYFUNCTION("""COMPUTED_VALUE"""),4223.5)</f>
        <v>4223.5</v>
      </c>
      <c r="C2215" s="3">
        <f>IFERROR(__xludf.DUMMYFUNCTION("""COMPUTED_VALUE"""),4305.0)</f>
        <v>4305</v>
      </c>
      <c r="D2215" s="3">
        <f>IFERROR(__xludf.DUMMYFUNCTION("""COMPUTED_VALUE"""),4205.5)</f>
        <v>4205.5</v>
      </c>
      <c r="E2215" s="3">
        <f>IFERROR(__xludf.DUMMYFUNCTION("""COMPUTED_VALUE"""),4231.4)</f>
        <v>4231.4</v>
      </c>
      <c r="F2215" s="3">
        <f>IFERROR(__xludf.DUMMYFUNCTION("""COMPUTED_VALUE"""),0.0)</f>
        <v>0</v>
      </c>
    </row>
    <row r="2216">
      <c r="A2216" s="7">
        <f>IFERROR(__xludf.DUMMYFUNCTION("""COMPUTED_VALUE"""),40011.645833333336)</f>
        <v>40011.64583</v>
      </c>
      <c r="B2216" s="3">
        <f>IFERROR(__xludf.DUMMYFUNCTION("""COMPUTED_VALUE"""),4231.45)</f>
        <v>4231.45</v>
      </c>
      <c r="C2216" s="3">
        <f>IFERROR(__xludf.DUMMYFUNCTION("""COMPUTED_VALUE"""),4390.4)</f>
        <v>4390.4</v>
      </c>
      <c r="D2216" s="3">
        <f>IFERROR(__xludf.DUMMYFUNCTION("""COMPUTED_VALUE"""),4230.15)</f>
        <v>4230.15</v>
      </c>
      <c r="E2216" s="3">
        <f>IFERROR(__xludf.DUMMYFUNCTION("""COMPUTED_VALUE"""),4374.95)</f>
        <v>4374.95</v>
      </c>
      <c r="F2216" s="3">
        <f>IFERROR(__xludf.DUMMYFUNCTION("""COMPUTED_VALUE"""),0.0)</f>
        <v>0</v>
      </c>
    </row>
    <row r="2217">
      <c r="A2217" s="7">
        <f>IFERROR(__xludf.DUMMYFUNCTION("""COMPUTED_VALUE"""),40014.645833333336)</f>
        <v>40014.64583</v>
      </c>
      <c r="B2217" s="3">
        <f>IFERROR(__xludf.DUMMYFUNCTION("""COMPUTED_VALUE"""),4377.9)</f>
        <v>4377.9</v>
      </c>
      <c r="C2217" s="3">
        <f>IFERROR(__xludf.DUMMYFUNCTION("""COMPUTED_VALUE"""),4510.3)</f>
        <v>4510.3</v>
      </c>
      <c r="D2217" s="3">
        <f>IFERROR(__xludf.DUMMYFUNCTION("""COMPUTED_VALUE"""),4377.9)</f>
        <v>4377.9</v>
      </c>
      <c r="E2217" s="3">
        <f>IFERROR(__xludf.DUMMYFUNCTION("""COMPUTED_VALUE"""),4502.25)</f>
        <v>4502.25</v>
      </c>
      <c r="F2217" s="3">
        <f>IFERROR(__xludf.DUMMYFUNCTION("""COMPUTED_VALUE"""),0.0)</f>
        <v>0</v>
      </c>
    </row>
    <row r="2218">
      <c r="A2218" s="7">
        <f>IFERROR(__xludf.DUMMYFUNCTION("""COMPUTED_VALUE"""),40015.645833333336)</f>
        <v>40015.64583</v>
      </c>
      <c r="B2218" s="3">
        <f>IFERROR(__xludf.DUMMYFUNCTION("""COMPUTED_VALUE"""),4501.5)</f>
        <v>4501.5</v>
      </c>
      <c r="C2218" s="3">
        <f>IFERROR(__xludf.DUMMYFUNCTION("""COMPUTED_VALUE"""),4524.0)</f>
        <v>4524</v>
      </c>
      <c r="D2218" s="3">
        <f>IFERROR(__xludf.DUMMYFUNCTION("""COMPUTED_VALUE"""),4436.6)</f>
        <v>4436.6</v>
      </c>
      <c r="E2218" s="3">
        <f>IFERROR(__xludf.DUMMYFUNCTION("""COMPUTED_VALUE"""),4469.1)</f>
        <v>4469.1</v>
      </c>
      <c r="F2218" s="3">
        <f>IFERROR(__xludf.DUMMYFUNCTION("""COMPUTED_VALUE"""),0.0)</f>
        <v>0</v>
      </c>
    </row>
    <row r="2219">
      <c r="A2219" s="7">
        <f>IFERROR(__xludf.DUMMYFUNCTION("""COMPUTED_VALUE"""),40016.645833333336)</f>
        <v>40016.64583</v>
      </c>
      <c r="B2219" s="3">
        <f>IFERROR(__xludf.DUMMYFUNCTION("""COMPUTED_VALUE"""),4469.3)</f>
        <v>4469.3</v>
      </c>
      <c r="C2219" s="3">
        <f>IFERROR(__xludf.DUMMYFUNCTION("""COMPUTED_VALUE"""),4557.95)</f>
        <v>4557.95</v>
      </c>
      <c r="D2219" s="3">
        <f>IFERROR(__xludf.DUMMYFUNCTION("""COMPUTED_VALUE"""),4380.45)</f>
        <v>4380.45</v>
      </c>
      <c r="E2219" s="3">
        <f>IFERROR(__xludf.DUMMYFUNCTION("""COMPUTED_VALUE"""),4398.9)</f>
        <v>4398.9</v>
      </c>
      <c r="F2219" s="3">
        <f>IFERROR(__xludf.DUMMYFUNCTION("""COMPUTED_VALUE"""),0.0)</f>
        <v>0</v>
      </c>
    </row>
    <row r="2220">
      <c r="A2220" s="7">
        <f>IFERROR(__xludf.DUMMYFUNCTION("""COMPUTED_VALUE"""),40017.645833333336)</f>
        <v>40017.64583</v>
      </c>
      <c r="B2220" s="3">
        <f>IFERROR(__xludf.DUMMYFUNCTION("""COMPUTED_VALUE"""),4409.7)</f>
        <v>4409.7</v>
      </c>
      <c r="C2220" s="3">
        <f>IFERROR(__xludf.DUMMYFUNCTION("""COMPUTED_VALUE"""),4532.4)</f>
        <v>4532.4</v>
      </c>
      <c r="D2220" s="3">
        <f>IFERROR(__xludf.DUMMYFUNCTION("""COMPUTED_VALUE"""),4405.95)</f>
        <v>4405.95</v>
      </c>
      <c r="E2220" s="3">
        <f>IFERROR(__xludf.DUMMYFUNCTION("""COMPUTED_VALUE"""),4523.75)</f>
        <v>4523.75</v>
      </c>
      <c r="F2220" s="3">
        <f>IFERROR(__xludf.DUMMYFUNCTION("""COMPUTED_VALUE"""),0.0)</f>
        <v>0</v>
      </c>
    </row>
    <row r="2221">
      <c r="A2221" s="7">
        <f>IFERROR(__xludf.DUMMYFUNCTION("""COMPUTED_VALUE"""),40018.645833333336)</f>
        <v>40018.64583</v>
      </c>
      <c r="B2221" s="3">
        <f>IFERROR(__xludf.DUMMYFUNCTION("""COMPUTED_VALUE"""),4524.8)</f>
        <v>4524.8</v>
      </c>
      <c r="C2221" s="3">
        <f>IFERROR(__xludf.DUMMYFUNCTION("""COMPUTED_VALUE"""),4578.75)</f>
        <v>4578.75</v>
      </c>
      <c r="D2221" s="3">
        <f>IFERROR(__xludf.DUMMYFUNCTION("""COMPUTED_VALUE"""),4504.85)</f>
        <v>4504.85</v>
      </c>
      <c r="E2221" s="3">
        <f>IFERROR(__xludf.DUMMYFUNCTION("""COMPUTED_VALUE"""),4568.55)</f>
        <v>4568.55</v>
      </c>
      <c r="F2221" s="3">
        <f>IFERROR(__xludf.DUMMYFUNCTION("""COMPUTED_VALUE"""),0.0)</f>
        <v>0</v>
      </c>
    </row>
    <row r="2222">
      <c r="A2222" s="7">
        <f>IFERROR(__xludf.DUMMYFUNCTION("""COMPUTED_VALUE"""),40021.645833333336)</f>
        <v>40021.64583</v>
      </c>
      <c r="B2222" s="3">
        <f>IFERROR(__xludf.DUMMYFUNCTION("""COMPUTED_VALUE"""),4568.65)</f>
        <v>4568.65</v>
      </c>
      <c r="C2222" s="3">
        <f>IFERROR(__xludf.DUMMYFUNCTION("""COMPUTED_VALUE"""),4596.75)</f>
        <v>4596.75</v>
      </c>
      <c r="D2222" s="3">
        <f>IFERROR(__xludf.DUMMYFUNCTION("""COMPUTED_VALUE"""),4528.5)</f>
        <v>4528.5</v>
      </c>
      <c r="E2222" s="3">
        <f>IFERROR(__xludf.DUMMYFUNCTION("""COMPUTED_VALUE"""),4572.3)</f>
        <v>4572.3</v>
      </c>
      <c r="F2222" s="3">
        <f>IFERROR(__xludf.DUMMYFUNCTION("""COMPUTED_VALUE"""),0.0)</f>
        <v>0</v>
      </c>
    </row>
    <row r="2223">
      <c r="A2223" s="7">
        <f>IFERROR(__xludf.DUMMYFUNCTION("""COMPUTED_VALUE"""),40022.645833333336)</f>
        <v>40022.64583</v>
      </c>
      <c r="B2223" s="3">
        <f>IFERROR(__xludf.DUMMYFUNCTION("""COMPUTED_VALUE"""),4572.8)</f>
        <v>4572.8</v>
      </c>
      <c r="C2223" s="3">
        <f>IFERROR(__xludf.DUMMYFUNCTION("""COMPUTED_VALUE"""),4599.9)</f>
        <v>4599.9</v>
      </c>
      <c r="D2223" s="3">
        <f>IFERROR(__xludf.DUMMYFUNCTION("""COMPUTED_VALUE"""),4529.15)</f>
        <v>4529.15</v>
      </c>
      <c r="E2223" s="3">
        <f>IFERROR(__xludf.DUMMYFUNCTION("""COMPUTED_VALUE"""),4564.1)</f>
        <v>4564.1</v>
      </c>
      <c r="F2223" s="3">
        <f>IFERROR(__xludf.DUMMYFUNCTION("""COMPUTED_VALUE"""),0.0)</f>
        <v>0</v>
      </c>
    </row>
    <row r="2224">
      <c r="A2224" s="7">
        <f>IFERROR(__xludf.DUMMYFUNCTION("""COMPUTED_VALUE"""),40023.645833333336)</f>
        <v>40023.64583</v>
      </c>
      <c r="B2224" s="3">
        <f>IFERROR(__xludf.DUMMYFUNCTION("""COMPUTED_VALUE"""),4565.8)</f>
        <v>4565.8</v>
      </c>
      <c r="C2224" s="3">
        <f>IFERROR(__xludf.DUMMYFUNCTION("""COMPUTED_VALUE"""),4573.85)</f>
        <v>4573.85</v>
      </c>
      <c r="D2224" s="3">
        <f>IFERROR(__xludf.DUMMYFUNCTION("""COMPUTED_VALUE"""),4420.8)</f>
        <v>4420.8</v>
      </c>
      <c r="E2224" s="3">
        <f>IFERROR(__xludf.DUMMYFUNCTION("""COMPUTED_VALUE"""),4513.5)</f>
        <v>4513.5</v>
      </c>
      <c r="F2224" s="3">
        <f>IFERROR(__xludf.DUMMYFUNCTION("""COMPUTED_VALUE"""),0.0)</f>
        <v>0</v>
      </c>
    </row>
    <row r="2225">
      <c r="A2225" s="7">
        <f>IFERROR(__xludf.DUMMYFUNCTION("""COMPUTED_VALUE"""),40024.645833333336)</f>
        <v>40024.64583</v>
      </c>
      <c r="B2225" s="3">
        <f>IFERROR(__xludf.DUMMYFUNCTION("""COMPUTED_VALUE"""),4513.1)</f>
        <v>4513.1</v>
      </c>
      <c r="C2225" s="3">
        <f>IFERROR(__xludf.DUMMYFUNCTION("""COMPUTED_VALUE"""),4582.35)</f>
        <v>4582.35</v>
      </c>
      <c r="D2225" s="3">
        <f>IFERROR(__xludf.DUMMYFUNCTION("""COMPUTED_VALUE"""),4474.5)</f>
        <v>4474.5</v>
      </c>
      <c r="E2225" s="3">
        <f>IFERROR(__xludf.DUMMYFUNCTION("""COMPUTED_VALUE"""),4571.45)</f>
        <v>4571.45</v>
      </c>
      <c r="F2225" s="3">
        <f>IFERROR(__xludf.DUMMYFUNCTION("""COMPUTED_VALUE"""),0.0)</f>
        <v>0</v>
      </c>
    </row>
    <row r="2226">
      <c r="A2226" s="7">
        <f>IFERROR(__xludf.DUMMYFUNCTION("""COMPUTED_VALUE"""),40025.645833333336)</f>
        <v>40025.64583</v>
      </c>
      <c r="B2226" s="3">
        <f>IFERROR(__xludf.DUMMYFUNCTION("""COMPUTED_VALUE"""),4571.6)</f>
        <v>4571.6</v>
      </c>
      <c r="C2226" s="3">
        <f>IFERROR(__xludf.DUMMYFUNCTION("""COMPUTED_VALUE"""),4669.75)</f>
        <v>4669.75</v>
      </c>
      <c r="D2226" s="3">
        <f>IFERROR(__xludf.DUMMYFUNCTION("""COMPUTED_VALUE"""),4571.6)</f>
        <v>4571.6</v>
      </c>
      <c r="E2226" s="3">
        <f>IFERROR(__xludf.DUMMYFUNCTION("""COMPUTED_VALUE"""),4636.45)</f>
        <v>4636.45</v>
      </c>
      <c r="F2226" s="3">
        <f>IFERROR(__xludf.DUMMYFUNCTION("""COMPUTED_VALUE"""),0.0)</f>
        <v>0</v>
      </c>
    </row>
    <row r="2227">
      <c r="A2227" s="7">
        <f>IFERROR(__xludf.DUMMYFUNCTION("""COMPUTED_VALUE"""),40028.645833333336)</f>
        <v>40028.64583</v>
      </c>
      <c r="B2227" s="3">
        <f>IFERROR(__xludf.DUMMYFUNCTION("""COMPUTED_VALUE"""),4633.8)</f>
        <v>4633.8</v>
      </c>
      <c r="C2227" s="3">
        <f>IFERROR(__xludf.DUMMYFUNCTION("""COMPUTED_VALUE"""),4723.75)</f>
        <v>4723.75</v>
      </c>
      <c r="D2227" s="3">
        <f>IFERROR(__xludf.DUMMYFUNCTION("""COMPUTED_VALUE"""),4617.75)</f>
        <v>4617.75</v>
      </c>
      <c r="E2227" s="3">
        <f>IFERROR(__xludf.DUMMYFUNCTION("""COMPUTED_VALUE"""),4711.4)</f>
        <v>4711.4</v>
      </c>
      <c r="F2227" s="3">
        <f>IFERROR(__xludf.DUMMYFUNCTION("""COMPUTED_VALUE"""),0.0)</f>
        <v>0</v>
      </c>
    </row>
    <row r="2228">
      <c r="A2228" s="7">
        <f>IFERROR(__xludf.DUMMYFUNCTION("""COMPUTED_VALUE"""),40029.645833333336)</f>
        <v>40029.64583</v>
      </c>
      <c r="B2228" s="3">
        <f>IFERROR(__xludf.DUMMYFUNCTION("""COMPUTED_VALUE"""),4706.25)</f>
        <v>4706.25</v>
      </c>
      <c r="C2228" s="3">
        <f>IFERROR(__xludf.DUMMYFUNCTION("""COMPUTED_VALUE"""),4731.45)</f>
        <v>4731.45</v>
      </c>
      <c r="D2228" s="3">
        <f>IFERROR(__xludf.DUMMYFUNCTION("""COMPUTED_VALUE"""),4642.6)</f>
        <v>4642.6</v>
      </c>
      <c r="E2228" s="3">
        <f>IFERROR(__xludf.DUMMYFUNCTION("""COMPUTED_VALUE"""),4680.5)</f>
        <v>4680.5</v>
      </c>
      <c r="F2228" s="3">
        <f>IFERROR(__xludf.DUMMYFUNCTION("""COMPUTED_VALUE"""),0.0)</f>
        <v>0</v>
      </c>
    </row>
    <row r="2229">
      <c r="A2229" s="7">
        <f>IFERROR(__xludf.DUMMYFUNCTION("""COMPUTED_VALUE"""),40030.645833333336)</f>
        <v>40030.64583</v>
      </c>
      <c r="B2229" s="3">
        <f>IFERROR(__xludf.DUMMYFUNCTION("""COMPUTED_VALUE"""),4680.95)</f>
        <v>4680.95</v>
      </c>
      <c r="C2229" s="3">
        <f>IFERROR(__xludf.DUMMYFUNCTION("""COMPUTED_VALUE"""),4717.2)</f>
        <v>4717.2</v>
      </c>
      <c r="D2229" s="3">
        <f>IFERROR(__xludf.DUMMYFUNCTION("""COMPUTED_VALUE"""),4629.85)</f>
        <v>4629.85</v>
      </c>
      <c r="E2229" s="3">
        <f>IFERROR(__xludf.DUMMYFUNCTION("""COMPUTED_VALUE"""),4694.15)</f>
        <v>4694.15</v>
      </c>
      <c r="F2229" s="3">
        <f>IFERROR(__xludf.DUMMYFUNCTION("""COMPUTED_VALUE"""),0.0)</f>
        <v>0</v>
      </c>
    </row>
    <row r="2230">
      <c r="A2230" s="7">
        <f>IFERROR(__xludf.DUMMYFUNCTION("""COMPUTED_VALUE"""),40031.645833333336)</f>
        <v>40031.64583</v>
      </c>
      <c r="B2230" s="3">
        <f>IFERROR(__xludf.DUMMYFUNCTION("""COMPUTED_VALUE"""),4694.35)</f>
        <v>4694.35</v>
      </c>
      <c r="C2230" s="3">
        <f>IFERROR(__xludf.DUMMYFUNCTION("""COMPUTED_VALUE"""),4718.15)</f>
        <v>4718.15</v>
      </c>
      <c r="D2230" s="3">
        <f>IFERROR(__xludf.DUMMYFUNCTION("""COMPUTED_VALUE"""),4559.2)</f>
        <v>4559.2</v>
      </c>
      <c r="E2230" s="3">
        <f>IFERROR(__xludf.DUMMYFUNCTION("""COMPUTED_VALUE"""),4585.5)</f>
        <v>4585.5</v>
      </c>
      <c r="F2230" s="3">
        <f>IFERROR(__xludf.DUMMYFUNCTION("""COMPUTED_VALUE"""),0.0)</f>
        <v>0</v>
      </c>
    </row>
    <row r="2231">
      <c r="A2231" s="7">
        <f>IFERROR(__xludf.DUMMYFUNCTION("""COMPUTED_VALUE"""),40032.645833333336)</f>
        <v>40032.64583</v>
      </c>
      <c r="B2231" s="3">
        <f>IFERROR(__xludf.DUMMYFUNCTION("""COMPUTED_VALUE"""),4591.9)</f>
        <v>4591.9</v>
      </c>
      <c r="C2231" s="3">
        <f>IFERROR(__xludf.DUMMYFUNCTION("""COMPUTED_VALUE"""),4591.9)</f>
        <v>4591.9</v>
      </c>
      <c r="D2231" s="3">
        <f>IFERROR(__xludf.DUMMYFUNCTION("""COMPUTED_VALUE"""),4463.95)</f>
        <v>4463.95</v>
      </c>
      <c r="E2231" s="3">
        <f>IFERROR(__xludf.DUMMYFUNCTION("""COMPUTED_VALUE"""),4481.4)</f>
        <v>4481.4</v>
      </c>
      <c r="F2231" s="3">
        <f>IFERROR(__xludf.DUMMYFUNCTION("""COMPUTED_VALUE"""),0.0)</f>
        <v>0</v>
      </c>
    </row>
    <row r="2232">
      <c r="A2232" s="7">
        <f>IFERROR(__xludf.DUMMYFUNCTION("""COMPUTED_VALUE"""),40035.645833333336)</f>
        <v>40035.64583</v>
      </c>
      <c r="B2232" s="3">
        <f>IFERROR(__xludf.DUMMYFUNCTION("""COMPUTED_VALUE"""),4486.5)</f>
        <v>4486.5</v>
      </c>
      <c r="C2232" s="3">
        <f>IFERROR(__xludf.DUMMYFUNCTION("""COMPUTED_VALUE"""),4562.5)</f>
        <v>4562.5</v>
      </c>
      <c r="D2232" s="3">
        <f>IFERROR(__xludf.DUMMYFUNCTION("""COMPUTED_VALUE"""),4399.85)</f>
        <v>4399.85</v>
      </c>
      <c r="E2232" s="3">
        <f>IFERROR(__xludf.DUMMYFUNCTION("""COMPUTED_VALUE"""),4437.65)</f>
        <v>4437.65</v>
      </c>
      <c r="F2232" s="3">
        <f>IFERROR(__xludf.DUMMYFUNCTION("""COMPUTED_VALUE"""),0.0)</f>
        <v>0</v>
      </c>
    </row>
    <row r="2233">
      <c r="A2233" s="7">
        <f>IFERROR(__xludf.DUMMYFUNCTION("""COMPUTED_VALUE"""),40036.645833333336)</f>
        <v>40036.64583</v>
      </c>
      <c r="B2233" s="3">
        <f>IFERROR(__xludf.DUMMYFUNCTION("""COMPUTED_VALUE"""),4435.0)</f>
        <v>4435</v>
      </c>
      <c r="C2233" s="3">
        <f>IFERROR(__xludf.DUMMYFUNCTION("""COMPUTED_VALUE"""),4510.8)</f>
        <v>4510.8</v>
      </c>
      <c r="D2233" s="3">
        <f>IFERROR(__xludf.DUMMYFUNCTION("""COMPUTED_VALUE"""),4398.9)</f>
        <v>4398.9</v>
      </c>
      <c r="E2233" s="3">
        <f>IFERROR(__xludf.DUMMYFUNCTION("""COMPUTED_VALUE"""),4471.35)</f>
        <v>4471.35</v>
      </c>
      <c r="F2233" s="3">
        <f>IFERROR(__xludf.DUMMYFUNCTION("""COMPUTED_VALUE"""),0.0)</f>
        <v>0</v>
      </c>
    </row>
    <row r="2234">
      <c r="A2234" s="7">
        <f>IFERROR(__xludf.DUMMYFUNCTION("""COMPUTED_VALUE"""),40037.645833333336)</f>
        <v>40037.64583</v>
      </c>
      <c r="B2234" s="3">
        <f>IFERROR(__xludf.DUMMYFUNCTION("""COMPUTED_VALUE"""),4473.8)</f>
        <v>4473.8</v>
      </c>
      <c r="C2234" s="3">
        <f>IFERROR(__xludf.DUMMYFUNCTION("""COMPUTED_VALUE"""),4473.8)</f>
        <v>4473.8</v>
      </c>
      <c r="D2234" s="3">
        <f>IFERROR(__xludf.DUMMYFUNCTION("""COMPUTED_VALUE"""),4359.4)</f>
        <v>4359.4</v>
      </c>
      <c r="E2234" s="3">
        <f>IFERROR(__xludf.DUMMYFUNCTION("""COMPUTED_VALUE"""),4457.5)</f>
        <v>4457.5</v>
      </c>
      <c r="F2234" s="3">
        <f>IFERROR(__xludf.DUMMYFUNCTION("""COMPUTED_VALUE"""),0.0)</f>
        <v>0</v>
      </c>
    </row>
    <row r="2235">
      <c r="A2235" s="7">
        <f>IFERROR(__xludf.DUMMYFUNCTION("""COMPUTED_VALUE"""),40038.645833333336)</f>
        <v>40038.64583</v>
      </c>
      <c r="B2235" s="3">
        <f>IFERROR(__xludf.DUMMYFUNCTION("""COMPUTED_VALUE"""),4458.55)</f>
        <v>4458.55</v>
      </c>
      <c r="C2235" s="3">
        <f>IFERROR(__xludf.DUMMYFUNCTION("""COMPUTED_VALUE"""),4614.15)</f>
        <v>4614.15</v>
      </c>
      <c r="D2235" s="3">
        <f>IFERROR(__xludf.DUMMYFUNCTION("""COMPUTED_VALUE"""),4458.55)</f>
        <v>4458.55</v>
      </c>
      <c r="E2235" s="3">
        <f>IFERROR(__xludf.DUMMYFUNCTION("""COMPUTED_VALUE"""),4605.0)</f>
        <v>4605</v>
      </c>
      <c r="F2235" s="3">
        <f>IFERROR(__xludf.DUMMYFUNCTION("""COMPUTED_VALUE"""),0.0)</f>
        <v>0</v>
      </c>
    </row>
    <row r="2236">
      <c r="A2236" s="7">
        <f>IFERROR(__xludf.DUMMYFUNCTION("""COMPUTED_VALUE"""),40039.645833333336)</f>
        <v>40039.64583</v>
      </c>
      <c r="B2236" s="3">
        <f>IFERROR(__xludf.DUMMYFUNCTION("""COMPUTED_VALUE"""),4605.15)</f>
        <v>4605.15</v>
      </c>
      <c r="C2236" s="3">
        <f>IFERROR(__xludf.DUMMYFUNCTION("""COMPUTED_VALUE"""),4619.0)</f>
        <v>4619</v>
      </c>
      <c r="D2236" s="3">
        <f>IFERROR(__xludf.DUMMYFUNCTION("""COMPUTED_VALUE"""),4559.35)</f>
        <v>4559.35</v>
      </c>
      <c r="E2236" s="3">
        <f>IFERROR(__xludf.DUMMYFUNCTION("""COMPUTED_VALUE"""),4580.05)</f>
        <v>4580.05</v>
      </c>
      <c r="F2236" s="3">
        <f>IFERROR(__xludf.DUMMYFUNCTION("""COMPUTED_VALUE"""),0.0)</f>
        <v>0</v>
      </c>
    </row>
    <row r="2237">
      <c r="A2237" s="7">
        <f>IFERROR(__xludf.DUMMYFUNCTION("""COMPUTED_VALUE"""),40042.645833333336)</f>
        <v>40042.64583</v>
      </c>
      <c r="B2237" s="3">
        <f>IFERROR(__xludf.DUMMYFUNCTION("""COMPUTED_VALUE"""),4578.8)</f>
        <v>4578.8</v>
      </c>
      <c r="C2237" s="3">
        <f>IFERROR(__xludf.DUMMYFUNCTION("""COMPUTED_VALUE"""),4578.8)</f>
        <v>4578.8</v>
      </c>
      <c r="D2237" s="3">
        <f>IFERROR(__xludf.DUMMYFUNCTION("""COMPUTED_VALUE"""),4374.6)</f>
        <v>4374.6</v>
      </c>
      <c r="E2237" s="3">
        <f>IFERROR(__xludf.DUMMYFUNCTION("""COMPUTED_VALUE"""),4387.9)</f>
        <v>4387.9</v>
      </c>
      <c r="F2237" s="3">
        <f>IFERROR(__xludf.DUMMYFUNCTION("""COMPUTED_VALUE"""),0.0)</f>
        <v>0</v>
      </c>
    </row>
    <row r="2238">
      <c r="A2238" s="7">
        <f>IFERROR(__xludf.DUMMYFUNCTION("""COMPUTED_VALUE"""),40043.645833333336)</f>
        <v>40043.64583</v>
      </c>
      <c r="B2238" s="3">
        <f>IFERROR(__xludf.DUMMYFUNCTION("""COMPUTED_VALUE"""),4389.5)</f>
        <v>4389.5</v>
      </c>
      <c r="C2238" s="3">
        <f>IFERROR(__xludf.DUMMYFUNCTION("""COMPUTED_VALUE"""),4491.45)</f>
        <v>4491.45</v>
      </c>
      <c r="D2238" s="3">
        <f>IFERROR(__xludf.DUMMYFUNCTION("""COMPUTED_VALUE"""),4372.65)</f>
        <v>4372.65</v>
      </c>
      <c r="E2238" s="3">
        <f>IFERROR(__xludf.DUMMYFUNCTION("""COMPUTED_VALUE"""),4458.9)</f>
        <v>4458.9</v>
      </c>
      <c r="F2238" s="3">
        <f>IFERROR(__xludf.DUMMYFUNCTION("""COMPUTED_VALUE"""),0.0)</f>
        <v>0</v>
      </c>
    </row>
    <row r="2239">
      <c r="A2239" s="7">
        <f>IFERROR(__xludf.DUMMYFUNCTION("""COMPUTED_VALUE"""),40044.645833333336)</f>
        <v>40044.64583</v>
      </c>
      <c r="B2239" s="3">
        <f>IFERROR(__xludf.DUMMYFUNCTION("""COMPUTED_VALUE"""),4457.75)</f>
        <v>4457.75</v>
      </c>
      <c r="C2239" s="3">
        <f>IFERROR(__xludf.DUMMYFUNCTION("""COMPUTED_VALUE"""),4477.55)</f>
        <v>4477.55</v>
      </c>
      <c r="D2239" s="3">
        <f>IFERROR(__xludf.DUMMYFUNCTION("""COMPUTED_VALUE"""),4353.45)</f>
        <v>4353.45</v>
      </c>
      <c r="E2239" s="3">
        <f>IFERROR(__xludf.DUMMYFUNCTION("""COMPUTED_VALUE"""),4394.1)</f>
        <v>4394.1</v>
      </c>
      <c r="F2239" s="3">
        <f>IFERROR(__xludf.DUMMYFUNCTION("""COMPUTED_VALUE"""),0.0)</f>
        <v>0</v>
      </c>
    </row>
    <row r="2240">
      <c r="A2240" s="7">
        <f>IFERROR(__xludf.DUMMYFUNCTION("""COMPUTED_VALUE"""),40045.645833333336)</f>
        <v>40045.64583</v>
      </c>
      <c r="B2240" s="3">
        <f>IFERROR(__xludf.DUMMYFUNCTION("""COMPUTED_VALUE"""),4394.35)</f>
        <v>4394.35</v>
      </c>
      <c r="C2240" s="3">
        <f>IFERROR(__xludf.DUMMYFUNCTION("""COMPUTED_VALUE"""),4492.8)</f>
        <v>4492.8</v>
      </c>
      <c r="D2240" s="3">
        <f>IFERROR(__xludf.DUMMYFUNCTION("""COMPUTED_VALUE"""),4394.35)</f>
        <v>4394.35</v>
      </c>
      <c r="E2240" s="3">
        <f>IFERROR(__xludf.DUMMYFUNCTION("""COMPUTED_VALUE"""),4453.45)</f>
        <v>4453.45</v>
      </c>
      <c r="F2240" s="3">
        <f>IFERROR(__xludf.DUMMYFUNCTION("""COMPUTED_VALUE"""),0.0)</f>
        <v>0</v>
      </c>
    </row>
    <row r="2241">
      <c r="A2241" s="7">
        <f>IFERROR(__xludf.DUMMYFUNCTION("""COMPUTED_VALUE"""),40046.645833333336)</f>
        <v>40046.64583</v>
      </c>
      <c r="B2241" s="3">
        <f>IFERROR(__xludf.DUMMYFUNCTION("""COMPUTED_VALUE"""),4453.45)</f>
        <v>4453.45</v>
      </c>
      <c r="C2241" s="3">
        <f>IFERROR(__xludf.DUMMYFUNCTION("""COMPUTED_VALUE"""),4538.7)</f>
        <v>4538.7</v>
      </c>
      <c r="D2241" s="3">
        <f>IFERROR(__xludf.DUMMYFUNCTION("""COMPUTED_VALUE"""),4400.9)</f>
        <v>4400.9</v>
      </c>
      <c r="E2241" s="3">
        <f>IFERROR(__xludf.DUMMYFUNCTION("""COMPUTED_VALUE"""),4528.8)</f>
        <v>4528.8</v>
      </c>
      <c r="F2241" s="3">
        <f>IFERROR(__xludf.DUMMYFUNCTION("""COMPUTED_VALUE"""),0.0)</f>
        <v>0</v>
      </c>
    </row>
    <row r="2242">
      <c r="A2242" s="7">
        <f>IFERROR(__xludf.DUMMYFUNCTION("""COMPUTED_VALUE"""),40049.645833333336)</f>
        <v>40049.64583</v>
      </c>
      <c r="B2242" s="3">
        <f>IFERROR(__xludf.DUMMYFUNCTION("""COMPUTED_VALUE"""),4536.95)</f>
        <v>4536.95</v>
      </c>
      <c r="C2242" s="3">
        <f>IFERROR(__xludf.DUMMYFUNCTION("""COMPUTED_VALUE"""),4656.3)</f>
        <v>4656.3</v>
      </c>
      <c r="D2242" s="3">
        <f>IFERROR(__xludf.DUMMYFUNCTION("""COMPUTED_VALUE"""),4536.95)</f>
        <v>4536.95</v>
      </c>
      <c r="E2242" s="3">
        <f>IFERROR(__xludf.DUMMYFUNCTION("""COMPUTED_VALUE"""),4642.8)</f>
        <v>4642.8</v>
      </c>
      <c r="F2242" s="3">
        <f>IFERROR(__xludf.DUMMYFUNCTION("""COMPUTED_VALUE"""),0.0)</f>
        <v>0</v>
      </c>
    </row>
    <row r="2243">
      <c r="A2243" s="7">
        <f>IFERROR(__xludf.DUMMYFUNCTION("""COMPUTED_VALUE"""),40050.645833333336)</f>
        <v>40050.64583</v>
      </c>
      <c r="B2243" s="3">
        <f>IFERROR(__xludf.DUMMYFUNCTION("""COMPUTED_VALUE"""),4641.65)</f>
        <v>4641.65</v>
      </c>
      <c r="C2243" s="3">
        <f>IFERROR(__xludf.DUMMYFUNCTION("""COMPUTED_VALUE"""),4672.9)</f>
        <v>4672.9</v>
      </c>
      <c r="D2243" s="3">
        <f>IFERROR(__xludf.DUMMYFUNCTION("""COMPUTED_VALUE"""),4582.5)</f>
        <v>4582.5</v>
      </c>
      <c r="E2243" s="3">
        <f>IFERROR(__xludf.DUMMYFUNCTION("""COMPUTED_VALUE"""),4659.35)</f>
        <v>4659.35</v>
      </c>
      <c r="F2243" s="3">
        <f>IFERROR(__xludf.DUMMYFUNCTION("""COMPUTED_VALUE"""),0.0)</f>
        <v>0</v>
      </c>
    </row>
    <row r="2244">
      <c r="A2244" s="7">
        <f>IFERROR(__xludf.DUMMYFUNCTION("""COMPUTED_VALUE"""),40051.645833333336)</f>
        <v>40051.64583</v>
      </c>
      <c r="B2244" s="3">
        <f>IFERROR(__xludf.DUMMYFUNCTION("""COMPUTED_VALUE"""),4659.45)</f>
        <v>4659.45</v>
      </c>
      <c r="C2244" s="3">
        <f>IFERROR(__xludf.DUMMYFUNCTION("""COMPUTED_VALUE"""),4697.8)</f>
        <v>4697.8</v>
      </c>
      <c r="D2244" s="3">
        <f>IFERROR(__xludf.DUMMYFUNCTION("""COMPUTED_VALUE"""),4659.1)</f>
        <v>4659.1</v>
      </c>
      <c r="E2244" s="3">
        <f>IFERROR(__xludf.DUMMYFUNCTION("""COMPUTED_VALUE"""),4680.85)</f>
        <v>4680.85</v>
      </c>
      <c r="F2244" s="3">
        <f>IFERROR(__xludf.DUMMYFUNCTION("""COMPUTED_VALUE"""),0.0)</f>
        <v>0</v>
      </c>
    </row>
    <row r="2245">
      <c r="A2245" s="7">
        <f>IFERROR(__xludf.DUMMYFUNCTION("""COMPUTED_VALUE"""),40052.645833333336)</f>
        <v>40052.64583</v>
      </c>
      <c r="B2245" s="3">
        <f>IFERROR(__xludf.DUMMYFUNCTION("""COMPUTED_VALUE"""),4679.0)</f>
        <v>4679</v>
      </c>
      <c r="C2245" s="3">
        <f>IFERROR(__xludf.DUMMYFUNCTION("""COMPUTED_VALUE"""),4707.9)</f>
        <v>4707.9</v>
      </c>
      <c r="D2245" s="3">
        <f>IFERROR(__xludf.DUMMYFUNCTION("""COMPUTED_VALUE"""),4645.15)</f>
        <v>4645.15</v>
      </c>
      <c r="E2245" s="3">
        <f>IFERROR(__xludf.DUMMYFUNCTION("""COMPUTED_VALUE"""),4688.2)</f>
        <v>4688.2</v>
      </c>
      <c r="F2245" s="3">
        <f>IFERROR(__xludf.DUMMYFUNCTION("""COMPUTED_VALUE"""),0.0)</f>
        <v>0</v>
      </c>
    </row>
    <row r="2246">
      <c r="A2246" s="7">
        <f>IFERROR(__xludf.DUMMYFUNCTION("""COMPUTED_VALUE"""),40053.645833333336)</f>
        <v>40053.64583</v>
      </c>
      <c r="B2246" s="3">
        <f>IFERROR(__xludf.DUMMYFUNCTION("""COMPUTED_VALUE"""),4688.4)</f>
        <v>4688.4</v>
      </c>
      <c r="C2246" s="3">
        <f>IFERROR(__xludf.DUMMYFUNCTION("""COMPUTED_VALUE"""),4743.75)</f>
        <v>4743.75</v>
      </c>
      <c r="D2246" s="3">
        <f>IFERROR(__xludf.DUMMYFUNCTION("""COMPUTED_VALUE"""),4651.4)</f>
        <v>4651.4</v>
      </c>
      <c r="E2246" s="3">
        <f>IFERROR(__xludf.DUMMYFUNCTION("""COMPUTED_VALUE"""),4732.35)</f>
        <v>4732.35</v>
      </c>
      <c r="F2246" s="3">
        <f>IFERROR(__xludf.DUMMYFUNCTION("""COMPUTED_VALUE"""),0.0)</f>
        <v>0</v>
      </c>
    </row>
    <row r="2247">
      <c r="A2247" s="7">
        <f>IFERROR(__xludf.DUMMYFUNCTION("""COMPUTED_VALUE"""),40056.645833333336)</f>
        <v>40056.64583</v>
      </c>
      <c r="B2247" s="3">
        <f>IFERROR(__xludf.DUMMYFUNCTION("""COMPUTED_VALUE"""),4730.85)</f>
        <v>4730.85</v>
      </c>
      <c r="C2247" s="3">
        <f>IFERROR(__xludf.DUMMYFUNCTION("""COMPUTED_VALUE"""),4730.85)</f>
        <v>4730.85</v>
      </c>
      <c r="D2247" s="3">
        <f>IFERROR(__xludf.DUMMYFUNCTION("""COMPUTED_VALUE"""),4635.0)</f>
        <v>4635</v>
      </c>
      <c r="E2247" s="3">
        <f>IFERROR(__xludf.DUMMYFUNCTION("""COMPUTED_VALUE"""),4662.1)</f>
        <v>4662.1</v>
      </c>
      <c r="F2247" s="3">
        <f>IFERROR(__xludf.DUMMYFUNCTION("""COMPUTED_VALUE"""),0.0)</f>
        <v>0</v>
      </c>
    </row>
    <row r="2248">
      <c r="A2248" s="7">
        <f>IFERROR(__xludf.DUMMYFUNCTION("""COMPUTED_VALUE"""),40057.645833333336)</f>
        <v>40057.64583</v>
      </c>
      <c r="B2248" s="3">
        <f>IFERROR(__xludf.DUMMYFUNCTION("""COMPUTED_VALUE"""),4662.2)</f>
        <v>4662.2</v>
      </c>
      <c r="C2248" s="3">
        <f>IFERROR(__xludf.DUMMYFUNCTION("""COMPUTED_VALUE"""),4735.9)</f>
        <v>4735.9</v>
      </c>
      <c r="D2248" s="3">
        <f>IFERROR(__xludf.DUMMYFUNCTION("""COMPUTED_VALUE"""),4600.65)</f>
        <v>4600.65</v>
      </c>
      <c r="E2248" s="3">
        <f>IFERROR(__xludf.DUMMYFUNCTION("""COMPUTED_VALUE"""),4625.35)</f>
        <v>4625.35</v>
      </c>
      <c r="F2248" s="3">
        <f>IFERROR(__xludf.DUMMYFUNCTION("""COMPUTED_VALUE"""),0.0)</f>
        <v>0</v>
      </c>
    </row>
    <row r="2249">
      <c r="A2249" s="7">
        <f>IFERROR(__xludf.DUMMYFUNCTION("""COMPUTED_VALUE"""),40058.645833333336)</f>
        <v>40058.64583</v>
      </c>
      <c r="B2249" s="3">
        <f>IFERROR(__xludf.DUMMYFUNCTION("""COMPUTED_VALUE"""),4624.0)</f>
        <v>4624</v>
      </c>
      <c r="C2249" s="3">
        <f>IFERROR(__xludf.DUMMYFUNCTION("""COMPUTED_VALUE"""),4650.45)</f>
        <v>4650.45</v>
      </c>
      <c r="D2249" s="3">
        <f>IFERROR(__xludf.DUMMYFUNCTION("""COMPUTED_VALUE"""),4576.6)</f>
        <v>4576.6</v>
      </c>
      <c r="E2249" s="3">
        <f>IFERROR(__xludf.DUMMYFUNCTION("""COMPUTED_VALUE"""),4608.35)</f>
        <v>4608.35</v>
      </c>
      <c r="F2249" s="3">
        <f>IFERROR(__xludf.DUMMYFUNCTION("""COMPUTED_VALUE"""),0.0)</f>
        <v>0</v>
      </c>
    </row>
    <row r="2250">
      <c r="A2250" s="7">
        <f>IFERROR(__xludf.DUMMYFUNCTION("""COMPUTED_VALUE"""),40059.645833333336)</f>
        <v>40059.64583</v>
      </c>
      <c r="B2250" s="3">
        <f>IFERROR(__xludf.DUMMYFUNCTION("""COMPUTED_VALUE"""),4608.75)</f>
        <v>4608.75</v>
      </c>
      <c r="C2250" s="3">
        <f>IFERROR(__xludf.DUMMYFUNCTION("""COMPUTED_VALUE"""),4647.35)</f>
        <v>4647.35</v>
      </c>
      <c r="D2250" s="3">
        <f>IFERROR(__xludf.DUMMYFUNCTION("""COMPUTED_VALUE"""),4581.05)</f>
        <v>4581.05</v>
      </c>
      <c r="E2250" s="3">
        <f>IFERROR(__xludf.DUMMYFUNCTION("""COMPUTED_VALUE"""),4593.55)</f>
        <v>4593.55</v>
      </c>
      <c r="F2250" s="3">
        <f>IFERROR(__xludf.DUMMYFUNCTION("""COMPUTED_VALUE"""),0.0)</f>
        <v>0</v>
      </c>
    </row>
    <row r="2251">
      <c r="A2251" s="7">
        <f>IFERROR(__xludf.DUMMYFUNCTION("""COMPUTED_VALUE"""),40060.645833333336)</f>
        <v>40060.64583</v>
      </c>
      <c r="B2251" s="3">
        <f>IFERROR(__xludf.DUMMYFUNCTION("""COMPUTED_VALUE"""),4608.7)</f>
        <v>4608.7</v>
      </c>
      <c r="C2251" s="3">
        <f>IFERROR(__xludf.DUMMYFUNCTION("""COMPUTED_VALUE"""),4697.2)</f>
        <v>4697.2</v>
      </c>
      <c r="D2251" s="3">
        <f>IFERROR(__xludf.DUMMYFUNCTION("""COMPUTED_VALUE"""),4580.35)</f>
        <v>4580.35</v>
      </c>
      <c r="E2251" s="3">
        <f>IFERROR(__xludf.DUMMYFUNCTION("""COMPUTED_VALUE"""),4680.4)</f>
        <v>4680.4</v>
      </c>
      <c r="F2251" s="3">
        <f>IFERROR(__xludf.DUMMYFUNCTION("""COMPUTED_VALUE"""),0.0)</f>
        <v>0</v>
      </c>
    </row>
    <row r="2252">
      <c r="A2252" s="7">
        <f>IFERROR(__xludf.DUMMYFUNCTION("""COMPUTED_VALUE"""),40063.645833333336)</f>
        <v>40063.64583</v>
      </c>
      <c r="B2252" s="3">
        <f>IFERROR(__xludf.DUMMYFUNCTION("""COMPUTED_VALUE"""),4682.4)</f>
        <v>4682.4</v>
      </c>
      <c r="C2252" s="3">
        <f>IFERROR(__xludf.DUMMYFUNCTION("""COMPUTED_VALUE"""),4790.0)</f>
        <v>4790</v>
      </c>
      <c r="D2252" s="3">
        <f>IFERROR(__xludf.DUMMYFUNCTION("""COMPUTED_VALUE"""),4679.3)</f>
        <v>4679.3</v>
      </c>
      <c r="E2252" s="3">
        <f>IFERROR(__xludf.DUMMYFUNCTION("""COMPUTED_VALUE"""),4782.9)</f>
        <v>4782.9</v>
      </c>
      <c r="F2252" s="3">
        <f>IFERROR(__xludf.DUMMYFUNCTION("""COMPUTED_VALUE"""),0.0)</f>
        <v>0</v>
      </c>
    </row>
    <row r="2253">
      <c r="A2253" s="7">
        <f>IFERROR(__xludf.DUMMYFUNCTION("""COMPUTED_VALUE"""),40064.645833333336)</f>
        <v>40064.64583</v>
      </c>
      <c r="B2253" s="3">
        <f>IFERROR(__xludf.DUMMYFUNCTION("""COMPUTED_VALUE"""),4782.85)</f>
        <v>4782.85</v>
      </c>
      <c r="C2253" s="3">
        <f>IFERROR(__xludf.DUMMYFUNCTION("""COMPUTED_VALUE"""),4842.2)</f>
        <v>4842.2</v>
      </c>
      <c r="D2253" s="3">
        <f>IFERROR(__xludf.DUMMYFUNCTION("""COMPUTED_VALUE"""),4782.65)</f>
        <v>4782.65</v>
      </c>
      <c r="E2253" s="3">
        <f>IFERROR(__xludf.DUMMYFUNCTION("""COMPUTED_VALUE"""),4805.25)</f>
        <v>4805.25</v>
      </c>
      <c r="F2253" s="3">
        <f>IFERROR(__xludf.DUMMYFUNCTION("""COMPUTED_VALUE"""),0.0)</f>
        <v>0</v>
      </c>
    </row>
    <row r="2254">
      <c r="A2254" s="7">
        <f>IFERROR(__xludf.DUMMYFUNCTION("""COMPUTED_VALUE"""),40065.645833333336)</f>
        <v>40065.64583</v>
      </c>
      <c r="B2254" s="3">
        <f>IFERROR(__xludf.DUMMYFUNCTION("""COMPUTED_VALUE"""),4804.9)</f>
        <v>4804.9</v>
      </c>
      <c r="C2254" s="3">
        <f>IFERROR(__xludf.DUMMYFUNCTION("""COMPUTED_VALUE"""),4825.05)</f>
        <v>4825.05</v>
      </c>
      <c r="D2254" s="3">
        <f>IFERROR(__xludf.DUMMYFUNCTION("""COMPUTED_VALUE"""),4783.5)</f>
        <v>4783.5</v>
      </c>
      <c r="E2254" s="3">
        <f>IFERROR(__xludf.DUMMYFUNCTION("""COMPUTED_VALUE"""),4814.25)</f>
        <v>4814.25</v>
      </c>
      <c r="F2254" s="3">
        <f>IFERROR(__xludf.DUMMYFUNCTION("""COMPUTED_VALUE"""),0.0)</f>
        <v>0</v>
      </c>
    </row>
    <row r="2255">
      <c r="A2255" s="7">
        <f>IFERROR(__xludf.DUMMYFUNCTION("""COMPUTED_VALUE"""),40066.645833333336)</f>
        <v>40066.64583</v>
      </c>
      <c r="B2255" s="3">
        <f>IFERROR(__xludf.DUMMYFUNCTION("""COMPUTED_VALUE"""),4814.35)</f>
        <v>4814.35</v>
      </c>
      <c r="C2255" s="3">
        <f>IFERROR(__xludf.DUMMYFUNCTION("""COMPUTED_VALUE"""),4889.05)</f>
        <v>4889.05</v>
      </c>
      <c r="D2255" s="3">
        <f>IFERROR(__xludf.DUMMYFUNCTION("""COMPUTED_VALUE"""),4807.9)</f>
        <v>4807.9</v>
      </c>
      <c r="E2255" s="3">
        <f>IFERROR(__xludf.DUMMYFUNCTION("""COMPUTED_VALUE"""),4819.4)</f>
        <v>4819.4</v>
      </c>
      <c r="F2255" s="3">
        <f>IFERROR(__xludf.DUMMYFUNCTION("""COMPUTED_VALUE"""),0.0)</f>
        <v>0</v>
      </c>
    </row>
    <row r="2256">
      <c r="A2256" s="7">
        <f>IFERROR(__xludf.DUMMYFUNCTION("""COMPUTED_VALUE"""),40067.645833333336)</f>
        <v>40067.64583</v>
      </c>
      <c r="B2256" s="3">
        <f>IFERROR(__xludf.DUMMYFUNCTION("""COMPUTED_VALUE"""),4819.4)</f>
        <v>4819.4</v>
      </c>
      <c r="C2256" s="3">
        <f>IFERROR(__xludf.DUMMYFUNCTION("""COMPUTED_VALUE"""),4856.15)</f>
        <v>4856.15</v>
      </c>
      <c r="D2256" s="3">
        <f>IFERROR(__xludf.DUMMYFUNCTION("""COMPUTED_VALUE"""),4791.55)</f>
        <v>4791.55</v>
      </c>
      <c r="E2256" s="3">
        <f>IFERROR(__xludf.DUMMYFUNCTION("""COMPUTED_VALUE"""),4829.55)</f>
        <v>4829.55</v>
      </c>
      <c r="F2256" s="3">
        <f>IFERROR(__xludf.DUMMYFUNCTION("""COMPUTED_VALUE"""),0.0)</f>
        <v>0</v>
      </c>
    </row>
    <row r="2257">
      <c r="A2257" s="7">
        <f>IFERROR(__xludf.DUMMYFUNCTION("""COMPUTED_VALUE"""),40070.645833333336)</f>
        <v>40070.64583</v>
      </c>
      <c r="B2257" s="3">
        <f>IFERROR(__xludf.DUMMYFUNCTION("""COMPUTED_VALUE"""),4830.35)</f>
        <v>4830.35</v>
      </c>
      <c r="C2257" s="3">
        <f>IFERROR(__xludf.DUMMYFUNCTION("""COMPUTED_VALUE"""),4832.25)</f>
        <v>4832.25</v>
      </c>
      <c r="D2257" s="3">
        <f>IFERROR(__xludf.DUMMYFUNCTION("""COMPUTED_VALUE"""),4786.25)</f>
        <v>4786.25</v>
      </c>
      <c r="E2257" s="3">
        <f>IFERROR(__xludf.DUMMYFUNCTION("""COMPUTED_VALUE"""),4808.6)</f>
        <v>4808.6</v>
      </c>
      <c r="F2257" s="3">
        <f>IFERROR(__xludf.DUMMYFUNCTION("""COMPUTED_VALUE"""),0.0)</f>
        <v>0</v>
      </c>
    </row>
    <row r="2258">
      <c r="A2258" s="7">
        <f>IFERROR(__xludf.DUMMYFUNCTION("""COMPUTED_VALUE"""),40071.645833333336)</f>
        <v>40071.64583</v>
      </c>
      <c r="B2258" s="3">
        <f>IFERROR(__xludf.DUMMYFUNCTION("""COMPUTED_VALUE"""),4808.35)</f>
        <v>4808.35</v>
      </c>
      <c r="C2258" s="3">
        <f>IFERROR(__xludf.DUMMYFUNCTION("""COMPUTED_VALUE"""),4899.45)</f>
        <v>4899.45</v>
      </c>
      <c r="D2258" s="3">
        <f>IFERROR(__xludf.DUMMYFUNCTION("""COMPUTED_VALUE"""),4808.35)</f>
        <v>4808.35</v>
      </c>
      <c r="E2258" s="3">
        <f>IFERROR(__xludf.DUMMYFUNCTION("""COMPUTED_VALUE"""),4892.1)</f>
        <v>4892.1</v>
      </c>
      <c r="F2258" s="3">
        <f>IFERROR(__xludf.DUMMYFUNCTION("""COMPUTED_VALUE"""),0.0)</f>
        <v>0</v>
      </c>
    </row>
    <row r="2259">
      <c r="A2259" s="7">
        <f>IFERROR(__xludf.DUMMYFUNCTION("""COMPUTED_VALUE"""),40072.645833333336)</f>
        <v>40072.64583</v>
      </c>
      <c r="B2259" s="3">
        <f>IFERROR(__xludf.DUMMYFUNCTION("""COMPUTED_VALUE"""),4894.65)</f>
        <v>4894.65</v>
      </c>
      <c r="C2259" s="3">
        <f>IFERROR(__xludf.DUMMYFUNCTION("""COMPUTED_VALUE"""),4966.3)</f>
        <v>4966.3</v>
      </c>
      <c r="D2259" s="3">
        <f>IFERROR(__xludf.DUMMYFUNCTION("""COMPUTED_VALUE"""),4894.65)</f>
        <v>4894.65</v>
      </c>
      <c r="E2259" s="3">
        <f>IFERROR(__xludf.DUMMYFUNCTION("""COMPUTED_VALUE"""),4958.4)</f>
        <v>4958.4</v>
      </c>
      <c r="F2259" s="3">
        <f>IFERROR(__xludf.DUMMYFUNCTION("""COMPUTED_VALUE"""),0.0)</f>
        <v>0</v>
      </c>
    </row>
    <row r="2260">
      <c r="A2260" s="7">
        <f>IFERROR(__xludf.DUMMYFUNCTION("""COMPUTED_VALUE"""),40073.645833333336)</f>
        <v>40073.64583</v>
      </c>
      <c r="B2260" s="3">
        <f>IFERROR(__xludf.DUMMYFUNCTION("""COMPUTED_VALUE"""),4958.55)</f>
        <v>4958.55</v>
      </c>
      <c r="C2260" s="3">
        <f>IFERROR(__xludf.DUMMYFUNCTION("""COMPUTED_VALUE"""),5003.05)</f>
        <v>5003.05</v>
      </c>
      <c r="D2260" s="3">
        <f>IFERROR(__xludf.DUMMYFUNCTION("""COMPUTED_VALUE"""),4944.15)</f>
        <v>4944.15</v>
      </c>
      <c r="E2260" s="3">
        <f>IFERROR(__xludf.DUMMYFUNCTION("""COMPUTED_VALUE"""),4965.55)</f>
        <v>4965.55</v>
      </c>
      <c r="F2260" s="3">
        <f>IFERROR(__xludf.DUMMYFUNCTION("""COMPUTED_VALUE"""),0.0)</f>
        <v>0</v>
      </c>
    </row>
    <row r="2261">
      <c r="A2261" s="7">
        <f>IFERROR(__xludf.DUMMYFUNCTION("""COMPUTED_VALUE"""),40074.645833333336)</f>
        <v>40074.64583</v>
      </c>
      <c r="B2261" s="3">
        <f>IFERROR(__xludf.DUMMYFUNCTION("""COMPUTED_VALUE"""),4963.95)</f>
        <v>4963.95</v>
      </c>
      <c r="C2261" s="3">
        <f>IFERROR(__xludf.DUMMYFUNCTION("""COMPUTED_VALUE"""),4980.85)</f>
        <v>4980.85</v>
      </c>
      <c r="D2261" s="3">
        <f>IFERROR(__xludf.DUMMYFUNCTION("""COMPUTED_VALUE"""),4931.9)</f>
        <v>4931.9</v>
      </c>
      <c r="E2261" s="3">
        <f>IFERROR(__xludf.DUMMYFUNCTION("""COMPUTED_VALUE"""),4976.05)</f>
        <v>4976.05</v>
      </c>
      <c r="F2261" s="3">
        <f>IFERROR(__xludf.DUMMYFUNCTION("""COMPUTED_VALUE"""),0.0)</f>
        <v>0</v>
      </c>
    </row>
    <row r="2262">
      <c r="A2262" s="7">
        <f>IFERROR(__xludf.DUMMYFUNCTION("""COMPUTED_VALUE"""),40078.645833333336)</f>
        <v>40078.64583</v>
      </c>
      <c r="B2262" s="3">
        <f>IFERROR(__xludf.DUMMYFUNCTION("""COMPUTED_VALUE"""),4977.1)</f>
        <v>4977.1</v>
      </c>
      <c r="C2262" s="3">
        <f>IFERROR(__xludf.DUMMYFUNCTION("""COMPUTED_VALUE"""),5036.3)</f>
        <v>5036.3</v>
      </c>
      <c r="D2262" s="3">
        <f>IFERROR(__xludf.DUMMYFUNCTION("""COMPUTED_VALUE"""),4977.1)</f>
        <v>4977.1</v>
      </c>
      <c r="E2262" s="3">
        <f>IFERROR(__xludf.DUMMYFUNCTION("""COMPUTED_VALUE"""),5020.2)</f>
        <v>5020.2</v>
      </c>
      <c r="F2262" s="3">
        <f>IFERROR(__xludf.DUMMYFUNCTION("""COMPUTED_VALUE"""),0.0)</f>
        <v>0</v>
      </c>
    </row>
    <row r="2263">
      <c r="A2263" s="7">
        <f>IFERROR(__xludf.DUMMYFUNCTION("""COMPUTED_VALUE"""),40079.645833333336)</f>
        <v>40079.64583</v>
      </c>
      <c r="B2263" s="3">
        <f>IFERROR(__xludf.DUMMYFUNCTION("""COMPUTED_VALUE"""),5019.95)</f>
        <v>5019.95</v>
      </c>
      <c r="C2263" s="3">
        <f>IFERROR(__xludf.DUMMYFUNCTION("""COMPUTED_VALUE"""),5030.75)</f>
        <v>5030.75</v>
      </c>
      <c r="D2263" s="3">
        <f>IFERROR(__xludf.DUMMYFUNCTION("""COMPUTED_VALUE"""),4957.05)</f>
        <v>4957.05</v>
      </c>
      <c r="E2263" s="3">
        <f>IFERROR(__xludf.DUMMYFUNCTION("""COMPUTED_VALUE"""),4969.95)</f>
        <v>4969.95</v>
      </c>
      <c r="F2263" s="3">
        <f>IFERROR(__xludf.DUMMYFUNCTION("""COMPUTED_VALUE"""),0.0)</f>
        <v>0</v>
      </c>
    </row>
    <row r="2264">
      <c r="A2264" s="7">
        <f>IFERROR(__xludf.DUMMYFUNCTION("""COMPUTED_VALUE"""),40080.645833333336)</f>
        <v>40080.64583</v>
      </c>
      <c r="B2264" s="3">
        <f>IFERROR(__xludf.DUMMYFUNCTION("""COMPUTED_VALUE"""),4977.15)</f>
        <v>4977.15</v>
      </c>
      <c r="C2264" s="3">
        <f>IFERROR(__xludf.DUMMYFUNCTION("""COMPUTED_VALUE"""),5016.7)</f>
        <v>5016.7</v>
      </c>
      <c r="D2264" s="3">
        <f>IFERROR(__xludf.DUMMYFUNCTION("""COMPUTED_VALUE"""),4904.05)</f>
        <v>4904.05</v>
      </c>
      <c r="E2264" s="3">
        <f>IFERROR(__xludf.DUMMYFUNCTION("""COMPUTED_VALUE"""),4986.55)</f>
        <v>4986.55</v>
      </c>
      <c r="F2264" s="3">
        <f>IFERROR(__xludf.DUMMYFUNCTION("""COMPUTED_VALUE"""),0.0)</f>
        <v>0</v>
      </c>
    </row>
    <row r="2265">
      <c r="A2265" s="7">
        <f>IFERROR(__xludf.DUMMYFUNCTION("""COMPUTED_VALUE"""),40081.645833333336)</f>
        <v>40081.64583</v>
      </c>
      <c r="B2265" s="3">
        <f>IFERROR(__xludf.DUMMYFUNCTION("""COMPUTED_VALUE"""),4985.1)</f>
        <v>4985.1</v>
      </c>
      <c r="C2265" s="3">
        <f>IFERROR(__xludf.DUMMYFUNCTION("""COMPUTED_VALUE"""),4994.35)</f>
        <v>4994.35</v>
      </c>
      <c r="D2265" s="3">
        <f>IFERROR(__xludf.DUMMYFUNCTION("""COMPUTED_VALUE"""),4931.25)</f>
        <v>4931.25</v>
      </c>
      <c r="E2265" s="3">
        <f>IFERROR(__xludf.DUMMYFUNCTION("""COMPUTED_VALUE"""),4958.95)</f>
        <v>4958.95</v>
      </c>
      <c r="F2265" s="3">
        <f>IFERROR(__xludf.DUMMYFUNCTION("""COMPUTED_VALUE"""),0.0)</f>
        <v>0</v>
      </c>
    </row>
    <row r="2266">
      <c r="A2266" s="7">
        <f>IFERROR(__xludf.DUMMYFUNCTION("""COMPUTED_VALUE"""),40085.645833333336)</f>
        <v>40085.64583</v>
      </c>
      <c r="B2266" s="3">
        <f>IFERROR(__xludf.DUMMYFUNCTION("""COMPUTED_VALUE"""),4959.15)</f>
        <v>4959.15</v>
      </c>
      <c r="C2266" s="3">
        <f>IFERROR(__xludf.DUMMYFUNCTION("""COMPUTED_VALUE"""),5020.25)</f>
        <v>5020.25</v>
      </c>
      <c r="D2266" s="3">
        <f>IFERROR(__xludf.DUMMYFUNCTION("""COMPUTED_VALUE"""),4959.1)</f>
        <v>4959.1</v>
      </c>
      <c r="E2266" s="3">
        <f>IFERROR(__xludf.DUMMYFUNCTION("""COMPUTED_VALUE"""),5006.85)</f>
        <v>5006.85</v>
      </c>
      <c r="F2266" s="3">
        <f>IFERROR(__xludf.DUMMYFUNCTION("""COMPUTED_VALUE"""),0.0)</f>
        <v>0</v>
      </c>
    </row>
    <row r="2267">
      <c r="A2267" s="7">
        <f>IFERROR(__xludf.DUMMYFUNCTION("""COMPUTED_VALUE"""),40086.645833333336)</f>
        <v>40086.64583</v>
      </c>
      <c r="B2267" s="3">
        <f>IFERROR(__xludf.DUMMYFUNCTION("""COMPUTED_VALUE"""),5007.65)</f>
        <v>5007.65</v>
      </c>
      <c r="C2267" s="3">
        <f>IFERROR(__xludf.DUMMYFUNCTION("""COMPUTED_VALUE"""),5087.6)</f>
        <v>5087.6</v>
      </c>
      <c r="D2267" s="3">
        <f>IFERROR(__xludf.DUMMYFUNCTION("""COMPUTED_VALUE"""),5004.35)</f>
        <v>5004.35</v>
      </c>
      <c r="E2267" s="3">
        <f>IFERROR(__xludf.DUMMYFUNCTION("""COMPUTED_VALUE"""),5083.95)</f>
        <v>5083.95</v>
      </c>
      <c r="F2267" s="3">
        <f>IFERROR(__xludf.DUMMYFUNCTION("""COMPUTED_VALUE"""),0.0)</f>
        <v>0</v>
      </c>
    </row>
    <row r="2268">
      <c r="A2268" s="7">
        <f>IFERROR(__xludf.DUMMYFUNCTION("""COMPUTED_VALUE"""),40087.645833333336)</f>
        <v>40087.64583</v>
      </c>
      <c r="B2268" s="3">
        <f>IFERROR(__xludf.DUMMYFUNCTION("""COMPUTED_VALUE"""),5087.2)</f>
        <v>5087.2</v>
      </c>
      <c r="C2268" s="3">
        <f>IFERROR(__xludf.DUMMYFUNCTION("""COMPUTED_VALUE"""),5110.5)</f>
        <v>5110.5</v>
      </c>
      <c r="D2268" s="3">
        <f>IFERROR(__xludf.DUMMYFUNCTION("""COMPUTED_VALUE"""),5057.05)</f>
        <v>5057.05</v>
      </c>
      <c r="E2268" s="3">
        <f>IFERROR(__xludf.DUMMYFUNCTION("""COMPUTED_VALUE"""),5083.4)</f>
        <v>5083.4</v>
      </c>
      <c r="F2268" s="3">
        <f>IFERROR(__xludf.DUMMYFUNCTION("""COMPUTED_VALUE"""),0.0)</f>
        <v>0</v>
      </c>
    </row>
    <row r="2269">
      <c r="A2269" s="7">
        <f>IFERROR(__xludf.DUMMYFUNCTION("""COMPUTED_VALUE"""),40091.645833333336)</f>
        <v>40091.64583</v>
      </c>
      <c r="B2269" s="3">
        <f>IFERROR(__xludf.DUMMYFUNCTION("""COMPUTED_VALUE"""),5076.05)</f>
        <v>5076.05</v>
      </c>
      <c r="C2269" s="3">
        <f>IFERROR(__xludf.DUMMYFUNCTION("""COMPUTED_VALUE"""),5076.05)</f>
        <v>5076.05</v>
      </c>
      <c r="D2269" s="3">
        <f>IFERROR(__xludf.DUMMYFUNCTION("""COMPUTED_VALUE"""),4991.95)</f>
        <v>4991.95</v>
      </c>
      <c r="E2269" s="3">
        <f>IFERROR(__xludf.DUMMYFUNCTION("""COMPUTED_VALUE"""),5003.2)</f>
        <v>5003.2</v>
      </c>
      <c r="F2269" s="3">
        <f>IFERROR(__xludf.DUMMYFUNCTION("""COMPUTED_VALUE"""),0.0)</f>
        <v>0</v>
      </c>
    </row>
    <row r="2270">
      <c r="A2270" s="7">
        <f>IFERROR(__xludf.DUMMYFUNCTION("""COMPUTED_VALUE"""),40092.645833333336)</f>
        <v>40092.64583</v>
      </c>
      <c r="B2270" s="3">
        <f>IFERROR(__xludf.DUMMYFUNCTION("""COMPUTED_VALUE"""),5003.65)</f>
        <v>5003.65</v>
      </c>
      <c r="C2270" s="3">
        <f>IFERROR(__xludf.DUMMYFUNCTION("""COMPUTED_VALUE"""),5034.7)</f>
        <v>5034.7</v>
      </c>
      <c r="D2270" s="3">
        <f>IFERROR(__xludf.DUMMYFUNCTION("""COMPUTED_VALUE"""),4921.05)</f>
        <v>4921.05</v>
      </c>
      <c r="E2270" s="3">
        <f>IFERROR(__xludf.DUMMYFUNCTION("""COMPUTED_VALUE"""),5027.4)</f>
        <v>5027.4</v>
      </c>
      <c r="F2270" s="3">
        <f>IFERROR(__xludf.DUMMYFUNCTION("""COMPUTED_VALUE"""),0.0)</f>
        <v>0</v>
      </c>
    </row>
    <row r="2271">
      <c r="A2271" s="7">
        <f>IFERROR(__xludf.DUMMYFUNCTION("""COMPUTED_VALUE"""),40093.645833333336)</f>
        <v>40093.64583</v>
      </c>
      <c r="B2271" s="3">
        <f>IFERROR(__xludf.DUMMYFUNCTION("""COMPUTED_VALUE"""),5031.7)</f>
        <v>5031.7</v>
      </c>
      <c r="C2271" s="3">
        <f>IFERROR(__xludf.DUMMYFUNCTION("""COMPUTED_VALUE"""),5077.0)</f>
        <v>5077</v>
      </c>
      <c r="D2271" s="3">
        <f>IFERROR(__xludf.DUMMYFUNCTION("""COMPUTED_VALUE"""),4972.95)</f>
        <v>4972.95</v>
      </c>
      <c r="E2271" s="3">
        <f>IFERROR(__xludf.DUMMYFUNCTION("""COMPUTED_VALUE"""),4985.75)</f>
        <v>4985.75</v>
      </c>
      <c r="F2271" s="3">
        <f>IFERROR(__xludf.DUMMYFUNCTION("""COMPUTED_VALUE"""),0.0)</f>
        <v>0</v>
      </c>
    </row>
    <row r="2272">
      <c r="A2272" s="7">
        <f>IFERROR(__xludf.DUMMYFUNCTION("""COMPUTED_VALUE"""),40094.645833333336)</f>
        <v>40094.64583</v>
      </c>
      <c r="B2272" s="3">
        <f>IFERROR(__xludf.DUMMYFUNCTION("""COMPUTED_VALUE"""),5011.25)</f>
        <v>5011.25</v>
      </c>
      <c r="C2272" s="3">
        <f>IFERROR(__xludf.DUMMYFUNCTION("""COMPUTED_VALUE"""),5043.05)</f>
        <v>5043.05</v>
      </c>
      <c r="D2272" s="3">
        <f>IFERROR(__xludf.DUMMYFUNCTION("""COMPUTED_VALUE"""),4971.75)</f>
        <v>4971.75</v>
      </c>
      <c r="E2272" s="3">
        <f>IFERROR(__xludf.DUMMYFUNCTION("""COMPUTED_VALUE"""),5002.25)</f>
        <v>5002.25</v>
      </c>
      <c r="F2272" s="3">
        <f>IFERROR(__xludf.DUMMYFUNCTION("""COMPUTED_VALUE"""),0.0)</f>
        <v>0</v>
      </c>
    </row>
    <row r="2273">
      <c r="A2273" s="7">
        <f>IFERROR(__xludf.DUMMYFUNCTION("""COMPUTED_VALUE"""),40095.645833333336)</f>
        <v>40095.64583</v>
      </c>
      <c r="B2273" s="3">
        <f>IFERROR(__xludf.DUMMYFUNCTION("""COMPUTED_VALUE"""),4993.0)</f>
        <v>4993</v>
      </c>
      <c r="C2273" s="3">
        <f>IFERROR(__xludf.DUMMYFUNCTION("""COMPUTED_VALUE"""),5032.6)</f>
        <v>5032.6</v>
      </c>
      <c r="D2273" s="3">
        <f>IFERROR(__xludf.DUMMYFUNCTION("""COMPUTED_VALUE"""),4934.55)</f>
        <v>4934.55</v>
      </c>
      <c r="E2273" s="3">
        <f>IFERROR(__xludf.DUMMYFUNCTION("""COMPUTED_VALUE"""),4945.2)</f>
        <v>4945.2</v>
      </c>
      <c r="F2273" s="3">
        <f>IFERROR(__xludf.DUMMYFUNCTION("""COMPUTED_VALUE"""),0.0)</f>
        <v>0</v>
      </c>
    </row>
    <row r="2274">
      <c r="A2274" s="7">
        <f>IFERROR(__xludf.DUMMYFUNCTION("""COMPUTED_VALUE"""),40098.645833333336)</f>
        <v>40098.64583</v>
      </c>
      <c r="B2274" s="3">
        <f>IFERROR(__xludf.DUMMYFUNCTION("""COMPUTED_VALUE"""),4945.45)</f>
        <v>4945.45</v>
      </c>
      <c r="C2274" s="3">
        <f>IFERROR(__xludf.DUMMYFUNCTION("""COMPUTED_VALUE"""),5068.05)</f>
        <v>5068.05</v>
      </c>
      <c r="D2274" s="3">
        <f>IFERROR(__xludf.DUMMYFUNCTION("""COMPUTED_VALUE"""),4945.45)</f>
        <v>4945.45</v>
      </c>
      <c r="E2274" s="3">
        <f>IFERROR(__xludf.DUMMYFUNCTION("""COMPUTED_VALUE"""),5054.25)</f>
        <v>5054.25</v>
      </c>
      <c r="F2274" s="3">
        <f>IFERROR(__xludf.DUMMYFUNCTION("""COMPUTED_VALUE"""),0.0)</f>
        <v>0</v>
      </c>
    </row>
    <row r="2275">
      <c r="A2275" s="7">
        <f>IFERROR(__xludf.DUMMYFUNCTION("""COMPUTED_VALUE"""),40100.645833333336)</f>
        <v>40100.64583</v>
      </c>
      <c r="B2275" s="3">
        <f>IFERROR(__xludf.DUMMYFUNCTION("""COMPUTED_VALUE"""),5054.35)</f>
        <v>5054.35</v>
      </c>
      <c r="C2275" s="3">
        <f>IFERROR(__xludf.DUMMYFUNCTION("""COMPUTED_VALUE"""),5127.4)</f>
        <v>5127.4</v>
      </c>
      <c r="D2275" s="3">
        <f>IFERROR(__xludf.DUMMYFUNCTION("""COMPUTED_VALUE"""),5054.35)</f>
        <v>5054.35</v>
      </c>
      <c r="E2275" s="3">
        <f>IFERROR(__xludf.DUMMYFUNCTION("""COMPUTED_VALUE"""),5118.2)</f>
        <v>5118.2</v>
      </c>
      <c r="F2275" s="3">
        <f>IFERROR(__xludf.DUMMYFUNCTION("""COMPUTED_VALUE"""),0.0)</f>
        <v>0</v>
      </c>
    </row>
    <row r="2276">
      <c r="A2276" s="7">
        <f>IFERROR(__xludf.DUMMYFUNCTION("""COMPUTED_VALUE"""),40101.645833333336)</f>
        <v>40101.64583</v>
      </c>
      <c r="B2276" s="3">
        <f>IFERROR(__xludf.DUMMYFUNCTION("""COMPUTED_VALUE"""),5118.55)</f>
        <v>5118.55</v>
      </c>
      <c r="C2276" s="3">
        <f>IFERROR(__xludf.DUMMYFUNCTION("""COMPUTED_VALUE"""),5152.25)</f>
        <v>5152.25</v>
      </c>
      <c r="D2276" s="3">
        <f>IFERROR(__xludf.DUMMYFUNCTION("""COMPUTED_VALUE"""),5077.1)</f>
        <v>5077.1</v>
      </c>
      <c r="E2276" s="3">
        <f>IFERROR(__xludf.DUMMYFUNCTION("""COMPUTED_VALUE"""),5108.85)</f>
        <v>5108.85</v>
      </c>
      <c r="F2276" s="3">
        <f>IFERROR(__xludf.DUMMYFUNCTION("""COMPUTED_VALUE"""),0.0)</f>
        <v>0</v>
      </c>
    </row>
    <row r="2277">
      <c r="A2277" s="7">
        <f>IFERROR(__xludf.DUMMYFUNCTION("""COMPUTED_VALUE"""),40102.645833333336)</f>
        <v>40102.64583</v>
      </c>
      <c r="B2277" s="3">
        <f>IFERROR(__xludf.DUMMYFUNCTION("""COMPUTED_VALUE"""),5108.65)</f>
        <v>5108.65</v>
      </c>
      <c r="C2277" s="3">
        <f>IFERROR(__xludf.DUMMYFUNCTION("""COMPUTED_VALUE"""),5149.65)</f>
        <v>5149.65</v>
      </c>
      <c r="D2277" s="3">
        <f>IFERROR(__xludf.DUMMYFUNCTION("""COMPUTED_VALUE"""),5093.2)</f>
        <v>5093.2</v>
      </c>
      <c r="E2277" s="3">
        <f>IFERROR(__xludf.DUMMYFUNCTION("""COMPUTED_VALUE"""),5142.15)</f>
        <v>5142.15</v>
      </c>
      <c r="F2277" s="3">
        <f>IFERROR(__xludf.DUMMYFUNCTION("""COMPUTED_VALUE"""),0.0)</f>
        <v>0</v>
      </c>
    </row>
    <row r="2278">
      <c r="A2278" s="7">
        <f>IFERROR(__xludf.DUMMYFUNCTION("""COMPUTED_VALUE"""),40106.645833333336)</f>
        <v>40106.64583</v>
      </c>
      <c r="B2278" s="3">
        <f>IFERROR(__xludf.DUMMYFUNCTION("""COMPUTED_VALUE"""),5145.6)</f>
        <v>5145.6</v>
      </c>
      <c r="C2278" s="3">
        <f>IFERROR(__xludf.DUMMYFUNCTION("""COMPUTED_VALUE"""),5181.95)</f>
        <v>5181.95</v>
      </c>
      <c r="D2278" s="3">
        <f>IFERROR(__xludf.DUMMYFUNCTION("""COMPUTED_VALUE"""),5102.65)</f>
        <v>5102.65</v>
      </c>
      <c r="E2278" s="3">
        <f>IFERROR(__xludf.DUMMYFUNCTION("""COMPUTED_VALUE"""),5114.45)</f>
        <v>5114.45</v>
      </c>
      <c r="F2278" s="3">
        <f>IFERROR(__xludf.DUMMYFUNCTION("""COMPUTED_VALUE"""),0.0)</f>
        <v>0</v>
      </c>
    </row>
    <row r="2279">
      <c r="A2279" s="7">
        <f>IFERROR(__xludf.DUMMYFUNCTION("""COMPUTED_VALUE"""),40107.645833333336)</f>
        <v>40107.64583</v>
      </c>
      <c r="B2279" s="3">
        <f>IFERROR(__xludf.DUMMYFUNCTION("""COMPUTED_VALUE"""),5114.85)</f>
        <v>5114.85</v>
      </c>
      <c r="C2279" s="3">
        <f>IFERROR(__xludf.DUMMYFUNCTION("""COMPUTED_VALUE"""),5117.45)</f>
        <v>5117.45</v>
      </c>
      <c r="D2279" s="3">
        <f>IFERROR(__xludf.DUMMYFUNCTION("""COMPUTED_VALUE"""),5051.65)</f>
        <v>5051.65</v>
      </c>
      <c r="E2279" s="3">
        <f>IFERROR(__xludf.DUMMYFUNCTION("""COMPUTED_VALUE"""),5063.6)</f>
        <v>5063.6</v>
      </c>
      <c r="F2279" s="3">
        <f>IFERROR(__xludf.DUMMYFUNCTION("""COMPUTED_VALUE"""),0.0)</f>
        <v>0</v>
      </c>
    </row>
    <row r="2280">
      <c r="A2280" s="7">
        <f>IFERROR(__xludf.DUMMYFUNCTION("""COMPUTED_VALUE"""),40108.645833333336)</f>
        <v>40108.64583</v>
      </c>
      <c r="B2280" s="3">
        <f>IFERROR(__xludf.DUMMYFUNCTION("""COMPUTED_VALUE"""),5063.35)</f>
        <v>5063.35</v>
      </c>
      <c r="C2280" s="3">
        <f>IFERROR(__xludf.DUMMYFUNCTION("""COMPUTED_VALUE"""),5064.25)</f>
        <v>5064.25</v>
      </c>
      <c r="D2280" s="3">
        <f>IFERROR(__xludf.DUMMYFUNCTION("""COMPUTED_VALUE"""),4968.45)</f>
        <v>4968.45</v>
      </c>
      <c r="E2280" s="3">
        <f>IFERROR(__xludf.DUMMYFUNCTION("""COMPUTED_VALUE"""),4988.6)</f>
        <v>4988.6</v>
      </c>
      <c r="F2280" s="3">
        <f>IFERROR(__xludf.DUMMYFUNCTION("""COMPUTED_VALUE"""),0.0)</f>
        <v>0</v>
      </c>
    </row>
    <row r="2281">
      <c r="A2281" s="7">
        <f>IFERROR(__xludf.DUMMYFUNCTION("""COMPUTED_VALUE"""),40109.645833333336)</f>
        <v>40109.64583</v>
      </c>
      <c r="B2281" s="3">
        <f>IFERROR(__xludf.DUMMYFUNCTION("""COMPUTED_VALUE"""),4986.55)</f>
        <v>4986.55</v>
      </c>
      <c r="C2281" s="3">
        <f>IFERROR(__xludf.DUMMYFUNCTION("""COMPUTED_VALUE"""),5054.95)</f>
        <v>5054.95</v>
      </c>
      <c r="D2281" s="3">
        <f>IFERROR(__xludf.DUMMYFUNCTION("""COMPUTED_VALUE"""),4983.25)</f>
        <v>4983.25</v>
      </c>
      <c r="E2281" s="3">
        <f>IFERROR(__xludf.DUMMYFUNCTION("""COMPUTED_VALUE"""),4997.05)</f>
        <v>4997.05</v>
      </c>
      <c r="F2281" s="3">
        <f>IFERROR(__xludf.DUMMYFUNCTION("""COMPUTED_VALUE"""),0.0)</f>
        <v>0</v>
      </c>
    </row>
    <row r="2282">
      <c r="A2282" s="7">
        <f>IFERROR(__xludf.DUMMYFUNCTION("""COMPUTED_VALUE"""),40112.645833333336)</f>
        <v>40112.64583</v>
      </c>
      <c r="B2282" s="3">
        <f>IFERROR(__xludf.DUMMYFUNCTION("""COMPUTED_VALUE"""),4997.15)</f>
        <v>4997.15</v>
      </c>
      <c r="C2282" s="3">
        <f>IFERROR(__xludf.DUMMYFUNCTION("""COMPUTED_VALUE"""),5033.75)</f>
        <v>5033.75</v>
      </c>
      <c r="D2282" s="3">
        <f>IFERROR(__xludf.DUMMYFUNCTION("""COMPUTED_VALUE"""),4961.35)</f>
        <v>4961.35</v>
      </c>
      <c r="E2282" s="3">
        <f>IFERROR(__xludf.DUMMYFUNCTION("""COMPUTED_VALUE"""),4970.9)</f>
        <v>4970.9</v>
      </c>
      <c r="F2282" s="3">
        <f>IFERROR(__xludf.DUMMYFUNCTION("""COMPUTED_VALUE"""),0.0)</f>
        <v>0</v>
      </c>
    </row>
    <row r="2283">
      <c r="A2283" s="7">
        <f>IFERROR(__xludf.DUMMYFUNCTION("""COMPUTED_VALUE"""),40113.645833333336)</f>
        <v>40113.64583</v>
      </c>
      <c r="B2283" s="3">
        <f>IFERROR(__xludf.DUMMYFUNCTION("""COMPUTED_VALUE"""),4970.55)</f>
        <v>4970.55</v>
      </c>
      <c r="C2283" s="3">
        <f>IFERROR(__xludf.DUMMYFUNCTION("""COMPUTED_VALUE"""),4970.55)</f>
        <v>4970.55</v>
      </c>
      <c r="D2283" s="3">
        <f>IFERROR(__xludf.DUMMYFUNCTION("""COMPUTED_VALUE"""),4829.5)</f>
        <v>4829.5</v>
      </c>
      <c r="E2283" s="3">
        <f>IFERROR(__xludf.DUMMYFUNCTION("""COMPUTED_VALUE"""),4846.7)</f>
        <v>4846.7</v>
      </c>
      <c r="F2283" s="3">
        <f>IFERROR(__xludf.DUMMYFUNCTION("""COMPUTED_VALUE"""),0.0)</f>
        <v>0</v>
      </c>
    </row>
    <row r="2284">
      <c r="A2284" s="7">
        <f>IFERROR(__xludf.DUMMYFUNCTION("""COMPUTED_VALUE"""),40114.645833333336)</f>
        <v>40114.64583</v>
      </c>
      <c r="B2284" s="3">
        <f>IFERROR(__xludf.DUMMYFUNCTION("""COMPUTED_VALUE"""),4846.55)</f>
        <v>4846.55</v>
      </c>
      <c r="C2284" s="3">
        <f>IFERROR(__xludf.DUMMYFUNCTION("""COMPUTED_VALUE"""),4867.0)</f>
        <v>4867</v>
      </c>
      <c r="D2284" s="3">
        <f>IFERROR(__xludf.DUMMYFUNCTION("""COMPUTED_VALUE"""),4784.1)</f>
        <v>4784.1</v>
      </c>
      <c r="E2284" s="3">
        <f>IFERROR(__xludf.DUMMYFUNCTION("""COMPUTED_VALUE"""),4826.15)</f>
        <v>4826.15</v>
      </c>
      <c r="F2284" s="3">
        <f>IFERROR(__xludf.DUMMYFUNCTION("""COMPUTED_VALUE"""),0.0)</f>
        <v>0</v>
      </c>
    </row>
    <row r="2285">
      <c r="A2285" s="7">
        <f>IFERROR(__xludf.DUMMYFUNCTION("""COMPUTED_VALUE"""),40115.645833333336)</f>
        <v>40115.64583</v>
      </c>
      <c r="B2285" s="3">
        <f>IFERROR(__xludf.DUMMYFUNCTION("""COMPUTED_VALUE"""),4826.1)</f>
        <v>4826.1</v>
      </c>
      <c r="C2285" s="3">
        <f>IFERROR(__xludf.DUMMYFUNCTION("""COMPUTED_VALUE"""),4826.1)</f>
        <v>4826.1</v>
      </c>
      <c r="D2285" s="3">
        <f>IFERROR(__xludf.DUMMYFUNCTION("""COMPUTED_VALUE"""),4738.4)</f>
        <v>4738.4</v>
      </c>
      <c r="E2285" s="3">
        <f>IFERROR(__xludf.DUMMYFUNCTION("""COMPUTED_VALUE"""),4750.55)</f>
        <v>4750.55</v>
      </c>
      <c r="F2285" s="3">
        <f>IFERROR(__xludf.DUMMYFUNCTION("""COMPUTED_VALUE"""),0.0)</f>
        <v>0</v>
      </c>
    </row>
    <row r="2286">
      <c r="A2286" s="7">
        <f>IFERROR(__xludf.DUMMYFUNCTION("""COMPUTED_VALUE"""),40116.645833333336)</f>
        <v>40116.64583</v>
      </c>
      <c r="B2286" s="3">
        <f>IFERROR(__xludf.DUMMYFUNCTION("""COMPUTED_VALUE"""),4751.1)</f>
        <v>4751.1</v>
      </c>
      <c r="C2286" s="3">
        <f>IFERROR(__xludf.DUMMYFUNCTION("""COMPUTED_VALUE"""),4853.65)</f>
        <v>4853.65</v>
      </c>
      <c r="D2286" s="3">
        <f>IFERROR(__xludf.DUMMYFUNCTION("""COMPUTED_VALUE"""),4687.5)</f>
        <v>4687.5</v>
      </c>
      <c r="E2286" s="3">
        <f>IFERROR(__xludf.DUMMYFUNCTION("""COMPUTED_VALUE"""),4711.7)</f>
        <v>4711.7</v>
      </c>
      <c r="F2286" s="3">
        <f>IFERROR(__xludf.DUMMYFUNCTION("""COMPUTED_VALUE"""),0.0)</f>
        <v>0</v>
      </c>
    </row>
    <row r="2287">
      <c r="A2287" s="7">
        <f>IFERROR(__xludf.DUMMYFUNCTION("""COMPUTED_VALUE"""),40120.645833333336)</f>
        <v>40120.64583</v>
      </c>
      <c r="B2287" s="3">
        <f>IFERROR(__xludf.DUMMYFUNCTION("""COMPUTED_VALUE"""),4712.25)</f>
        <v>4712.25</v>
      </c>
      <c r="C2287" s="3">
        <f>IFERROR(__xludf.DUMMYFUNCTION("""COMPUTED_VALUE"""),4729.85)</f>
        <v>4729.85</v>
      </c>
      <c r="D2287" s="3">
        <f>IFERROR(__xludf.DUMMYFUNCTION("""COMPUTED_VALUE"""),4538.5)</f>
        <v>4538.5</v>
      </c>
      <c r="E2287" s="3">
        <f>IFERROR(__xludf.DUMMYFUNCTION("""COMPUTED_VALUE"""),4563.9)</f>
        <v>4563.9</v>
      </c>
      <c r="F2287" s="3">
        <f>IFERROR(__xludf.DUMMYFUNCTION("""COMPUTED_VALUE"""),0.0)</f>
        <v>0</v>
      </c>
    </row>
    <row r="2288">
      <c r="A2288" s="7">
        <f>IFERROR(__xludf.DUMMYFUNCTION("""COMPUTED_VALUE"""),40121.645833333336)</f>
        <v>40121.64583</v>
      </c>
      <c r="B2288" s="3">
        <f>IFERROR(__xludf.DUMMYFUNCTION("""COMPUTED_VALUE"""),4567.3)</f>
        <v>4567.3</v>
      </c>
      <c r="C2288" s="3">
        <f>IFERROR(__xludf.DUMMYFUNCTION("""COMPUTED_VALUE"""),4717.8)</f>
        <v>4717.8</v>
      </c>
      <c r="D2288" s="3">
        <f>IFERROR(__xludf.DUMMYFUNCTION("""COMPUTED_VALUE"""),4565.0)</f>
        <v>4565</v>
      </c>
      <c r="E2288" s="3">
        <f>IFERROR(__xludf.DUMMYFUNCTION("""COMPUTED_VALUE"""),4710.8)</f>
        <v>4710.8</v>
      </c>
      <c r="F2288" s="3">
        <f>IFERROR(__xludf.DUMMYFUNCTION("""COMPUTED_VALUE"""),0.0)</f>
        <v>0</v>
      </c>
    </row>
    <row r="2289">
      <c r="A2289" s="7">
        <f>IFERROR(__xludf.DUMMYFUNCTION("""COMPUTED_VALUE"""),40122.645833333336)</f>
        <v>40122.64583</v>
      </c>
      <c r="B2289" s="3">
        <f>IFERROR(__xludf.DUMMYFUNCTION("""COMPUTED_VALUE"""),4711.65)</f>
        <v>4711.65</v>
      </c>
      <c r="C2289" s="3">
        <f>IFERROR(__xludf.DUMMYFUNCTION("""COMPUTED_VALUE"""),4776.35)</f>
        <v>4776.35</v>
      </c>
      <c r="D2289" s="3">
        <f>IFERROR(__xludf.DUMMYFUNCTION("""COMPUTED_VALUE"""),4610.6)</f>
        <v>4610.6</v>
      </c>
      <c r="E2289" s="3">
        <f>IFERROR(__xludf.DUMMYFUNCTION("""COMPUTED_VALUE"""),4765.55)</f>
        <v>4765.55</v>
      </c>
      <c r="F2289" s="3">
        <f>IFERROR(__xludf.DUMMYFUNCTION("""COMPUTED_VALUE"""),0.0)</f>
        <v>0</v>
      </c>
    </row>
    <row r="2290">
      <c r="A2290" s="7">
        <f>IFERROR(__xludf.DUMMYFUNCTION("""COMPUTED_VALUE"""),40123.645833333336)</f>
        <v>40123.64583</v>
      </c>
      <c r="B2290" s="3">
        <f>IFERROR(__xludf.DUMMYFUNCTION("""COMPUTED_VALUE"""),4767.5)</f>
        <v>4767.5</v>
      </c>
      <c r="C2290" s="3">
        <f>IFERROR(__xludf.DUMMYFUNCTION("""COMPUTED_VALUE"""),4836.2)</f>
        <v>4836.2</v>
      </c>
      <c r="D2290" s="3">
        <f>IFERROR(__xludf.DUMMYFUNCTION("""COMPUTED_VALUE"""),4764.85)</f>
        <v>4764.85</v>
      </c>
      <c r="E2290" s="3">
        <f>IFERROR(__xludf.DUMMYFUNCTION("""COMPUTED_VALUE"""),4796.15)</f>
        <v>4796.15</v>
      </c>
      <c r="F2290" s="3">
        <f>IFERROR(__xludf.DUMMYFUNCTION("""COMPUTED_VALUE"""),0.0)</f>
        <v>0</v>
      </c>
    </row>
    <row r="2291">
      <c r="A2291" s="7">
        <f>IFERROR(__xludf.DUMMYFUNCTION("""COMPUTED_VALUE"""),40126.645833333336)</f>
        <v>40126.64583</v>
      </c>
      <c r="B2291" s="3">
        <f>IFERROR(__xludf.DUMMYFUNCTION("""COMPUTED_VALUE"""),4796.15)</f>
        <v>4796.15</v>
      </c>
      <c r="C2291" s="3">
        <f>IFERROR(__xludf.DUMMYFUNCTION("""COMPUTED_VALUE"""),4905.25)</f>
        <v>4905.25</v>
      </c>
      <c r="D2291" s="3">
        <f>IFERROR(__xludf.DUMMYFUNCTION("""COMPUTED_VALUE"""),4789.9)</f>
        <v>4789.9</v>
      </c>
      <c r="E2291" s="3">
        <f>IFERROR(__xludf.DUMMYFUNCTION("""COMPUTED_VALUE"""),4898.4)</f>
        <v>4898.4</v>
      </c>
      <c r="F2291" s="3">
        <f>IFERROR(__xludf.DUMMYFUNCTION("""COMPUTED_VALUE"""),0.0)</f>
        <v>0</v>
      </c>
    </row>
    <row r="2292">
      <c r="A2292" s="7">
        <f>IFERROR(__xludf.DUMMYFUNCTION("""COMPUTED_VALUE"""),40127.645833333336)</f>
        <v>40127.64583</v>
      </c>
      <c r="B2292" s="3">
        <f>IFERROR(__xludf.DUMMYFUNCTION("""COMPUTED_VALUE"""),4898.9)</f>
        <v>4898.9</v>
      </c>
      <c r="C2292" s="3">
        <f>IFERROR(__xludf.DUMMYFUNCTION("""COMPUTED_VALUE"""),4947.7)</f>
        <v>4947.7</v>
      </c>
      <c r="D2292" s="3">
        <f>IFERROR(__xludf.DUMMYFUNCTION("""COMPUTED_VALUE"""),4860.1)</f>
        <v>4860.1</v>
      </c>
      <c r="E2292" s="3">
        <f>IFERROR(__xludf.DUMMYFUNCTION("""COMPUTED_VALUE"""),4881.7)</f>
        <v>4881.7</v>
      </c>
      <c r="F2292" s="3">
        <f>IFERROR(__xludf.DUMMYFUNCTION("""COMPUTED_VALUE"""),0.0)</f>
        <v>0</v>
      </c>
    </row>
    <row r="2293">
      <c r="A2293" s="7">
        <f>IFERROR(__xludf.DUMMYFUNCTION("""COMPUTED_VALUE"""),40128.645833333336)</f>
        <v>40128.64583</v>
      </c>
      <c r="B2293" s="3">
        <f>IFERROR(__xludf.DUMMYFUNCTION("""COMPUTED_VALUE"""),4882.3)</f>
        <v>4882.3</v>
      </c>
      <c r="C2293" s="3">
        <f>IFERROR(__xludf.DUMMYFUNCTION("""COMPUTED_VALUE"""),5016.7)</f>
        <v>5016.7</v>
      </c>
      <c r="D2293" s="3">
        <f>IFERROR(__xludf.DUMMYFUNCTION("""COMPUTED_VALUE"""),4870.05)</f>
        <v>4870.05</v>
      </c>
      <c r="E2293" s="3">
        <f>IFERROR(__xludf.DUMMYFUNCTION("""COMPUTED_VALUE"""),5003.95)</f>
        <v>5003.95</v>
      </c>
      <c r="F2293" s="3">
        <f>IFERROR(__xludf.DUMMYFUNCTION("""COMPUTED_VALUE"""),0.0)</f>
        <v>0</v>
      </c>
    </row>
    <row r="2294">
      <c r="A2294" s="7">
        <f>IFERROR(__xludf.DUMMYFUNCTION("""COMPUTED_VALUE"""),40129.645833333336)</f>
        <v>40129.64583</v>
      </c>
      <c r="B2294" s="3">
        <f>IFERROR(__xludf.DUMMYFUNCTION("""COMPUTED_VALUE"""),5004.4)</f>
        <v>5004.4</v>
      </c>
      <c r="C2294" s="3">
        <f>IFERROR(__xludf.DUMMYFUNCTION("""COMPUTED_VALUE"""),5014.4)</f>
        <v>5014.4</v>
      </c>
      <c r="D2294" s="3">
        <f>IFERROR(__xludf.DUMMYFUNCTION("""COMPUTED_VALUE"""),4924.75)</f>
        <v>4924.75</v>
      </c>
      <c r="E2294" s="3">
        <f>IFERROR(__xludf.DUMMYFUNCTION("""COMPUTED_VALUE"""),4952.65)</f>
        <v>4952.65</v>
      </c>
      <c r="F2294" s="3">
        <f>IFERROR(__xludf.DUMMYFUNCTION("""COMPUTED_VALUE"""),0.0)</f>
        <v>0</v>
      </c>
    </row>
    <row r="2295">
      <c r="A2295" s="7">
        <f>IFERROR(__xludf.DUMMYFUNCTION("""COMPUTED_VALUE"""),40130.645833333336)</f>
        <v>40130.64583</v>
      </c>
      <c r="B2295" s="3">
        <f>IFERROR(__xludf.DUMMYFUNCTION("""COMPUTED_VALUE"""),4952.35)</f>
        <v>4952.35</v>
      </c>
      <c r="C2295" s="3">
        <f>IFERROR(__xludf.DUMMYFUNCTION("""COMPUTED_VALUE"""),5017.9)</f>
        <v>5017.9</v>
      </c>
      <c r="D2295" s="3">
        <f>IFERROR(__xludf.DUMMYFUNCTION("""COMPUTED_VALUE"""),4942.65)</f>
        <v>4942.65</v>
      </c>
      <c r="E2295" s="3">
        <f>IFERROR(__xludf.DUMMYFUNCTION("""COMPUTED_VALUE"""),4998.95)</f>
        <v>4998.95</v>
      </c>
      <c r="F2295" s="3">
        <f>IFERROR(__xludf.DUMMYFUNCTION("""COMPUTED_VALUE"""),0.0)</f>
        <v>0</v>
      </c>
    </row>
    <row r="2296">
      <c r="A2296" s="7">
        <f>IFERROR(__xludf.DUMMYFUNCTION("""COMPUTED_VALUE"""),40133.645833333336)</f>
        <v>40133.64583</v>
      </c>
      <c r="B2296" s="3">
        <f>IFERROR(__xludf.DUMMYFUNCTION("""COMPUTED_VALUE"""),4996.5)</f>
        <v>4996.5</v>
      </c>
      <c r="C2296" s="3">
        <f>IFERROR(__xludf.DUMMYFUNCTION("""COMPUTED_VALUE"""),5073.2)</f>
        <v>5073.2</v>
      </c>
      <c r="D2296" s="3">
        <f>IFERROR(__xludf.DUMMYFUNCTION("""COMPUTED_VALUE"""),4994.0)</f>
        <v>4994</v>
      </c>
      <c r="E2296" s="3">
        <f>IFERROR(__xludf.DUMMYFUNCTION("""COMPUTED_VALUE"""),5058.05)</f>
        <v>5058.05</v>
      </c>
      <c r="F2296" s="3">
        <f>IFERROR(__xludf.DUMMYFUNCTION("""COMPUTED_VALUE"""),0.0)</f>
        <v>0</v>
      </c>
    </row>
    <row r="2297">
      <c r="A2297" s="7">
        <f>IFERROR(__xludf.DUMMYFUNCTION("""COMPUTED_VALUE"""),40134.645833333336)</f>
        <v>40134.64583</v>
      </c>
      <c r="B2297" s="3">
        <f>IFERROR(__xludf.DUMMYFUNCTION("""COMPUTED_VALUE"""),5058.95)</f>
        <v>5058.95</v>
      </c>
      <c r="C2297" s="3">
        <f>IFERROR(__xludf.DUMMYFUNCTION("""COMPUTED_VALUE"""),5074.0)</f>
        <v>5074</v>
      </c>
      <c r="D2297" s="3">
        <f>IFERROR(__xludf.DUMMYFUNCTION("""COMPUTED_VALUE"""),5010.15)</f>
        <v>5010.15</v>
      </c>
      <c r="E2297" s="3">
        <f>IFERROR(__xludf.DUMMYFUNCTION("""COMPUTED_VALUE"""),5062.25)</f>
        <v>5062.25</v>
      </c>
      <c r="F2297" s="3">
        <f>IFERROR(__xludf.DUMMYFUNCTION("""COMPUTED_VALUE"""),0.0)</f>
        <v>0</v>
      </c>
    </row>
    <row r="2298">
      <c r="A2298" s="7">
        <f>IFERROR(__xludf.DUMMYFUNCTION("""COMPUTED_VALUE"""),40135.645833333336)</f>
        <v>40135.64583</v>
      </c>
      <c r="B2298" s="3">
        <f>IFERROR(__xludf.DUMMYFUNCTION("""COMPUTED_VALUE"""),5061.5)</f>
        <v>5061.5</v>
      </c>
      <c r="C2298" s="3">
        <f>IFERROR(__xludf.DUMMYFUNCTION("""COMPUTED_VALUE"""),5079.3)</f>
        <v>5079.3</v>
      </c>
      <c r="D2298" s="3">
        <f>IFERROR(__xludf.DUMMYFUNCTION("""COMPUTED_VALUE"""),5041.65)</f>
        <v>5041.65</v>
      </c>
      <c r="E2298" s="3">
        <f>IFERROR(__xludf.DUMMYFUNCTION("""COMPUTED_VALUE"""),5054.7)</f>
        <v>5054.7</v>
      </c>
      <c r="F2298" s="3">
        <f>IFERROR(__xludf.DUMMYFUNCTION("""COMPUTED_VALUE"""),0.0)</f>
        <v>0</v>
      </c>
    </row>
    <row r="2299">
      <c r="A2299" s="7">
        <f>IFERROR(__xludf.DUMMYFUNCTION("""COMPUTED_VALUE"""),40136.645833333336)</f>
        <v>40136.64583</v>
      </c>
      <c r="B2299" s="3">
        <f>IFERROR(__xludf.DUMMYFUNCTION("""COMPUTED_VALUE"""),5043.95)</f>
        <v>5043.95</v>
      </c>
      <c r="C2299" s="3">
        <f>IFERROR(__xludf.DUMMYFUNCTION("""COMPUTED_VALUE"""),5053.45)</f>
        <v>5053.45</v>
      </c>
      <c r="D2299" s="3">
        <f>IFERROR(__xludf.DUMMYFUNCTION("""COMPUTED_VALUE"""),4963.7)</f>
        <v>4963.7</v>
      </c>
      <c r="E2299" s="3">
        <f>IFERROR(__xludf.DUMMYFUNCTION("""COMPUTED_VALUE"""),4989.0)</f>
        <v>4989</v>
      </c>
      <c r="F2299" s="3">
        <f>IFERROR(__xludf.DUMMYFUNCTION("""COMPUTED_VALUE"""),0.0)</f>
        <v>0</v>
      </c>
    </row>
    <row r="2300">
      <c r="A2300" s="7">
        <f>IFERROR(__xludf.DUMMYFUNCTION("""COMPUTED_VALUE"""),40137.645833333336)</f>
        <v>40137.64583</v>
      </c>
      <c r="B2300" s="3">
        <f>IFERROR(__xludf.DUMMYFUNCTION("""COMPUTED_VALUE"""),4988.75)</f>
        <v>4988.75</v>
      </c>
      <c r="C2300" s="3">
        <f>IFERROR(__xludf.DUMMYFUNCTION("""COMPUTED_VALUE"""),5063.3)</f>
        <v>5063.3</v>
      </c>
      <c r="D2300" s="3">
        <f>IFERROR(__xludf.DUMMYFUNCTION("""COMPUTED_VALUE"""),4932.8)</f>
        <v>4932.8</v>
      </c>
      <c r="E2300" s="3">
        <f>IFERROR(__xludf.DUMMYFUNCTION("""COMPUTED_VALUE"""),5052.45)</f>
        <v>5052.45</v>
      </c>
      <c r="F2300" s="3">
        <f>IFERROR(__xludf.DUMMYFUNCTION("""COMPUTED_VALUE"""),0.0)</f>
        <v>0</v>
      </c>
    </row>
    <row r="2301">
      <c r="A2301" s="7">
        <f>IFERROR(__xludf.DUMMYFUNCTION("""COMPUTED_VALUE"""),40140.645833333336)</f>
        <v>40140.64583</v>
      </c>
      <c r="B2301" s="3">
        <f>IFERROR(__xludf.DUMMYFUNCTION("""COMPUTED_VALUE"""),5052.95)</f>
        <v>5052.95</v>
      </c>
      <c r="C2301" s="3">
        <f>IFERROR(__xludf.DUMMYFUNCTION("""COMPUTED_VALUE"""),5113.1)</f>
        <v>5113.1</v>
      </c>
      <c r="D2301" s="3">
        <f>IFERROR(__xludf.DUMMYFUNCTION("""COMPUTED_VALUE"""),5052.1)</f>
        <v>5052.1</v>
      </c>
      <c r="E2301" s="3">
        <f>IFERROR(__xludf.DUMMYFUNCTION("""COMPUTED_VALUE"""),5103.55)</f>
        <v>5103.55</v>
      </c>
      <c r="F2301" s="3">
        <f>IFERROR(__xludf.DUMMYFUNCTION("""COMPUTED_VALUE"""),0.0)</f>
        <v>0</v>
      </c>
    </row>
    <row r="2302">
      <c r="A2302" s="7">
        <f>IFERROR(__xludf.DUMMYFUNCTION("""COMPUTED_VALUE"""),40141.645833333336)</f>
        <v>40141.64583</v>
      </c>
      <c r="B2302" s="3">
        <f>IFERROR(__xludf.DUMMYFUNCTION("""COMPUTED_VALUE"""),5105.0)</f>
        <v>5105</v>
      </c>
      <c r="C2302" s="3">
        <f>IFERROR(__xludf.DUMMYFUNCTION("""COMPUTED_VALUE"""),5112.85)</f>
        <v>5112.85</v>
      </c>
      <c r="D2302" s="3">
        <f>IFERROR(__xludf.DUMMYFUNCTION("""COMPUTED_VALUE"""),5053.5)</f>
        <v>5053.5</v>
      </c>
      <c r="E2302" s="3">
        <f>IFERROR(__xludf.DUMMYFUNCTION("""COMPUTED_VALUE"""),5090.55)</f>
        <v>5090.55</v>
      </c>
      <c r="F2302" s="3">
        <f>IFERROR(__xludf.DUMMYFUNCTION("""COMPUTED_VALUE"""),0.0)</f>
        <v>0</v>
      </c>
    </row>
    <row r="2303">
      <c r="A2303" s="7">
        <f>IFERROR(__xludf.DUMMYFUNCTION("""COMPUTED_VALUE"""),40142.645833333336)</f>
        <v>40142.64583</v>
      </c>
      <c r="B2303" s="3">
        <f>IFERROR(__xludf.DUMMYFUNCTION("""COMPUTED_VALUE"""),5091.55)</f>
        <v>5091.55</v>
      </c>
      <c r="C2303" s="3">
        <f>IFERROR(__xludf.DUMMYFUNCTION("""COMPUTED_VALUE"""),5138.0)</f>
        <v>5138</v>
      </c>
      <c r="D2303" s="3">
        <f>IFERROR(__xludf.DUMMYFUNCTION("""COMPUTED_VALUE"""),5078.35)</f>
        <v>5078.35</v>
      </c>
      <c r="E2303" s="3">
        <f>IFERROR(__xludf.DUMMYFUNCTION("""COMPUTED_VALUE"""),5108.15)</f>
        <v>5108.15</v>
      </c>
      <c r="F2303" s="3">
        <f>IFERROR(__xludf.DUMMYFUNCTION("""COMPUTED_VALUE"""),0.0)</f>
        <v>0</v>
      </c>
    </row>
    <row r="2304">
      <c r="A2304" s="7">
        <f>IFERROR(__xludf.DUMMYFUNCTION("""COMPUTED_VALUE"""),40143.645833333336)</f>
        <v>40143.64583</v>
      </c>
      <c r="B2304" s="3">
        <f>IFERROR(__xludf.DUMMYFUNCTION("""COMPUTED_VALUE"""),5116.45)</f>
        <v>5116.45</v>
      </c>
      <c r="C2304" s="3">
        <f>IFERROR(__xludf.DUMMYFUNCTION("""COMPUTED_VALUE"""),5116.45)</f>
        <v>5116.45</v>
      </c>
      <c r="D2304" s="3">
        <f>IFERROR(__xludf.DUMMYFUNCTION("""COMPUTED_VALUE"""),4986.05)</f>
        <v>4986.05</v>
      </c>
      <c r="E2304" s="3">
        <f>IFERROR(__xludf.DUMMYFUNCTION("""COMPUTED_VALUE"""),5005.55)</f>
        <v>5005.55</v>
      </c>
      <c r="F2304" s="3">
        <f>IFERROR(__xludf.DUMMYFUNCTION("""COMPUTED_VALUE"""),0.0)</f>
        <v>0</v>
      </c>
    </row>
    <row r="2305">
      <c r="A2305" s="7">
        <f>IFERROR(__xludf.DUMMYFUNCTION("""COMPUTED_VALUE"""),40144.645833333336)</f>
        <v>40144.64583</v>
      </c>
      <c r="B2305" s="3">
        <f>IFERROR(__xludf.DUMMYFUNCTION("""COMPUTED_VALUE"""),5005.05)</f>
        <v>5005.05</v>
      </c>
      <c r="C2305" s="3">
        <f>IFERROR(__xludf.DUMMYFUNCTION("""COMPUTED_VALUE"""),5005.05)</f>
        <v>5005.05</v>
      </c>
      <c r="D2305" s="3">
        <f>IFERROR(__xludf.DUMMYFUNCTION("""COMPUTED_VALUE"""),4806.7)</f>
        <v>4806.7</v>
      </c>
      <c r="E2305" s="3">
        <f>IFERROR(__xludf.DUMMYFUNCTION("""COMPUTED_VALUE"""),4941.75)</f>
        <v>4941.75</v>
      </c>
      <c r="F2305" s="3">
        <f>IFERROR(__xludf.DUMMYFUNCTION("""COMPUTED_VALUE"""),0.0)</f>
        <v>0</v>
      </c>
    </row>
    <row r="2306">
      <c r="A2306" s="7">
        <f>IFERROR(__xludf.DUMMYFUNCTION("""COMPUTED_VALUE"""),40147.645833333336)</f>
        <v>40147.64583</v>
      </c>
      <c r="B2306" s="3">
        <f>IFERROR(__xludf.DUMMYFUNCTION("""COMPUTED_VALUE"""),4942.25)</f>
        <v>4942.25</v>
      </c>
      <c r="C2306" s="3">
        <f>IFERROR(__xludf.DUMMYFUNCTION("""COMPUTED_VALUE"""),5066.35)</f>
        <v>5066.35</v>
      </c>
      <c r="D2306" s="3">
        <f>IFERROR(__xludf.DUMMYFUNCTION("""COMPUTED_VALUE"""),4942.25)</f>
        <v>4942.25</v>
      </c>
      <c r="E2306" s="3">
        <f>IFERROR(__xludf.DUMMYFUNCTION("""COMPUTED_VALUE"""),5032.7)</f>
        <v>5032.7</v>
      </c>
      <c r="F2306" s="3">
        <f>IFERROR(__xludf.DUMMYFUNCTION("""COMPUTED_VALUE"""),0.0)</f>
        <v>0</v>
      </c>
    </row>
    <row r="2307">
      <c r="A2307" s="7">
        <f>IFERROR(__xludf.DUMMYFUNCTION("""COMPUTED_VALUE"""),40148.645833333336)</f>
        <v>40148.64583</v>
      </c>
      <c r="B2307" s="3">
        <f>IFERROR(__xludf.DUMMYFUNCTION("""COMPUTED_VALUE"""),5039.7)</f>
        <v>5039.7</v>
      </c>
      <c r="C2307" s="3">
        <f>IFERROR(__xludf.DUMMYFUNCTION("""COMPUTED_VALUE"""),5130.35)</f>
        <v>5130.35</v>
      </c>
      <c r="D2307" s="3">
        <f>IFERROR(__xludf.DUMMYFUNCTION("""COMPUTED_VALUE"""),5038.85)</f>
        <v>5038.85</v>
      </c>
      <c r="E2307" s="3">
        <f>IFERROR(__xludf.DUMMYFUNCTION("""COMPUTED_VALUE"""),5122.0)</f>
        <v>5122</v>
      </c>
      <c r="F2307" s="3">
        <f>IFERROR(__xludf.DUMMYFUNCTION("""COMPUTED_VALUE"""),0.0)</f>
        <v>0</v>
      </c>
    </row>
    <row r="2308">
      <c r="A2308" s="7">
        <f>IFERROR(__xludf.DUMMYFUNCTION("""COMPUTED_VALUE"""),40149.645833333336)</f>
        <v>40149.64583</v>
      </c>
      <c r="B2308" s="3">
        <f>IFERROR(__xludf.DUMMYFUNCTION("""COMPUTED_VALUE"""),5122.75)</f>
        <v>5122.75</v>
      </c>
      <c r="C2308" s="3">
        <f>IFERROR(__xludf.DUMMYFUNCTION("""COMPUTED_VALUE"""),5161.75)</f>
        <v>5161.75</v>
      </c>
      <c r="D2308" s="3">
        <f>IFERROR(__xludf.DUMMYFUNCTION("""COMPUTED_VALUE"""),5111.75)</f>
        <v>5111.75</v>
      </c>
      <c r="E2308" s="3">
        <f>IFERROR(__xludf.DUMMYFUNCTION("""COMPUTED_VALUE"""),5123.25)</f>
        <v>5123.25</v>
      </c>
      <c r="F2308" s="3">
        <f>IFERROR(__xludf.DUMMYFUNCTION("""COMPUTED_VALUE"""),0.0)</f>
        <v>0</v>
      </c>
    </row>
    <row r="2309">
      <c r="A2309" s="7">
        <f>IFERROR(__xludf.DUMMYFUNCTION("""COMPUTED_VALUE"""),40150.645833333336)</f>
        <v>40150.64583</v>
      </c>
      <c r="B2309" s="3">
        <f>IFERROR(__xludf.DUMMYFUNCTION("""COMPUTED_VALUE"""),5124.55)</f>
        <v>5124.55</v>
      </c>
      <c r="C2309" s="3">
        <f>IFERROR(__xludf.DUMMYFUNCTION("""COMPUTED_VALUE"""),5181.0)</f>
        <v>5181</v>
      </c>
      <c r="D2309" s="3">
        <f>IFERROR(__xludf.DUMMYFUNCTION("""COMPUTED_VALUE"""),5106.6)</f>
        <v>5106.6</v>
      </c>
      <c r="E2309" s="3">
        <f>IFERROR(__xludf.DUMMYFUNCTION("""COMPUTED_VALUE"""),5131.7)</f>
        <v>5131.7</v>
      </c>
      <c r="F2309" s="3">
        <f>IFERROR(__xludf.DUMMYFUNCTION("""COMPUTED_VALUE"""),0.0)</f>
        <v>0</v>
      </c>
    </row>
    <row r="2310">
      <c r="A2310" s="7">
        <f>IFERROR(__xludf.DUMMYFUNCTION("""COMPUTED_VALUE"""),40151.645833333336)</f>
        <v>40151.64583</v>
      </c>
      <c r="B2310" s="3">
        <f>IFERROR(__xludf.DUMMYFUNCTION("""COMPUTED_VALUE"""),5131.7)</f>
        <v>5131.7</v>
      </c>
      <c r="C2310" s="3">
        <f>IFERROR(__xludf.DUMMYFUNCTION("""COMPUTED_VALUE"""),5161.8)</f>
        <v>5161.8</v>
      </c>
      <c r="D2310" s="3">
        <f>IFERROR(__xludf.DUMMYFUNCTION("""COMPUTED_VALUE"""),5081.85)</f>
        <v>5081.85</v>
      </c>
      <c r="E2310" s="3">
        <f>IFERROR(__xludf.DUMMYFUNCTION("""COMPUTED_VALUE"""),5108.9)</f>
        <v>5108.9</v>
      </c>
      <c r="F2310" s="3">
        <f>IFERROR(__xludf.DUMMYFUNCTION("""COMPUTED_VALUE"""),0.0)</f>
        <v>0</v>
      </c>
    </row>
    <row r="2311">
      <c r="A2311" s="7">
        <f>IFERROR(__xludf.DUMMYFUNCTION("""COMPUTED_VALUE"""),40154.645833333336)</f>
        <v>40154.64583</v>
      </c>
      <c r="B2311" s="3">
        <f>IFERROR(__xludf.DUMMYFUNCTION("""COMPUTED_VALUE"""),5108.85)</f>
        <v>5108.85</v>
      </c>
      <c r="C2311" s="3">
        <f>IFERROR(__xludf.DUMMYFUNCTION("""COMPUTED_VALUE"""),5131.3)</f>
        <v>5131.3</v>
      </c>
      <c r="D2311" s="3">
        <f>IFERROR(__xludf.DUMMYFUNCTION("""COMPUTED_VALUE"""),5051.55)</f>
        <v>5051.55</v>
      </c>
      <c r="E2311" s="3">
        <f>IFERROR(__xludf.DUMMYFUNCTION("""COMPUTED_VALUE"""),5066.7)</f>
        <v>5066.7</v>
      </c>
      <c r="F2311" s="3">
        <f>IFERROR(__xludf.DUMMYFUNCTION("""COMPUTED_VALUE"""),0.0)</f>
        <v>0</v>
      </c>
    </row>
    <row r="2312">
      <c r="A2312" s="7">
        <f>IFERROR(__xludf.DUMMYFUNCTION("""COMPUTED_VALUE"""),40155.645833333336)</f>
        <v>40155.64583</v>
      </c>
      <c r="B2312" s="3">
        <f>IFERROR(__xludf.DUMMYFUNCTION("""COMPUTED_VALUE"""),5068.55)</f>
        <v>5068.55</v>
      </c>
      <c r="C2312" s="3">
        <f>IFERROR(__xludf.DUMMYFUNCTION("""COMPUTED_VALUE"""),5152.55)</f>
        <v>5152.55</v>
      </c>
      <c r="D2312" s="3">
        <f>IFERROR(__xludf.DUMMYFUNCTION("""COMPUTED_VALUE"""),5058.9)</f>
        <v>5058.9</v>
      </c>
      <c r="E2312" s="3">
        <f>IFERROR(__xludf.DUMMYFUNCTION("""COMPUTED_VALUE"""),5147.95)</f>
        <v>5147.95</v>
      </c>
      <c r="F2312" s="3">
        <f>IFERROR(__xludf.DUMMYFUNCTION("""COMPUTED_VALUE"""),0.0)</f>
        <v>0</v>
      </c>
    </row>
    <row r="2313">
      <c r="A2313" s="7">
        <f>IFERROR(__xludf.DUMMYFUNCTION("""COMPUTED_VALUE"""),40156.645833333336)</f>
        <v>40156.64583</v>
      </c>
      <c r="B2313" s="3">
        <f>IFERROR(__xludf.DUMMYFUNCTION("""COMPUTED_VALUE"""),5147.65)</f>
        <v>5147.65</v>
      </c>
      <c r="C2313" s="3">
        <f>IFERROR(__xludf.DUMMYFUNCTION("""COMPUTED_VALUE"""),5147.65)</f>
        <v>5147.65</v>
      </c>
      <c r="D2313" s="3">
        <f>IFERROR(__xludf.DUMMYFUNCTION("""COMPUTED_VALUE"""),5090.6)</f>
        <v>5090.6</v>
      </c>
      <c r="E2313" s="3">
        <f>IFERROR(__xludf.DUMMYFUNCTION("""COMPUTED_VALUE"""),5112.0)</f>
        <v>5112</v>
      </c>
      <c r="F2313" s="3">
        <f>IFERROR(__xludf.DUMMYFUNCTION("""COMPUTED_VALUE"""),0.0)</f>
        <v>0</v>
      </c>
    </row>
    <row r="2314">
      <c r="A2314" s="7">
        <f>IFERROR(__xludf.DUMMYFUNCTION("""COMPUTED_VALUE"""),40157.645833333336)</f>
        <v>40157.64583</v>
      </c>
      <c r="B2314" s="3">
        <f>IFERROR(__xludf.DUMMYFUNCTION("""COMPUTED_VALUE"""),5112.4)</f>
        <v>5112.4</v>
      </c>
      <c r="C2314" s="3">
        <f>IFERROR(__xludf.DUMMYFUNCTION("""COMPUTED_VALUE"""),5146.45)</f>
        <v>5146.45</v>
      </c>
      <c r="D2314" s="3">
        <f>IFERROR(__xludf.DUMMYFUNCTION("""COMPUTED_VALUE"""),5084.65)</f>
        <v>5084.65</v>
      </c>
      <c r="E2314" s="3">
        <f>IFERROR(__xludf.DUMMYFUNCTION("""COMPUTED_VALUE"""),5134.65)</f>
        <v>5134.65</v>
      </c>
      <c r="F2314" s="3">
        <f>IFERROR(__xludf.DUMMYFUNCTION("""COMPUTED_VALUE"""),0.0)</f>
        <v>0</v>
      </c>
    </row>
    <row r="2315">
      <c r="A2315" s="7">
        <f>IFERROR(__xludf.DUMMYFUNCTION("""COMPUTED_VALUE"""),40158.645833333336)</f>
        <v>40158.64583</v>
      </c>
      <c r="B2315" s="3">
        <f>IFERROR(__xludf.DUMMYFUNCTION("""COMPUTED_VALUE"""),5136.05)</f>
        <v>5136.05</v>
      </c>
      <c r="C2315" s="3">
        <f>IFERROR(__xludf.DUMMYFUNCTION("""COMPUTED_VALUE"""),5182.55)</f>
        <v>5182.55</v>
      </c>
      <c r="D2315" s="3">
        <f>IFERROR(__xludf.DUMMYFUNCTION("""COMPUTED_VALUE"""),5088.4)</f>
        <v>5088.4</v>
      </c>
      <c r="E2315" s="3">
        <f>IFERROR(__xludf.DUMMYFUNCTION("""COMPUTED_VALUE"""),5117.3)</f>
        <v>5117.3</v>
      </c>
      <c r="F2315" s="3">
        <f>IFERROR(__xludf.DUMMYFUNCTION("""COMPUTED_VALUE"""),0.0)</f>
        <v>0</v>
      </c>
    </row>
    <row r="2316">
      <c r="A2316" s="7">
        <f>IFERROR(__xludf.DUMMYFUNCTION("""COMPUTED_VALUE"""),40161.645833333336)</f>
        <v>40161.64583</v>
      </c>
      <c r="B2316" s="3">
        <f>IFERROR(__xludf.DUMMYFUNCTION("""COMPUTED_VALUE"""),5117.45)</f>
        <v>5117.45</v>
      </c>
      <c r="C2316" s="3">
        <f>IFERROR(__xludf.DUMMYFUNCTION("""COMPUTED_VALUE"""),5156.7)</f>
        <v>5156.7</v>
      </c>
      <c r="D2316" s="3">
        <f>IFERROR(__xludf.DUMMYFUNCTION("""COMPUTED_VALUE"""),5090.15)</f>
        <v>5090.15</v>
      </c>
      <c r="E2316" s="3">
        <f>IFERROR(__xludf.DUMMYFUNCTION("""COMPUTED_VALUE"""),5105.7)</f>
        <v>5105.7</v>
      </c>
      <c r="F2316" s="3">
        <f>IFERROR(__xludf.DUMMYFUNCTION("""COMPUTED_VALUE"""),0.0)</f>
        <v>0</v>
      </c>
    </row>
    <row r="2317">
      <c r="A2317" s="7">
        <f>IFERROR(__xludf.DUMMYFUNCTION("""COMPUTED_VALUE"""),40162.645833333336)</f>
        <v>40162.64583</v>
      </c>
      <c r="B2317" s="3">
        <f>IFERROR(__xludf.DUMMYFUNCTION("""COMPUTED_VALUE"""),5105.75)</f>
        <v>5105.75</v>
      </c>
      <c r="C2317" s="3">
        <f>IFERROR(__xludf.DUMMYFUNCTION("""COMPUTED_VALUE"""),5129.45)</f>
        <v>5129.45</v>
      </c>
      <c r="D2317" s="3">
        <f>IFERROR(__xludf.DUMMYFUNCTION("""COMPUTED_VALUE"""),5018.25)</f>
        <v>5018.25</v>
      </c>
      <c r="E2317" s="3">
        <f>IFERROR(__xludf.DUMMYFUNCTION("""COMPUTED_VALUE"""),5033.05)</f>
        <v>5033.05</v>
      </c>
      <c r="F2317" s="3">
        <f>IFERROR(__xludf.DUMMYFUNCTION("""COMPUTED_VALUE"""),0.0)</f>
        <v>0</v>
      </c>
    </row>
    <row r="2318">
      <c r="A2318" s="7">
        <f>IFERROR(__xludf.DUMMYFUNCTION("""COMPUTED_VALUE"""),40163.645833333336)</f>
        <v>40163.64583</v>
      </c>
      <c r="B2318" s="3">
        <f>IFERROR(__xludf.DUMMYFUNCTION("""COMPUTED_VALUE"""),5032.95)</f>
        <v>5032.95</v>
      </c>
      <c r="C2318" s="3">
        <f>IFERROR(__xludf.DUMMYFUNCTION("""COMPUTED_VALUE"""),5067.25)</f>
        <v>5067.25</v>
      </c>
      <c r="D2318" s="3">
        <f>IFERROR(__xludf.DUMMYFUNCTION("""COMPUTED_VALUE"""),5001.8)</f>
        <v>5001.8</v>
      </c>
      <c r="E2318" s="3">
        <f>IFERROR(__xludf.DUMMYFUNCTION("""COMPUTED_VALUE"""),5042.05)</f>
        <v>5042.05</v>
      </c>
      <c r="F2318" s="3">
        <f>IFERROR(__xludf.DUMMYFUNCTION("""COMPUTED_VALUE"""),0.0)</f>
        <v>0</v>
      </c>
    </row>
    <row r="2319">
      <c r="A2319" s="7">
        <f>IFERROR(__xludf.DUMMYFUNCTION("""COMPUTED_VALUE"""),40164.645833333336)</f>
        <v>40164.64583</v>
      </c>
      <c r="B2319" s="3">
        <f>IFERROR(__xludf.DUMMYFUNCTION("""COMPUTED_VALUE"""),5046.65)</f>
        <v>5046.65</v>
      </c>
      <c r="C2319" s="3">
        <f>IFERROR(__xludf.DUMMYFUNCTION("""COMPUTED_VALUE"""),5064.2)</f>
        <v>5064.2</v>
      </c>
      <c r="D2319" s="3">
        <f>IFERROR(__xludf.DUMMYFUNCTION("""COMPUTED_VALUE"""),5013.15)</f>
        <v>5013.15</v>
      </c>
      <c r="E2319" s="3">
        <f>IFERROR(__xludf.DUMMYFUNCTION("""COMPUTED_VALUE"""),5041.75)</f>
        <v>5041.75</v>
      </c>
      <c r="F2319" s="3">
        <f>IFERROR(__xludf.DUMMYFUNCTION("""COMPUTED_VALUE"""),0.0)</f>
        <v>0</v>
      </c>
    </row>
    <row r="2320">
      <c r="A2320" s="7">
        <f>IFERROR(__xludf.DUMMYFUNCTION("""COMPUTED_VALUE"""),40165.645833333336)</f>
        <v>40165.64583</v>
      </c>
      <c r="B2320" s="3">
        <f>IFERROR(__xludf.DUMMYFUNCTION("""COMPUTED_VALUE"""),5042.0)</f>
        <v>5042</v>
      </c>
      <c r="C2320" s="3">
        <f>IFERROR(__xludf.DUMMYFUNCTION("""COMPUTED_VALUE"""),5043.4)</f>
        <v>5043.4</v>
      </c>
      <c r="D2320" s="3">
        <f>IFERROR(__xludf.DUMMYFUNCTION("""COMPUTED_VALUE"""),4979.05)</f>
        <v>4979.05</v>
      </c>
      <c r="E2320" s="3">
        <f>IFERROR(__xludf.DUMMYFUNCTION("""COMPUTED_VALUE"""),4987.7)</f>
        <v>4987.7</v>
      </c>
      <c r="F2320" s="3">
        <f>IFERROR(__xludf.DUMMYFUNCTION("""COMPUTED_VALUE"""),0.0)</f>
        <v>0</v>
      </c>
    </row>
    <row r="2321">
      <c r="A2321" s="7">
        <f>IFERROR(__xludf.DUMMYFUNCTION("""COMPUTED_VALUE"""),40168.645833333336)</f>
        <v>40168.64583</v>
      </c>
      <c r="B2321" s="3">
        <f>IFERROR(__xludf.DUMMYFUNCTION("""COMPUTED_VALUE"""),4983.65)</f>
        <v>4983.65</v>
      </c>
      <c r="C2321" s="3">
        <f>IFERROR(__xludf.DUMMYFUNCTION("""COMPUTED_VALUE"""),4997.85)</f>
        <v>4997.85</v>
      </c>
      <c r="D2321" s="3">
        <f>IFERROR(__xludf.DUMMYFUNCTION("""COMPUTED_VALUE"""),4943.95)</f>
        <v>4943.95</v>
      </c>
      <c r="E2321" s="3">
        <f>IFERROR(__xludf.DUMMYFUNCTION("""COMPUTED_VALUE"""),4952.6)</f>
        <v>4952.6</v>
      </c>
      <c r="F2321" s="3">
        <f>IFERROR(__xludf.DUMMYFUNCTION("""COMPUTED_VALUE"""),0.0)</f>
        <v>0</v>
      </c>
    </row>
    <row r="2322">
      <c r="A2322" s="7">
        <f>IFERROR(__xludf.DUMMYFUNCTION("""COMPUTED_VALUE"""),40169.645833333336)</f>
        <v>40169.64583</v>
      </c>
      <c r="B2322" s="3">
        <f>IFERROR(__xludf.DUMMYFUNCTION("""COMPUTED_VALUE"""),4953.35)</f>
        <v>4953.35</v>
      </c>
      <c r="C2322" s="3">
        <f>IFERROR(__xludf.DUMMYFUNCTION("""COMPUTED_VALUE"""),4997.3)</f>
        <v>4997.3</v>
      </c>
      <c r="D2322" s="3">
        <f>IFERROR(__xludf.DUMMYFUNCTION("""COMPUTED_VALUE"""),4953.35)</f>
        <v>4953.35</v>
      </c>
      <c r="E2322" s="3">
        <f>IFERROR(__xludf.DUMMYFUNCTION("""COMPUTED_VALUE"""),4985.85)</f>
        <v>4985.85</v>
      </c>
      <c r="F2322" s="3">
        <f>IFERROR(__xludf.DUMMYFUNCTION("""COMPUTED_VALUE"""),0.0)</f>
        <v>0</v>
      </c>
    </row>
    <row r="2323">
      <c r="A2323" s="7">
        <f>IFERROR(__xludf.DUMMYFUNCTION("""COMPUTED_VALUE"""),40170.645833333336)</f>
        <v>40170.64583</v>
      </c>
      <c r="B2323" s="3">
        <f>IFERROR(__xludf.DUMMYFUNCTION("""COMPUTED_VALUE"""),4990.05)</f>
        <v>4990.05</v>
      </c>
      <c r="C2323" s="3">
        <f>IFERROR(__xludf.DUMMYFUNCTION("""COMPUTED_VALUE"""),5150.6)</f>
        <v>5150.6</v>
      </c>
      <c r="D2323" s="3">
        <f>IFERROR(__xludf.DUMMYFUNCTION("""COMPUTED_VALUE"""),4990.05)</f>
        <v>4990.05</v>
      </c>
      <c r="E2323" s="3">
        <f>IFERROR(__xludf.DUMMYFUNCTION("""COMPUTED_VALUE"""),5144.6)</f>
        <v>5144.6</v>
      </c>
      <c r="F2323" s="3">
        <f>IFERROR(__xludf.DUMMYFUNCTION("""COMPUTED_VALUE"""),0.0)</f>
        <v>0</v>
      </c>
    </row>
    <row r="2324">
      <c r="A2324" s="7">
        <f>IFERROR(__xludf.DUMMYFUNCTION("""COMPUTED_VALUE"""),40171.645833333336)</f>
        <v>40171.64583</v>
      </c>
      <c r="B2324" s="3">
        <f>IFERROR(__xludf.DUMMYFUNCTION("""COMPUTED_VALUE"""),5144.8)</f>
        <v>5144.8</v>
      </c>
      <c r="C2324" s="3">
        <f>IFERROR(__xludf.DUMMYFUNCTION("""COMPUTED_VALUE"""),5197.9)</f>
        <v>5197.9</v>
      </c>
      <c r="D2324" s="3">
        <f>IFERROR(__xludf.DUMMYFUNCTION("""COMPUTED_VALUE"""),5129.05)</f>
        <v>5129.05</v>
      </c>
      <c r="E2324" s="3">
        <f>IFERROR(__xludf.DUMMYFUNCTION("""COMPUTED_VALUE"""),5178.4)</f>
        <v>5178.4</v>
      </c>
      <c r="F2324" s="3">
        <f>IFERROR(__xludf.DUMMYFUNCTION("""COMPUTED_VALUE"""),0.0)</f>
        <v>0</v>
      </c>
    </row>
    <row r="2325">
      <c r="A2325" s="7">
        <f>IFERROR(__xludf.DUMMYFUNCTION("""COMPUTED_VALUE"""),40176.645833333336)</f>
        <v>40176.64583</v>
      </c>
      <c r="B2325" s="3">
        <f>IFERROR(__xludf.DUMMYFUNCTION("""COMPUTED_VALUE"""),5180.75)</f>
        <v>5180.75</v>
      </c>
      <c r="C2325" s="3">
        <f>IFERROR(__xludf.DUMMYFUNCTION("""COMPUTED_VALUE"""),5214.6)</f>
        <v>5214.6</v>
      </c>
      <c r="D2325" s="3">
        <f>IFERROR(__xludf.DUMMYFUNCTION("""COMPUTED_VALUE"""),5175.85)</f>
        <v>5175.85</v>
      </c>
      <c r="E2325" s="3">
        <f>IFERROR(__xludf.DUMMYFUNCTION("""COMPUTED_VALUE"""),5187.95)</f>
        <v>5187.95</v>
      </c>
      <c r="F2325" s="3">
        <f>IFERROR(__xludf.DUMMYFUNCTION("""COMPUTED_VALUE"""),0.0)</f>
        <v>0</v>
      </c>
    </row>
    <row r="2326">
      <c r="A2326" s="7">
        <f>IFERROR(__xludf.DUMMYFUNCTION("""COMPUTED_VALUE"""),40177.645833333336)</f>
        <v>40177.64583</v>
      </c>
      <c r="B2326" s="3">
        <f>IFERROR(__xludf.DUMMYFUNCTION("""COMPUTED_VALUE"""),5188.75)</f>
        <v>5188.75</v>
      </c>
      <c r="C2326" s="3">
        <f>IFERROR(__xludf.DUMMYFUNCTION("""COMPUTED_VALUE"""),5197.05)</f>
        <v>5197.05</v>
      </c>
      <c r="D2326" s="3">
        <f>IFERROR(__xludf.DUMMYFUNCTION("""COMPUTED_VALUE"""),5160.1)</f>
        <v>5160.1</v>
      </c>
      <c r="E2326" s="3">
        <f>IFERROR(__xludf.DUMMYFUNCTION("""COMPUTED_VALUE"""),5169.45)</f>
        <v>5169.45</v>
      </c>
      <c r="F2326" s="3">
        <f>IFERROR(__xludf.DUMMYFUNCTION("""COMPUTED_VALUE"""),0.0)</f>
        <v>0</v>
      </c>
    </row>
    <row r="2327">
      <c r="A2327" s="7">
        <f>IFERROR(__xludf.DUMMYFUNCTION("""COMPUTED_VALUE"""),40178.645833333336)</f>
        <v>40178.64583</v>
      </c>
      <c r="B2327" s="3">
        <f>IFERROR(__xludf.DUMMYFUNCTION("""COMPUTED_VALUE"""),5171.2)</f>
        <v>5171.2</v>
      </c>
      <c r="C2327" s="3">
        <f>IFERROR(__xludf.DUMMYFUNCTION("""COMPUTED_VALUE"""),5221.85)</f>
        <v>5221.85</v>
      </c>
      <c r="D2327" s="3">
        <f>IFERROR(__xludf.DUMMYFUNCTION("""COMPUTED_VALUE"""),5168.75)</f>
        <v>5168.75</v>
      </c>
      <c r="E2327" s="3">
        <f>IFERROR(__xludf.DUMMYFUNCTION("""COMPUTED_VALUE"""),5201.05)</f>
        <v>5201.05</v>
      </c>
      <c r="F2327" s="3">
        <f>IFERROR(__xludf.DUMMYFUNCTION("""COMPUTED_VALUE"""),0.0)</f>
        <v>0</v>
      </c>
    </row>
    <row r="2328">
      <c r="A2328" s="7">
        <f>IFERROR(__xludf.DUMMYFUNCTION("""COMPUTED_VALUE"""),40182.645833333336)</f>
        <v>40182.64583</v>
      </c>
      <c r="B2328" s="3">
        <f>IFERROR(__xludf.DUMMYFUNCTION("""COMPUTED_VALUE"""),5200.9)</f>
        <v>5200.9</v>
      </c>
      <c r="C2328" s="3">
        <f>IFERROR(__xludf.DUMMYFUNCTION("""COMPUTED_VALUE"""),5238.45)</f>
        <v>5238.45</v>
      </c>
      <c r="D2328" s="3">
        <f>IFERROR(__xludf.DUMMYFUNCTION("""COMPUTED_VALUE"""),5167.1)</f>
        <v>5167.1</v>
      </c>
      <c r="E2328" s="3">
        <f>IFERROR(__xludf.DUMMYFUNCTION("""COMPUTED_VALUE"""),5232.2)</f>
        <v>5232.2</v>
      </c>
      <c r="F2328" s="3">
        <f>IFERROR(__xludf.DUMMYFUNCTION("""COMPUTED_VALUE"""),0.0)</f>
        <v>0</v>
      </c>
    </row>
    <row r="2329">
      <c r="A2329" s="7">
        <f>IFERROR(__xludf.DUMMYFUNCTION("""COMPUTED_VALUE"""),40183.645833333336)</f>
        <v>40183.64583</v>
      </c>
      <c r="B2329" s="3">
        <f>IFERROR(__xludf.DUMMYFUNCTION("""COMPUTED_VALUE"""),5277.15)</f>
        <v>5277.15</v>
      </c>
      <c r="C2329" s="3">
        <f>IFERROR(__xludf.DUMMYFUNCTION("""COMPUTED_VALUE"""),5288.35)</f>
        <v>5288.35</v>
      </c>
      <c r="D2329" s="3">
        <f>IFERROR(__xludf.DUMMYFUNCTION("""COMPUTED_VALUE"""),5242.4)</f>
        <v>5242.4</v>
      </c>
      <c r="E2329" s="3">
        <f>IFERROR(__xludf.DUMMYFUNCTION("""COMPUTED_VALUE"""),5277.9)</f>
        <v>5277.9</v>
      </c>
      <c r="F2329" s="3">
        <f>IFERROR(__xludf.DUMMYFUNCTION("""COMPUTED_VALUE"""),0.0)</f>
        <v>0</v>
      </c>
    </row>
    <row r="2330">
      <c r="A2330" s="7">
        <f>IFERROR(__xludf.DUMMYFUNCTION("""COMPUTED_VALUE"""),40184.645833333336)</f>
        <v>40184.64583</v>
      </c>
      <c r="B2330" s="3">
        <f>IFERROR(__xludf.DUMMYFUNCTION("""COMPUTED_VALUE"""),5278.15)</f>
        <v>5278.15</v>
      </c>
      <c r="C2330" s="3">
        <f>IFERROR(__xludf.DUMMYFUNCTION("""COMPUTED_VALUE"""),5310.85)</f>
        <v>5310.85</v>
      </c>
      <c r="D2330" s="3">
        <f>IFERROR(__xludf.DUMMYFUNCTION("""COMPUTED_VALUE"""),5260.05)</f>
        <v>5260.05</v>
      </c>
      <c r="E2330" s="3">
        <f>IFERROR(__xludf.DUMMYFUNCTION("""COMPUTED_VALUE"""),5281.8)</f>
        <v>5281.8</v>
      </c>
      <c r="F2330" s="3">
        <f>IFERROR(__xludf.DUMMYFUNCTION("""COMPUTED_VALUE"""),0.0)</f>
        <v>0</v>
      </c>
    </row>
    <row r="2331">
      <c r="A2331" s="7">
        <f>IFERROR(__xludf.DUMMYFUNCTION("""COMPUTED_VALUE"""),40185.645833333336)</f>
        <v>40185.64583</v>
      </c>
      <c r="B2331" s="3">
        <f>IFERROR(__xludf.DUMMYFUNCTION("""COMPUTED_VALUE"""),5281.8)</f>
        <v>5281.8</v>
      </c>
      <c r="C2331" s="3">
        <f>IFERROR(__xludf.DUMMYFUNCTION("""COMPUTED_VALUE"""),5302.55)</f>
        <v>5302.55</v>
      </c>
      <c r="D2331" s="3">
        <f>IFERROR(__xludf.DUMMYFUNCTION("""COMPUTED_VALUE"""),5244.75)</f>
        <v>5244.75</v>
      </c>
      <c r="E2331" s="3">
        <f>IFERROR(__xludf.DUMMYFUNCTION("""COMPUTED_VALUE"""),5263.1)</f>
        <v>5263.1</v>
      </c>
      <c r="F2331" s="3">
        <f>IFERROR(__xludf.DUMMYFUNCTION("""COMPUTED_VALUE"""),0.0)</f>
        <v>0</v>
      </c>
    </row>
    <row r="2332">
      <c r="A2332" s="7">
        <f>IFERROR(__xludf.DUMMYFUNCTION("""COMPUTED_VALUE"""),40186.645833333336)</f>
        <v>40186.64583</v>
      </c>
      <c r="B2332" s="3">
        <f>IFERROR(__xludf.DUMMYFUNCTION("""COMPUTED_VALUE"""),5264.25)</f>
        <v>5264.25</v>
      </c>
      <c r="C2332" s="3">
        <f>IFERROR(__xludf.DUMMYFUNCTION("""COMPUTED_VALUE"""),5276.75)</f>
        <v>5276.75</v>
      </c>
      <c r="D2332" s="3">
        <f>IFERROR(__xludf.DUMMYFUNCTION("""COMPUTED_VALUE"""),5234.7)</f>
        <v>5234.7</v>
      </c>
      <c r="E2332" s="3">
        <f>IFERROR(__xludf.DUMMYFUNCTION("""COMPUTED_VALUE"""),5244.75)</f>
        <v>5244.75</v>
      </c>
      <c r="F2332" s="3">
        <f>IFERROR(__xludf.DUMMYFUNCTION("""COMPUTED_VALUE"""),0.0)</f>
        <v>0</v>
      </c>
    </row>
    <row r="2333">
      <c r="A2333" s="7">
        <f>IFERROR(__xludf.DUMMYFUNCTION("""COMPUTED_VALUE"""),40189.645833333336)</f>
        <v>40189.64583</v>
      </c>
      <c r="B2333" s="3">
        <f>IFERROR(__xludf.DUMMYFUNCTION("""COMPUTED_VALUE"""),5263.8)</f>
        <v>5263.8</v>
      </c>
      <c r="C2333" s="3">
        <f>IFERROR(__xludf.DUMMYFUNCTION("""COMPUTED_VALUE"""),5287.2)</f>
        <v>5287.2</v>
      </c>
      <c r="D2333" s="3">
        <f>IFERROR(__xludf.DUMMYFUNCTION("""COMPUTED_VALUE"""),5227.8)</f>
        <v>5227.8</v>
      </c>
      <c r="E2333" s="3">
        <f>IFERROR(__xludf.DUMMYFUNCTION("""COMPUTED_VALUE"""),5249.4)</f>
        <v>5249.4</v>
      </c>
      <c r="F2333" s="3">
        <f>IFERROR(__xludf.DUMMYFUNCTION("""COMPUTED_VALUE"""),0.0)</f>
        <v>0</v>
      </c>
    </row>
    <row r="2334">
      <c r="A2334" s="7">
        <f>IFERROR(__xludf.DUMMYFUNCTION("""COMPUTED_VALUE"""),40190.645833333336)</f>
        <v>40190.64583</v>
      </c>
      <c r="B2334" s="3">
        <f>IFERROR(__xludf.DUMMYFUNCTION("""COMPUTED_VALUE"""),5251.1)</f>
        <v>5251.1</v>
      </c>
      <c r="C2334" s="3">
        <f>IFERROR(__xludf.DUMMYFUNCTION("""COMPUTED_VALUE"""),5300.5)</f>
        <v>5300.5</v>
      </c>
      <c r="D2334" s="3">
        <f>IFERROR(__xludf.DUMMYFUNCTION("""COMPUTED_VALUE"""),5200.95)</f>
        <v>5200.95</v>
      </c>
      <c r="E2334" s="3">
        <f>IFERROR(__xludf.DUMMYFUNCTION("""COMPUTED_VALUE"""),5210.4)</f>
        <v>5210.4</v>
      </c>
      <c r="F2334" s="3">
        <f>IFERROR(__xludf.DUMMYFUNCTION("""COMPUTED_VALUE"""),0.0)</f>
        <v>0</v>
      </c>
    </row>
    <row r="2335">
      <c r="A2335" s="7">
        <f>IFERROR(__xludf.DUMMYFUNCTION("""COMPUTED_VALUE"""),40191.645833333336)</f>
        <v>40191.64583</v>
      </c>
      <c r="B2335" s="3">
        <f>IFERROR(__xludf.DUMMYFUNCTION("""COMPUTED_VALUE"""),5212.6)</f>
        <v>5212.6</v>
      </c>
      <c r="C2335" s="3">
        <f>IFERROR(__xludf.DUMMYFUNCTION("""COMPUTED_VALUE"""),5239.2)</f>
        <v>5239.2</v>
      </c>
      <c r="D2335" s="3">
        <f>IFERROR(__xludf.DUMMYFUNCTION("""COMPUTED_VALUE"""),5169.55)</f>
        <v>5169.55</v>
      </c>
      <c r="E2335" s="3">
        <f>IFERROR(__xludf.DUMMYFUNCTION("""COMPUTED_VALUE"""),5233.95)</f>
        <v>5233.95</v>
      </c>
      <c r="F2335" s="3">
        <f>IFERROR(__xludf.DUMMYFUNCTION("""COMPUTED_VALUE"""),0.0)</f>
        <v>0</v>
      </c>
    </row>
    <row r="2336">
      <c r="A2336" s="7">
        <f>IFERROR(__xludf.DUMMYFUNCTION("""COMPUTED_VALUE"""),40192.645833333336)</f>
        <v>40192.64583</v>
      </c>
      <c r="B2336" s="3">
        <f>IFERROR(__xludf.DUMMYFUNCTION("""COMPUTED_VALUE"""),5234.5)</f>
        <v>5234.5</v>
      </c>
      <c r="C2336" s="3">
        <f>IFERROR(__xludf.DUMMYFUNCTION("""COMPUTED_VALUE"""),5272.85)</f>
        <v>5272.85</v>
      </c>
      <c r="D2336" s="3">
        <f>IFERROR(__xludf.DUMMYFUNCTION("""COMPUTED_VALUE"""),5232.5)</f>
        <v>5232.5</v>
      </c>
      <c r="E2336" s="3">
        <f>IFERROR(__xludf.DUMMYFUNCTION("""COMPUTED_VALUE"""),5259.9)</f>
        <v>5259.9</v>
      </c>
      <c r="F2336" s="3">
        <f>IFERROR(__xludf.DUMMYFUNCTION("""COMPUTED_VALUE"""),0.0)</f>
        <v>0</v>
      </c>
    </row>
    <row r="2337">
      <c r="A2337" s="7">
        <f>IFERROR(__xludf.DUMMYFUNCTION("""COMPUTED_VALUE"""),40193.645833333336)</f>
        <v>40193.64583</v>
      </c>
      <c r="B2337" s="3">
        <f>IFERROR(__xludf.DUMMYFUNCTION("""COMPUTED_VALUE"""),5259.9)</f>
        <v>5259.9</v>
      </c>
      <c r="C2337" s="3">
        <f>IFERROR(__xludf.DUMMYFUNCTION("""COMPUTED_VALUE"""),5279.85)</f>
        <v>5279.85</v>
      </c>
      <c r="D2337" s="3">
        <f>IFERROR(__xludf.DUMMYFUNCTION("""COMPUTED_VALUE"""),5242.45)</f>
        <v>5242.45</v>
      </c>
      <c r="E2337" s="3">
        <f>IFERROR(__xludf.DUMMYFUNCTION("""COMPUTED_VALUE"""),5252.2)</f>
        <v>5252.2</v>
      </c>
      <c r="F2337" s="3">
        <f>IFERROR(__xludf.DUMMYFUNCTION("""COMPUTED_VALUE"""),0.0)</f>
        <v>0</v>
      </c>
    </row>
    <row r="2338">
      <c r="A2338" s="7">
        <f>IFERROR(__xludf.DUMMYFUNCTION("""COMPUTED_VALUE"""),40196.645833333336)</f>
        <v>40196.64583</v>
      </c>
      <c r="B2338" s="3">
        <f>IFERROR(__xludf.DUMMYFUNCTION("""COMPUTED_VALUE"""),5253.65)</f>
        <v>5253.65</v>
      </c>
      <c r="C2338" s="3">
        <f>IFERROR(__xludf.DUMMYFUNCTION("""COMPUTED_VALUE"""),5292.5)</f>
        <v>5292.5</v>
      </c>
      <c r="D2338" s="3">
        <f>IFERROR(__xludf.DUMMYFUNCTION("""COMPUTED_VALUE"""),5228.95)</f>
        <v>5228.95</v>
      </c>
      <c r="E2338" s="3">
        <f>IFERROR(__xludf.DUMMYFUNCTION("""COMPUTED_VALUE"""),5274.85)</f>
        <v>5274.85</v>
      </c>
      <c r="F2338" s="3">
        <f>IFERROR(__xludf.DUMMYFUNCTION("""COMPUTED_VALUE"""),0.0)</f>
        <v>0</v>
      </c>
    </row>
    <row r="2339">
      <c r="A2339" s="7">
        <f>IFERROR(__xludf.DUMMYFUNCTION("""COMPUTED_VALUE"""),40197.645833333336)</f>
        <v>40197.64583</v>
      </c>
      <c r="B2339" s="3">
        <f>IFERROR(__xludf.DUMMYFUNCTION("""COMPUTED_VALUE"""),5274.2)</f>
        <v>5274.2</v>
      </c>
      <c r="C2339" s="3">
        <f>IFERROR(__xludf.DUMMYFUNCTION("""COMPUTED_VALUE"""),5287.8)</f>
        <v>5287.8</v>
      </c>
      <c r="D2339" s="3">
        <f>IFERROR(__xludf.DUMMYFUNCTION("""COMPUTED_VALUE"""),5218.65)</f>
        <v>5218.65</v>
      </c>
      <c r="E2339" s="3">
        <f>IFERROR(__xludf.DUMMYFUNCTION("""COMPUTED_VALUE"""),5225.65)</f>
        <v>5225.65</v>
      </c>
      <c r="F2339" s="3">
        <f>IFERROR(__xludf.DUMMYFUNCTION("""COMPUTED_VALUE"""),0.0)</f>
        <v>0</v>
      </c>
    </row>
    <row r="2340">
      <c r="A2340" s="7">
        <f>IFERROR(__xludf.DUMMYFUNCTION("""COMPUTED_VALUE"""),40198.645833333336)</f>
        <v>40198.64583</v>
      </c>
      <c r="B2340" s="3">
        <f>IFERROR(__xludf.DUMMYFUNCTION("""COMPUTED_VALUE"""),5226.1)</f>
        <v>5226.1</v>
      </c>
      <c r="C2340" s="3">
        <f>IFERROR(__xludf.DUMMYFUNCTION("""COMPUTED_VALUE"""),5256.7)</f>
        <v>5256.7</v>
      </c>
      <c r="D2340" s="3">
        <f>IFERROR(__xludf.DUMMYFUNCTION("""COMPUTED_VALUE"""),5201.4)</f>
        <v>5201.4</v>
      </c>
      <c r="E2340" s="3">
        <f>IFERROR(__xludf.DUMMYFUNCTION("""COMPUTED_VALUE"""),5221.7)</f>
        <v>5221.7</v>
      </c>
      <c r="F2340" s="3">
        <f>IFERROR(__xludf.DUMMYFUNCTION("""COMPUTED_VALUE"""),0.0)</f>
        <v>0</v>
      </c>
    </row>
    <row r="2341">
      <c r="A2341" s="7">
        <f>IFERROR(__xludf.DUMMYFUNCTION("""COMPUTED_VALUE"""),40199.645833333336)</f>
        <v>40199.64583</v>
      </c>
      <c r="B2341" s="3">
        <f>IFERROR(__xludf.DUMMYFUNCTION("""COMPUTED_VALUE"""),5220.2)</f>
        <v>5220.2</v>
      </c>
      <c r="C2341" s="3">
        <f>IFERROR(__xludf.DUMMYFUNCTION("""COMPUTED_VALUE"""),5220.35)</f>
        <v>5220.35</v>
      </c>
      <c r="D2341" s="3">
        <f>IFERROR(__xludf.DUMMYFUNCTION("""COMPUTED_VALUE"""),5085.45)</f>
        <v>5085.45</v>
      </c>
      <c r="E2341" s="3">
        <f>IFERROR(__xludf.DUMMYFUNCTION("""COMPUTED_VALUE"""),5094.15)</f>
        <v>5094.15</v>
      </c>
      <c r="F2341" s="3">
        <f>IFERROR(__xludf.DUMMYFUNCTION("""COMPUTED_VALUE"""),0.0)</f>
        <v>0</v>
      </c>
    </row>
    <row r="2342">
      <c r="A2342" s="7">
        <f>IFERROR(__xludf.DUMMYFUNCTION("""COMPUTED_VALUE"""),40200.645833333336)</f>
        <v>40200.64583</v>
      </c>
      <c r="B2342" s="3">
        <f>IFERROR(__xludf.DUMMYFUNCTION("""COMPUTED_VALUE"""),5094.15)</f>
        <v>5094.15</v>
      </c>
      <c r="C2342" s="3">
        <f>IFERROR(__xludf.DUMMYFUNCTION("""COMPUTED_VALUE"""),5094.15)</f>
        <v>5094.15</v>
      </c>
      <c r="D2342" s="3">
        <f>IFERROR(__xludf.DUMMYFUNCTION("""COMPUTED_VALUE"""),4954.85)</f>
        <v>4954.85</v>
      </c>
      <c r="E2342" s="3">
        <f>IFERROR(__xludf.DUMMYFUNCTION("""COMPUTED_VALUE"""),5036.0)</f>
        <v>5036</v>
      </c>
      <c r="F2342" s="3">
        <f>IFERROR(__xludf.DUMMYFUNCTION("""COMPUTED_VALUE"""),0.0)</f>
        <v>0</v>
      </c>
    </row>
    <row r="2343">
      <c r="A2343" s="7">
        <f>IFERROR(__xludf.DUMMYFUNCTION("""COMPUTED_VALUE"""),40203.645833333336)</f>
        <v>40203.64583</v>
      </c>
      <c r="B2343" s="3">
        <f>IFERROR(__xludf.DUMMYFUNCTION("""COMPUTED_VALUE"""),5034.55)</f>
        <v>5034.55</v>
      </c>
      <c r="C2343" s="3">
        <f>IFERROR(__xludf.DUMMYFUNCTION("""COMPUTED_VALUE"""),5035.7)</f>
        <v>5035.7</v>
      </c>
      <c r="D2343" s="3">
        <f>IFERROR(__xludf.DUMMYFUNCTION("""COMPUTED_VALUE"""),4983.05)</f>
        <v>4983.05</v>
      </c>
      <c r="E2343" s="3">
        <f>IFERROR(__xludf.DUMMYFUNCTION("""COMPUTED_VALUE"""),5007.9)</f>
        <v>5007.9</v>
      </c>
      <c r="F2343" s="3">
        <f>IFERROR(__xludf.DUMMYFUNCTION("""COMPUTED_VALUE"""),0.0)</f>
        <v>0</v>
      </c>
    </row>
    <row r="2344">
      <c r="A2344" s="7">
        <f>IFERROR(__xludf.DUMMYFUNCTION("""COMPUTED_VALUE"""),40205.645833333336)</f>
        <v>40205.64583</v>
      </c>
      <c r="B2344" s="3">
        <f>IFERROR(__xludf.DUMMYFUNCTION("""COMPUTED_VALUE"""),5008.5)</f>
        <v>5008.5</v>
      </c>
      <c r="C2344" s="3">
        <f>IFERROR(__xludf.DUMMYFUNCTION("""COMPUTED_VALUE"""),5008.5)</f>
        <v>5008.5</v>
      </c>
      <c r="D2344" s="3">
        <f>IFERROR(__xludf.DUMMYFUNCTION("""COMPUTED_VALUE"""),4833.05)</f>
        <v>4833.05</v>
      </c>
      <c r="E2344" s="3">
        <f>IFERROR(__xludf.DUMMYFUNCTION("""COMPUTED_VALUE"""),4853.1)</f>
        <v>4853.1</v>
      </c>
      <c r="F2344" s="3">
        <f>IFERROR(__xludf.DUMMYFUNCTION("""COMPUTED_VALUE"""),0.0)</f>
        <v>0</v>
      </c>
    </row>
    <row r="2345">
      <c r="A2345" s="7">
        <f>IFERROR(__xludf.DUMMYFUNCTION("""COMPUTED_VALUE"""),40206.645833333336)</f>
        <v>40206.64583</v>
      </c>
      <c r="B2345" s="3">
        <f>IFERROR(__xludf.DUMMYFUNCTION("""COMPUTED_VALUE"""),4863.0)</f>
        <v>4863</v>
      </c>
      <c r="C2345" s="3">
        <f>IFERROR(__xludf.DUMMYFUNCTION("""COMPUTED_VALUE"""),4929.9)</f>
        <v>4929.9</v>
      </c>
      <c r="D2345" s="3">
        <f>IFERROR(__xludf.DUMMYFUNCTION("""COMPUTED_VALUE"""),4824.95)</f>
        <v>4824.95</v>
      </c>
      <c r="E2345" s="3">
        <f>IFERROR(__xludf.DUMMYFUNCTION("""COMPUTED_VALUE"""),4867.25)</f>
        <v>4867.25</v>
      </c>
      <c r="F2345" s="3">
        <f>IFERROR(__xludf.DUMMYFUNCTION("""COMPUTED_VALUE"""),0.0)</f>
        <v>0</v>
      </c>
    </row>
    <row r="2346">
      <c r="A2346" s="7">
        <f>IFERROR(__xludf.DUMMYFUNCTION("""COMPUTED_VALUE"""),40207.645833333336)</f>
        <v>40207.64583</v>
      </c>
      <c r="B2346" s="3">
        <f>IFERROR(__xludf.DUMMYFUNCTION("""COMPUTED_VALUE"""),4866.15)</f>
        <v>4866.15</v>
      </c>
      <c r="C2346" s="3">
        <f>IFERROR(__xludf.DUMMYFUNCTION("""COMPUTED_VALUE"""),4893.7)</f>
        <v>4893.7</v>
      </c>
      <c r="D2346" s="3">
        <f>IFERROR(__xludf.DUMMYFUNCTION("""COMPUTED_VALUE"""),4766.0)</f>
        <v>4766</v>
      </c>
      <c r="E2346" s="3">
        <f>IFERROR(__xludf.DUMMYFUNCTION("""COMPUTED_VALUE"""),4882.05)</f>
        <v>4882.05</v>
      </c>
      <c r="F2346" s="3">
        <f>IFERROR(__xludf.DUMMYFUNCTION("""COMPUTED_VALUE"""),0.0)</f>
        <v>0</v>
      </c>
    </row>
    <row r="2347">
      <c r="A2347" s="7">
        <f>IFERROR(__xludf.DUMMYFUNCTION("""COMPUTED_VALUE"""),40210.645833333336)</f>
        <v>40210.64583</v>
      </c>
      <c r="B2347" s="3">
        <f>IFERROR(__xludf.DUMMYFUNCTION("""COMPUTED_VALUE"""),4882.05)</f>
        <v>4882.05</v>
      </c>
      <c r="C2347" s="3">
        <f>IFERROR(__xludf.DUMMYFUNCTION("""COMPUTED_VALUE"""),4918.8)</f>
        <v>4918.8</v>
      </c>
      <c r="D2347" s="3">
        <f>IFERROR(__xludf.DUMMYFUNCTION("""COMPUTED_VALUE"""),4827.15)</f>
        <v>4827.15</v>
      </c>
      <c r="E2347" s="3">
        <f>IFERROR(__xludf.DUMMYFUNCTION("""COMPUTED_VALUE"""),4899.7)</f>
        <v>4899.7</v>
      </c>
      <c r="F2347" s="3">
        <f>IFERROR(__xludf.DUMMYFUNCTION("""COMPUTED_VALUE"""),0.0)</f>
        <v>0</v>
      </c>
    </row>
    <row r="2348">
      <c r="A2348" s="7">
        <f>IFERROR(__xludf.DUMMYFUNCTION("""COMPUTED_VALUE"""),40211.645833333336)</f>
        <v>40211.64583</v>
      </c>
      <c r="B2348" s="3">
        <f>IFERROR(__xludf.DUMMYFUNCTION("""COMPUTED_VALUE"""),4907.85)</f>
        <v>4907.85</v>
      </c>
      <c r="C2348" s="3">
        <f>IFERROR(__xludf.DUMMYFUNCTION("""COMPUTED_VALUE"""),4951.15)</f>
        <v>4951.15</v>
      </c>
      <c r="D2348" s="3">
        <f>IFERROR(__xludf.DUMMYFUNCTION("""COMPUTED_VALUE"""),4814.1)</f>
        <v>4814.1</v>
      </c>
      <c r="E2348" s="3">
        <f>IFERROR(__xludf.DUMMYFUNCTION("""COMPUTED_VALUE"""),4830.1)</f>
        <v>4830.1</v>
      </c>
      <c r="F2348" s="3">
        <f>IFERROR(__xludf.DUMMYFUNCTION("""COMPUTED_VALUE"""),0.0)</f>
        <v>0</v>
      </c>
    </row>
    <row r="2349">
      <c r="A2349" s="7">
        <f>IFERROR(__xludf.DUMMYFUNCTION("""COMPUTED_VALUE"""),40212.645833333336)</f>
        <v>40212.64583</v>
      </c>
      <c r="B2349" s="3">
        <f>IFERROR(__xludf.DUMMYFUNCTION("""COMPUTED_VALUE"""),4831.0)</f>
        <v>4831</v>
      </c>
      <c r="C2349" s="3">
        <f>IFERROR(__xludf.DUMMYFUNCTION("""COMPUTED_VALUE"""),4949.15)</f>
        <v>4949.15</v>
      </c>
      <c r="D2349" s="3">
        <f>IFERROR(__xludf.DUMMYFUNCTION("""COMPUTED_VALUE"""),4831.0)</f>
        <v>4831</v>
      </c>
      <c r="E2349" s="3">
        <f>IFERROR(__xludf.DUMMYFUNCTION("""COMPUTED_VALUE"""),4931.85)</f>
        <v>4931.85</v>
      </c>
      <c r="F2349" s="3">
        <f>IFERROR(__xludf.DUMMYFUNCTION("""COMPUTED_VALUE"""),0.0)</f>
        <v>0</v>
      </c>
    </row>
    <row r="2350">
      <c r="A2350" s="7">
        <f>IFERROR(__xludf.DUMMYFUNCTION("""COMPUTED_VALUE"""),40213.645833333336)</f>
        <v>40213.64583</v>
      </c>
      <c r="B2350" s="3">
        <f>IFERROR(__xludf.DUMMYFUNCTION("""COMPUTED_VALUE"""),4931.3)</f>
        <v>4931.3</v>
      </c>
      <c r="C2350" s="3">
        <f>IFERROR(__xludf.DUMMYFUNCTION("""COMPUTED_VALUE"""),4931.3)</f>
        <v>4931.3</v>
      </c>
      <c r="D2350" s="3">
        <f>IFERROR(__xludf.DUMMYFUNCTION("""COMPUTED_VALUE"""),4832.35)</f>
        <v>4832.35</v>
      </c>
      <c r="E2350" s="3">
        <f>IFERROR(__xludf.DUMMYFUNCTION("""COMPUTED_VALUE"""),4845.35)</f>
        <v>4845.35</v>
      </c>
      <c r="F2350" s="3">
        <f>IFERROR(__xludf.DUMMYFUNCTION("""COMPUTED_VALUE"""),0.0)</f>
        <v>0</v>
      </c>
    </row>
    <row r="2351">
      <c r="A2351" s="7">
        <f>IFERROR(__xludf.DUMMYFUNCTION("""COMPUTED_VALUE"""),40214.645833333336)</f>
        <v>40214.64583</v>
      </c>
      <c r="B2351" s="3">
        <f>IFERROR(__xludf.DUMMYFUNCTION("""COMPUTED_VALUE"""),4819.65)</f>
        <v>4819.65</v>
      </c>
      <c r="C2351" s="3">
        <f>IFERROR(__xludf.DUMMYFUNCTION("""COMPUTED_VALUE"""),4827.0)</f>
        <v>4827</v>
      </c>
      <c r="D2351" s="3">
        <f>IFERROR(__xludf.DUMMYFUNCTION("""COMPUTED_VALUE"""),4692.35)</f>
        <v>4692.35</v>
      </c>
      <c r="E2351" s="3">
        <f>IFERROR(__xludf.DUMMYFUNCTION("""COMPUTED_VALUE"""),4718.65)</f>
        <v>4718.65</v>
      </c>
      <c r="F2351" s="3">
        <f>IFERROR(__xludf.DUMMYFUNCTION("""COMPUTED_VALUE"""),0.0)</f>
        <v>0</v>
      </c>
    </row>
    <row r="2352">
      <c r="A2352" s="7">
        <f>IFERROR(__xludf.DUMMYFUNCTION("""COMPUTED_VALUE"""),40217.645833333336)</f>
        <v>40217.64583</v>
      </c>
      <c r="B2352" s="3">
        <f>IFERROR(__xludf.DUMMYFUNCTION("""COMPUTED_VALUE"""),4755.35)</f>
        <v>4755.35</v>
      </c>
      <c r="C2352" s="3">
        <f>IFERROR(__xludf.DUMMYFUNCTION("""COMPUTED_VALUE"""),4799.05)</f>
        <v>4799.05</v>
      </c>
      <c r="D2352" s="3">
        <f>IFERROR(__xludf.DUMMYFUNCTION("""COMPUTED_VALUE"""),4675.4)</f>
        <v>4675.4</v>
      </c>
      <c r="E2352" s="3">
        <f>IFERROR(__xludf.DUMMYFUNCTION("""COMPUTED_VALUE"""),4760.4)</f>
        <v>4760.4</v>
      </c>
      <c r="F2352" s="3">
        <f>IFERROR(__xludf.DUMMYFUNCTION("""COMPUTED_VALUE"""),0.0)</f>
        <v>0</v>
      </c>
    </row>
    <row r="2353">
      <c r="A2353" s="7">
        <f>IFERROR(__xludf.DUMMYFUNCTION("""COMPUTED_VALUE"""),40218.645833333336)</f>
        <v>40218.64583</v>
      </c>
      <c r="B2353" s="3">
        <f>IFERROR(__xludf.DUMMYFUNCTION("""COMPUTED_VALUE"""),4760.55)</f>
        <v>4760.55</v>
      </c>
      <c r="C2353" s="3">
        <f>IFERROR(__xludf.DUMMYFUNCTION("""COMPUTED_VALUE"""),4810.4)</f>
        <v>4810.4</v>
      </c>
      <c r="D2353" s="3">
        <f>IFERROR(__xludf.DUMMYFUNCTION("""COMPUTED_VALUE"""),4739.35)</f>
        <v>4739.35</v>
      </c>
      <c r="E2353" s="3">
        <f>IFERROR(__xludf.DUMMYFUNCTION("""COMPUTED_VALUE"""),4792.65)</f>
        <v>4792.65</v>
      </c>
      <c r="F2353" s="3">
        <f>IFERROR(__xludf.DUMMYFUNCTION("""COMPUTED_VALUE"""),0.0)</f>
        <v>0</v>
      </c>
    </row>
    <row r="2354">
      <c r="A2354" s="7">
        <f>IFERROR(__xludf.DUMMYFUNCTION("""COMPUTED_VALUE"""),40219.645833333336)</f>
        <v>40219.64583</v>
      </c>
      <c r="B2354" s="3">
        <f>IFERROR(__xludf.DUMMYFUNCTION("""COMPUTED_VALUE"""),4793.0)</f>
        <v>4793</v>
      </c>
      <c r="C2354" s="3">
        <f>IFERROR(__xludf.DUMMYFUNCTION("""COMPUTED_VALUE"""),4826.85)</f>
        <v>4826.85</v>
      </c>
      <c r="D2354" s="3">
        <f>IFERROR(__xludf.DUMMYFUNCTION("""COMPUTED_VALUE"""),4748.1)</f>
        <v>4748.1</v>
      </c>
      <c r="E2354" s="3">
        <f>IFERROR(__xludf.DUMMYFUNCTION("""COMPUTED_VALUE"""),4757.2)</f>
        <v>4757.2</v>
      </c>
      <c r="F2354" s="3">
        <f>IFERROR(__xludf.DUMMYFUNCTION("""COMPUTED_VALUE"""),0.0)</f>
        <v>0</v>
      </c>
    </row>
    <row r="2355">
      <c r="A2355" s="7">
        <f>IFERROR(__xludf.DUMMYFUNCTION("""COMPUTED_VALUE"""),40220.645833333336)</f>
        <v>40220.64583</v>
      </c>
      <c r="B2355" s="3">
        <f>IFERROR(__xludf.DUMMYFUNCTION("""COMPUTED_VALUE"""),4757.25)</f>
        <v>4757.25</v>
      </c>
      <c r="C2355" s="3">
        <f>IFERROR(__xludf.DUMMYFUNCTION("""COMPUTED_VALUE"""),4843.8)</f>
        <v>4843.8</v>
      </c>
      <c r="D2355" s="3">
        <f>IFERROR(__xludf.DUMMYFUNCTION("""COMPUTED_VALUE"""),4757.25)</f>
        <v>4757.25</v>
      </c>
      <c r="E2355" s="3">
        <f>IFERROR(__xludf.DUMMYFUNCTION("""COMPUTED_VALUE"""),4826.85)</f>
        <v>4826.85</v>
      </c>
      <c r="F2355" s="3">
        <f>IFERROR(__xludf.DUMMYFUNCTION("""COMPUTED_VALUE"""),0.0)</f>
        <v>0</v>
      </c>
    </row>
    <row r="2356">
      <c r="A2356" s="7">
        <f>IFERROR(__xludf.DUMMYFUNCTION("""COMPUTED_VALUE"""),40224.645833333336)</f>
        <v>40224.64583</v>
      </c>
      <c r="B2356" s="3">
        <f>IFERROR(__xludf.DUMMYFUNCTION("""COMPUTED_VALUE"""),4827.9)</f>
        <v>4827.9</v>
      </c>
      <c r="C2356" s="3">
        <f>IFERROR(__xludf.DUMMYFUNCTION("""COMPUTED_VALUE"""),4845.6)</f>
        <v>4845.6</v>
      </c>
      <c r="D2356" s="3">
        <f>IFERROR(__xludf.DUMMYFUNCTION("""COMPUTED_VALUE"""),4783.9)</f>
        <v>4783.9</v>
      </c>
      <c r="E2356" s="3">
        <f>IFERROR(__xludf.DUMMYFUNCTION("""COMPUTED_VALUE"""),4801.95)</f>
        <v>4801.95</v>
      </c>
      <c r="F2356" s="3">
        <f>IFERROR(__xludf.DUMMYFUNCTION("""COMPUTED_VALUE"""),0.0)</f>
        <v>0</v>
      </c>
    </row>
    <row r="2357">
      <c r="A2357" s="7">
        <f>IFERROR(__xludf.DUMMYFUNCTION("""COMPUTED_VALUE"""),40225.645833333336)</f>
        <v>40225.64583</v>
      </c>
      <c r="B2357" s="3">
        <f>IFERROR(__xludf.DUMMYFUNCTION("""COMPUTED_VALUE"""),4801.8)</f>
        <v>4801.8</v>
      </c>
      <c r="C2357" s="3">
        <f>IFERROR(__xludf.DUMMYFUNCTION("""COMPUTED_VALUE"""),4880.0)</f>
        <v>4880</v>
      </c>
      <c r="D2357" s="3">
        <f>IFERROR(__xludf.DUMMYFUNCTION("""COMPUTED_VALUE"""),4791.35)</f>
        <v>4791.35</v>
      </c>
      <c r="E2357" s="3">
        <f>IFERROR(__xludf.DUMMYFUNCTION("""COMPUTED_VALUE"""),4855.75)</f>
        <v>4855.75</v>
      </c>
      <c r="F2357" s="3">
        <f>IFERROR(__xludf.DUMMYFUNCTION("""COMPUTED_VALUE"""),0.0)</f>
        <v>0</v>
      </c>
    </row>
    <row r="2358">
      <c r="A2358" s="7">
        <f>IFERROR(__xludf.DUMMYFUNCTION("""COMPUTED_VALUE"""),40226.645833333336)</f>
        <v>40226.64583</v>
      </c>
      <c r="B2358" s="3">
        <f>IFERROR(__xludf.DUMMYFUNCTION("""COMPUTED_VALUE"""),4858.65)</f>
        <v>4858.65</v>
      </c>
      <c r="C2358" s="3">
        <f>IFERROR(__xludf.DUMMYFUNCTION("""COMPUTED_VALUE"""),4929.7)</f>
        <v>4929.7</v>
      </c>
      <c r="D2358" s="3">
        <f>IFERROR(__xludf.DUMMYFUNCTION("""COMPUTED_VALUE"""),4857.6)</f>
        <v>4857.6</v>
      </c>
      <c r="E2358" s="3">
        <f>IFERROR(__xludf.DUMMYFUNCTION("""COMPUTED_VALUE"""),4914.0)</f>
        <v>4914</v>
      </c>
      <c r="F2358" s="3">
        <f>IFERROR(__xludf.DUMMYFUNCTION("""COMPUTED_VALUE"""),0.0)</f>
        <v>0</v>
      </c>
    </row>
    <row r="2359">
      <c r="A2359" s="7">
        <f>IFERROR(__xludf.DUMMYFUNCTION("""COMPUTED_VALUE"""),40227.645833333336)</f>
        <v>40227.64583</v>
      </c>
      <c r="B2359" s="3">
        <f>IFERROR(__xludf.DUMMYFUNCTION("""COMPUTED_VALUE"""),4915.1)</f>
        <v>4915.1</v>
      </c>
      <c r="C2359" s="3">
        <f>IFERROR(__xludf.DUMMYFUNCTION("""COMPUTED_VALUE"""),4922.05)</f>
        <v>4922.05</v>
      </c>
      <c r="D2359" s="3">
        <f>IFERROR(__xludf.DUMMYFUNCTION("""COMPUTED_VALUE"""),4873.7)</f>
        <v>4873.7</v>
      </c>
      <c r="E2359" s="3">
        <f>IFERROR(__xludf.DUMMYFUNCTION("""COMPUTED_VALUE"""),4887.75)</f>
        <v>4887.75</v>
      </c>
      <c r="F2359" s="3">
        <f>IFERROR(__xludf.DUMMYFUNCTION("""COMPUTED_VALUE"""),0.0)</f>
        <v>0</v>
      </c>
    </row>
    <row r="2360">
      <c r="A2360" s="7">
        <f>IFERROR(__xludf.DUMMYFUNCTION("""COMPUTED_VALUE"""),40228.645833333336)</f>
        <v>40228.64583</v>
      </c>
      <c r="B2360" s="3">
        <f>IFERROR(__xludf.DUMMYFUNCTION("""COMPUTED_VALUE"""),4887.3)</f>
        <v>4887.3</v>
      </c>
      <c r="C2360" s="3">
        <f>IFERROR(__xludf.DUMMYFUNCTION("""COMPUTED_VALUE"""),4887.3)</f>
        <v>4887.3</v>
      </c>
      <c r="D2360" s="3">
        <f>IFERROR(__xludf.DUMMYFUNCTION("""COMPUTED_VALUE"""),4805.55)</f>
        <v>4805.55</v>
      </c>
      <c r="E2360" s="3">
        <f>IFERROR(__xludf.DUMMYFUNCTION("""COMPUTED_VALUE"""),4844.9)</f>
        <v>4844.9</v>
      </c>
      <c r="F2360" s="3">
        <f>IFERROR(__xludf.DUMMYFUNCTION("""COMPUTED_VALUE"""),0.0)</f>
        <v>0</v>
      </c>
    </row>
    <row r="2361">
      <c r="A2361" s="7">
        <f>IFERROR(__xludf.DUMMYFUNCTION("""COMPUTED_VALUE"""),40231.645833333336)</f>
        <v>40231.64583</v>
      </c>
      <c r="B2361" s="3">
        <f>IFERROR(__xludf.DUMMYFUNCTION("""COMPUTED_VALUE"""),4849.35)</f>
        <v>4849.35</v>
      </c>
      <c r="C2361" s="3">
        <f>IFERROR(__xludf.DUMMYFUNCTION("""COMPUTED_VALUE"""),4912.05)</f>
        <v>4912.05</v>
      </c>
      <c r="D2361" s="3">
        <f>IFERROR(__xludf.DUMMYFUNCTION("""COMPUTED_VALUE"""),4845.9)</f>
        <v>4845.9</v>
      </c>
      <c r="E2361" s="3">
        <f>IFERROR(__xludf.DUMMYFUNCTION("""COMPUTED_VALUE"""),4856.4)</f>
        <v>4856.4</v>
      </c>
      <c r="F2361" s="3">
        <f>IFERROR(__xludf.DUMMYFUNCTION("""COMPUTED_VALUE"""),0.0)</f>
        <v>0</v>
      </c>
    </row>
    <row r="2362">
      <c r="A2362" s="7">
        <f>IFERROR(__xludf.DUMMYFUNCTION("""COMPUTED_VALUE"""),40232.645833333336)</f>
        <v>40232.64583</v>
      </c>
      <c r="B2362" s="3">
        <f>IFERROR(__xludf.DUMMYFUNCTION("""COMPUTED_VALUE"""),4856.6)</f>
        <v>4856.6</v>
      </c>
      <c r="C2362" s="3">
        <f>IFERROR(__xludf.DUMMYFUNCTION("""COMPUTED_VALUE"""),4884.1)</f>
        <v>4884.1</v>
      </c>
      <c r="D2362" s="3">
        <f>IFERROR(__xludf.DUMMYFUNCTION("""COMPUTED_VALUE"""),4833.15)</f>
        <v>4833.15</v>
      </c>
      <c r="E2362" s="3">
        <f>IFERROR(__xludf.DUMMYFUNCTION("""COMPUTED_VALUE"""),4870.05)</f>
        <v>4870.05</v>
      </c>
      <c r="F2362" s="3">
        <f>IFERROR(__xludf.DUMMYFUNCTION("""COMPUTED_VALUE"""),0.0)</f>
        <v>0</v>
      </c>
    </row>
    <row r="2363">
      <c r="A2363" s="7">
        <f>IFERROR(__xludf.DUMMYFUNCTION("""COMPUTED_VALUE"""),40233.645833333336)</f>
        <v>40233.64583</v>
      </c>
      <c r="B2363" s="3">
        <f>IFERROR(__xludf.DUMMYFUNCTION("""COMPUTED_VALUE"""),4869.55)</f>
        <v>4869.55</v>
      </c>
      <c r="C2363" s="3">
        <f>IFERROR(__xludf.DUMMYFUNCTION("""COMPUTED_VALUE"""),4880.55)</f>
        <v>4880.55</v>
      </c>
      <c r="D2363" s="3">
        <f>IFERROR(__xludf.DUMMYFUNCTION("""COMPUTED_VALUE"""),4834.65)</f>
        <v>4834.65</v>
      </c>
      <c r="E2363" s="3">
        <f>IFERROR(__xludf.DUMMYFUNCTION("""COMPUTED_VALUE"""),4858.6)</f>
        <v>4858.6</v>
      </c>
      <c r="F2363" s="3">
        <f>IFERROR(__xludf.DUMMYFUNCTION("""COMPUTED_VALUE"""),0.0)</f>
        <v>0</v>
      </c>
    </row>
    <row r="2364">
      <c r="A2364" s="7">
        <f>IFERROR(__xludf.DUMMYFUNCTION("""COMPUTED_VALUE"""),40234.645833333336)</f>
        <v>40234.64583</v>
      </c>
      <c r="B2364" s="3">
        <f>IFERROR(__xludf.DUMMYFUNCTION("""COMPUTED_VALUE"""),4859.0)</f>
        <v>4859</v>
      </c>
      <c r="C2364" s="3">
        <f>IFERROR(__xludf.DUMMYFUNCTION("""COMPUTED_VALUE"""),4880.15)</f>
        <v>4880.15</v>
      </c>
      <c r="D2364" s="3">
        <f>IFERROR(__xludf.DUMMYFUNCTION("""COMPUTED_VALUE"""),4835.6)</f>
        <v>4835.6</v>
      </c>
      <c r="E2364" s="3">
        <f>IFERROR(__xludf.DUMMYFUNCTION("""COMPUTED_VALUE"""),4859.75)</f>
        <v>4859.75</v>
      </c>
      <c r="F2364" s="3">
        <f>IFERROR(__xludf.DUMMYFUNCTION("""COMPUTED_VALUE"""),0.0)</f>
        <v>0</v>
      </c>
    </row>
    <row r="2365">
      <c r="A2365" s="7">
        <f>IFERROR(__xludf.DUMMYFUNCTION("""COMPUTED_VALUE"""),40235.645833333336)</f>
        <v>40235.64583</v>
      </c>
      <c r="B2365" s="3">
        <f>IFERROR(__xludf.DUMMYFUNCTION("""COMPUTED_VALUE"""),4858.5)</f>
        <v>4858.5</v>
      </c>
      <c r="C2365" s="3">
        <f>IFERROR(__xludf.DUMMYFUNCTION("""COMPUTED_VALUE"""),4992.0)</f>
        <v>4992</v>
      </c>
      <c r="D2365" s="3">
        <f>IFERROR(__xludf.DUMMYFUNCTION("""COMPUTED_VALUE"""),4858.45)</f>
        <v>4858.45</v>
      </c>
      <c r="E2365" s="3">
        <f>IFERROR(__xludf.DUMMYFUNCTION("""COMPUTED_VALUE"""),4922.3)</f>
        <v>4922.3</v>
      </c>
      <c r="F2365" s="3">
        <f>IFERROR(__xludf.DUMMYFUNCTION("""COMPUTED_VALUE"""),0.0)</f>
        <v>0</v>
      </c>
    </row>
    <row r="2366">
      <c r="A2366" s="7">
        <f>IFERROR(__xludf.DUMMYFUNCTION("""COMPUTED_VALUE"""),40239.645833333336)</f>
        <v>40239.64583</v>
      </c>
      <c r="B2366" s="3">
        <f>IFERROR(__xludf.DUMMYFUNCTION("""COMPUTED_VALUE"""),4935.6)</f>
        <v>4935.6</v>
      </c>
      <c r="C2366" s="3">
        <f>IFERROR(__xludf.DUMMYFUNCTION("""COMPUTED_VALUE"""),5029.45)</f>
        <v>5029.45</v>
      </c>
      <c r="D2366" s="3">
        <f>IFERROR(__xludf.DUMMYFUNCTION("""COMPUTED_VALUE"""),4935.35)</f>
        <v>4935.35</v>
      </c>
      <c r="E2366" s="3">
        <f>IFERROR(__xludf.DUMMYFUNCTION("""COMPUTED_VALUE"""),5017.0)</f>
        <v>5017</v>
      </c>
      <c r="F2366" s="3">
        <f>IFERROR(__xludf.DUMMYFUNCTION("""COMPUTED_VALUE"""),0.0)</f>
        <v>0</v>
      </c>
    </row>
    <row r="2367">
      <c r="A2367" s="7">
        <f>IFERROR(__xludf.DUMMYFUNCTION("""COMPUTED_VALUE"""),40240.645833333336)</f>
        <v>40240.64583</v>
      </c>
      <c r="B2367" s="3">
        <f>IFERROR(__xludf.DUMMYFUNCTION("""COMPUTED_VALUE"""),5015.8)</f>
        <v>5015.8</v>
      </c>
      <c r="C2367" s="3">
        <f>IFERROR(__xludf.DUMMYFUNCTION("""COMPUTED_VALUE"""),5093.25)</f>
        <v>5093.25</v>
      </c>
      <c r="D2367" s="3">
        <f>IFERROR(__xludf.DUMMYFUNCTION("""COMPUTED_VALUE"""),5015.1)</f>
        <v>5015.1</v>
      </c>
      <c r="E2367" s="3">
        <f>IFERROR(__xludf.DUMMYFUNCTION("""COMPUTED_VALUE"""),5088.1)</f>
        <v>5088.1</v>
      </c>
      <c r="F2367" s="3">
        <f>IFERROR(__xludf.DUMMYFUNCTION("""COMPUTED_VALUE"""),0.0)</f>
        <v>0</v>
      </c>
    </row>
    <row r="2368">
      <c r="A2368" s="7">
        <f>IFERROR(__xludf.DUMMYFUNCTION("""COMPUTED_VALUE"""),40241.645833333336)</f>
        <v>40241.64583</v>
      </c>
      <c r="B2368" s="3">
        <f>IFERROR(__xludf.DUMMYFUNCTION("""COMPUTED_VALUE"""),5096.95)</f>
        <v>5096.95</v>
      </c>
      <c r="C2368" s="3">
        <f>IFERROR(__xludf.DUMMYFUNCTION("""COMPUTED_VALUE"""),5096.95)</f>
        <v>5096.95</v>
      </c>
      <c r="D2368" s="3">
        <f>IFERROR(__xludf.DUMMYFUNCTION("""COMPUTED_VALUE"""),5049.0)</f>
        <v>5049</v>
      </c>
      <c r="E2368" s="3">
        <f>IFERROR(__xludf.DUMMYFUNCTION("""COMPUTED_VALUE"""),5080.25)</f>
        <v>5080.25</v>
      </c>
      <c r="F2368" s="3">
        <f>IFERROR(__xludf.DUMMYFUNCTION("""COMPUTED_VALUE"""),0.0)</f>
        <v>0</v>
      </c>
    </row>
    <row r="2369">
      <c r="A2369" s="7">
        <f>IFERROR(__xludf.DUMMYFUNCTION("""COMPUTED_VALUE"""),40242.645833333336)</f>
        <v>40242.64583</v>
      </c>
      <c r="B2369" s="3">
        <f>IFERROR(__xludf.DUMMYFUNCTION("""COMPUTED_VALUE"""),5080.55)</f>
        <v>5080.55</v>
      </c>
      <c r="C2369" s="3">
        <f>IFERROR(__xludf.DUMMYFUNCTION("""COMPUTED_VALUE"""),5118.65)</f>
        <v>5118.65</v>
      </c>
      <c r="D2369" s="3">
        <f>IFERROR(__xludf.DUMMYFUNCTION("""COMPUTED_VALUE"""),5068.05)</f>
        <v>5068.05</v>
      </c>
      <c r="E2369" s="3">
        <f>IFERROR(__xludf.DUMMYFUNCTION("""COMPUTED_VALUE"""),5088.7)</f>
        <v>5088.7</v>
      </c>
      <c r="F2369" s="3">
        <f>IFERROR(__xludf.DUMMYFUNCTION("""COMPUTED_VALUE"""),0.0)</f>
        <v>0</v>
      </c>
    </row>
    <row r="2370">
      <c r="A2370" s="7">
        <f>IFERROR(__xludf.DUMMYFUNCTION("""COMPUTED_VALUE"""),40245.645833333336)</f>
        <v>40245.64583</v>
      </c>
      <c r="B2370" s="3">
        <f>IFERROR(__xludf.DUMMYFUNCTION("""COMPUTED_VALUE"""),5092.15)</f>
        <v>5092.15</v>
      </c>
      <c r="C2370" s="3">
        <f>IFERROR(__xludf.DUMMYFUNCTION("""COMPUTED_VALUE"""),5147.1)</f>
        <v>5147.1</v>
      </c>
      <c r="D2370" s="3">
        <f>IFERROR(__xludf.DUMMYFUNCTION("""COMPUTED_VALUE"""),5092.15)</f>
        <v>5092.15</v>
      </c>
      <c r="E2370" s="3">
        <f>IFERROR(__xludf.DUMMYFUNCTION("""COMPUTED_VALUE"""),5124.0)</f>
        <v>5124</v>
      </c>
      <c r="F2370" s="3">
        <f>IFERROR(__xludf.DUMMYFUNCTION("""COMPUTED_VALUE"""),0.0)</f>
        <v>0</v>
      </c>
    </row>
    <row r="2371">
      <c r="A2371" s="7">
        <f>IFERROR(__xludf.DUMMYFUNCTION("""COMPUTED_VALUE"""),40246.645833333336)</f>
        <v>40246.64583</v>
      </c>
      <c r="B2371" s="3">
        <f>IFERROR(__xludf.DUMMYFUNCTION("""COMPUTED_VALUE"""),5121.05)</f>
        <v>5121.05</v>
      </c>
      <c r="C2371" s="3">
        <f>IFERROR(__xludf.DUMMYFUNCTION("""COMPUTED_VALUE"""),5131.8)</f>
        <v>5131.8</v>
      </c>
      <c r="D2371" s="3">
        <f>IFERROR(__xludf.DUMMYFUNCTION("""COMPUTED_VALUE"""),5094.35)</f>
        <v>5094.35</v>
      </c>
      <c r="E2371" s="3">
        <f>IFERROR(__xludf.DUMMYFUNCTION("""COMPUTED_VALUE"""),5101.5)</f>
        <v>5101.5</v>
      </c>
      <c r="F2371" s="3">
        <f>IFERROR(__xludf.DUMMYFUNCTION("""COMPUTED_VALUE"""),0.0)</f>
        <v>0</v>
      </c>
    </row>
    <row r="2372">
      <c r="A2372" s="7">
        <f>IFERROR(__xludf.DUMMYFUNCTION("""COMPUTED_VALUE"""),40247.645833333336)</f>
        <v>40247.64583</v>
      </c>
      <c r="B2372" s="3">
        <f>IFERROR(__xludf.DUMMYFUNCTION("""COMPUTED_VALUE"""),5101.6)</f>
        <v>5101.6</v>
      </c>
      <c r="C2372" s="3">
        <f>IFERROR(__xludf.DUMMYFUNCTION("""COMPUTED_VALUE"""),5137.4)</f>
        <v>5137.4</v>
      </c>
      <c r="D2372" s="3">
        <f>IFERROR(__xludf.DUMMYFUNCTION("""COMPUTED_VALUE"""),5092.05)</f>
        <v>5092.05</v>
      </c>
      <c r="E2372" s="3">
        <f>IFERROR(__xludf.DUMMYFUNCTION("""COMPUTED_VALUE"""),5116.25)</f>
        <v>5116.25</v>
      </c>
      <c r="F2372" s="3">
        <f>IFERROR(__xludf.DUMMYFUNCTION("""COMPUTED_VALUE"""),0.0)</f>
        <v>0</v>
      </c>
    </row>
    <row r="2373">
      <c r="A2373" s="7">
        <f>IFERROR(__xludf.DUMMYFUNCTION("""COMPUTED_VALUE"""),40248.645833333336)</f>
        <v>40248.64583</v>
      </c>
      <c r="B2373" s="3">
        <f>IFERROR(__xludf.DUMMYFUNCTION("""COMPUTED_VALUE"""),5116.35)</f>
        <v>5116.35</v>
      </c>
      <c r="C2373" s="3">
        <f>IFERROR(__xludf.DUMMYFUNCTION("""COMPUTED_VALUE"""),5152.6)</f>
        <v>5152.6</v>
      </c>
      <c r="D2373" s="3">
        <f>IFERROR(__xludf.DUMMYFUNCTION("""COMPUTED_VALUE"""),5102.1)</f>
        <v>5102.1</v>
      </c>
      <c r="E2373" s="3">
        <f>IFERROR(__xludf.DUMMYFUNCTION("""COMPUTED_VALUE"""),5133.4)</f>
        <v>5133.4</v>
      </c>
      <c r="F2373" s="3">
        <f>IFERROR(__xludf.DUMMYFUNCTION("""COMPUTED_VALUE"""),0.0)</f>
        <v>0</v>
      </c>
    </row>
    <row r="2374">
      <c r="A2374" s="7">
        <f>IFERROR(__xludf.DUMMYFUNCTION("""COMPUTED_VALUE"""),40249.645833333336)</f>
        <v>40249.64583</v>
      </c>
      <c r="B2374" s="3">
        <f>IFERROR(__xludf.DUMMYFUNCTION("""COMPUTED_VALUE"""),5131.8)</f>
        <v>5131.8</v>
      </c>
      <c r="C2374" s="3">
        <f>IFERROR(__xludf.DUMMYFUNCTION("""COMPUTED_VALUE"""),5158.1)</f>
        <v>5158.1</v>
      </c>
      <c r="D2374" s="3">
        <f>IFERROR(__xludf.DUMMYFUNCTION("""COMPUTED_VALUE"""),5122.1)</f>
        <v>5122.1</v>
      </c>
      <c r="E2374" s="3">
        <f>IFERROR(__xludf.DUMMYFUNCTION("""COMPUTED_VALUE"""),5137.0)</f>
        <v>5137</v>
      </c>
      <c r="F2374" s="3">
        <f>IFERROR(__xludf.DUMMYFUNCTION("""COMPUTED_VALUE"""),0.0)</f>
        <v>0</v>
      </c>
    </row>
    <row r="2375">
      <c r="A2375" s="7">
        <f>IFERROR(__xludf.DUMMYFUNCTION("""COMPUTED_VALUE"""),40252.645833333336)</f>
        <v>40252.64583</v>
      </c>
      <c r="B2375" s="3">
        <f>IFERROR(__xludf.DUMMYFUNCTION("""COMPUTED_VALUE"""),5134.45)</f>
        <v>5134.45</v>
      </c>
      <c r="C2375" s="3">
        <f>IFERROR(__xludf.DUMMYFUNCTION("""COMPUTED_VALUE"""),5151.05)</f>
        <v>5151.05</v>
      </c>
      <c r="D2375" s="3">
        <f>IFERROR(__xludf.DUMMYFUNCTION("""COMPUTED_VALUE"""),5101.2)</f>
        <v>5101.2</v>
      </c>
      <c r="E2375" s="3">
        <f>IFERROR(__xludf.DUMMYFUNCTION("""COMPUTED_VALUE"""),5128.9)</f>
        <v>5128.9</v>
      </c>
      <c r="F2375" s="3">
        <f>IFERROR(__xludf.DUMMYFUNCTION("""COMPUTED_VALUE"""),0.0)</f>
        <v>0</v>
      </c>
    </row>
    <row r="2376">
      <c r="A2376" s="7">
        <f>IFERROR(__xludf.DUMMYFUNCTION("""COMPUTED_VALUE"""),40253.645833333336)</f>
        <v>40253.64583</v>
      </c>
      <c r="B2376" s="3">
        <f>IFERROR(__xludf.DUMMYFUNCTION("""COMPUTED_VALUE"""),5128.95)</f>
        <v>5128.95</v>
      </c>
      <c r="C2376" s="3">
        <f>IFERROR(__xludf.DUMMYFUNCTION("""COMPUTED_VALUE"""),5209.25)</f>
        <v>5209.25</v>
      </c>
      <c r="D2376" s="3">
        <f>IFERROR(__xludf.DUMMYFUNCTION("""COMPUTED_VALUE"""),5125.7)</f>
        <v>5125.7</v>
      </c>
      <c r="E2376" s="3">
        <f>IFERROR(__xludf.DUMMYFUNCTION("""COMPUTED_VALUE"""),5198.1)</f>
        <v>5198.1</v>
      </c>
      <c r="F2376" s="3">
        <f>IFERROR(__xludf.DUMMYFUNCTION("""COMPUTED_VALUE"""),0.0)</f>
        <v>0</v>
      </c>
    </row>
    <row r="2377">
      <c r="A2377" s="7">
        <f>IFERROR(__xludf.DUMMYFUNCTION("""COMPUTED_VALUE"""),40254.645833333336)</f>
        <v>40254.64583</v>
      </c>
      <c r="B2377" s="3">
        <f>IFERROR(__xludf.DUMMYFUNCTION("""COMPUTED_VALUE"""),5198.45)</f>
        <v>5198.45</v>
      </c>
      <c r="C2377" s="3">
        <f>IFERROR(__xludf.DUMMYFUNCTION("""COMPUTED_VALUE"""),5260.5)</f>
        <v>5260.5</v>
      </c>
      <c r="D2377" s="3">
        <f>IFERROR(__xludf.DUMMYFUNCTION("""COMPUTED_VALUE"""),5177.15)</f>
        <v>5177.15</v>
      </c>
      <c r="E2377" s="3">
        <f>IFERROR(__xludf.DUMMYFUNCTION("""COMPUTED_VALUE"""),5231.9)</f>
        <v>5231.9</v>
      </c>
      <c r="F2377" s="3">
        <f>IFERROR(__xludf.DUMMYFUNCTION("""COMPUTED_VALUE"""),0.0)</f>
        <v>0</v>
      </c>
    </row>
    <row r="2378">
      <c r="A2378" s="7">
        <f>IFERROR(__xludf.DUMMYFUNCTION("""COMPUTED_VALUE"""),40255.645833333336)</f>
        <v>40255.64583</v>
      </c>
      <c r="B2378" s="3">
        <f>IFERROR(__xludf.DUMMYFUNCTION("""COMPUTED_VALUE"""),5232.55)</f>
        <v>5232.55</v>
      </c>
      <c r="C2378" s="3">
        <f>IFERROR(__xludf.DUMMYFUNCTION("""COMPUTED_VALUE"""),5255.65)</f>
        <v>5255.65</v>
      </c>
      <c r="D2378" s="3">
        <f>IFERROR(__xludf.DUMMYFUNCTION("""COMPUTED_VALUE"""),5214.4)</f>
        <v>5214.4</v>
      </c>
      <c r="E2378" s="3">
        <f>IFERROR(__xludf.DUMMYFUNCTION("""COMPUTED_VALUE"""),5245.9)</f>
        <v>5245.9</v>
      </c>
      <c r="F2378" s="3">
        <f>IFERROR(__xludf.DUMMYFUNCTION("""COMPUTED_VALUE"""),0.0)</f>
        <v>0</v>
      </c>
    </row>
    <row r="2379">
      <c r="A2379" s="7">
        <f>IFERROR(__xludf.DUMMYFUNCTION("""COMPUTED_VALUE"""),40256.645833333336)</f>
        <v>40256.64583</v>
      </c>
      <c r="B2379" s="3">
        <f>IFERROR(__xludf.DUMMYFUNCTION("""COMPUTED_VALUE"""),5246.8)</f>
        <v>5246.8</v>
      </c>
      <c r="C2379" s="3">
        <f>IFERROR(__xludf.DUMMYFUNCTION("""COMPUTED_VALUE"""),5269.95)</f>
        <v>5269.95</v>
      </c>
      <c r="D2379" s="3">
        <f>IFERROR(__xludf.DUMMYFUNCTION("""COMPUTED_VALUE"""),5237.1)</f>
        <v>5237.1</v>
      </c>
      <c r="E2379" s="3">
        <f>IFERROR(__xludf.DUMMYFUNCTION("""COMPUTED_VALUE"""),5262.8)</f>
        <v>5262.8</v>
      </c>
      <c r="F2379" s="3">
        <f>IFERROR(__xludf.DUMMYFUNCTION("""COMPUTED_VALUE"""),0.0)</f>
        <v>0</v>
      </c>
    </row>
    <row r="2380">
      <c r="A2380" s="7">
        <f>IFERROR(__xludf.DUMMYFUNCTION("""COMPUTED_VALUE"""),40259.645833333336)</f>
        <v>40259.64583</v>
      </c>
      <c r="B2380" s="3">
        <f>IFERROR(__xludf.DUMMYFUNCTION("""COMPUTED_VALUE"""),5260.95)</f>
        <v>5260.95</v>
      </c>
      <c r="C2380" s="3">
        <f>IFERROR(__xludf.DUMMYFUNCTION("""COMPUTED_VALUE"""),5260.95)</f>
        <v>5260.95</v>
      </c>
      <c r="D2380" s="3">
        <f>IFERROR(__xludf.DUMMYFUNCTION("""COMPUTED_VALUE"""),5187.05)</f>
        <v>5187.05</v>
      </c>
      <c r="E2380" s="3">
        <f>IFERROR(__xludf.DUMMYFUNCTION("""COMPUTED_VALUE"""),5205.2)</f>
        <v>5205.2</v>
      </c>
      <c r="F2380" s="3">
        <f>IFERROR(__xludf.DUMMYFUNCTION("""COMPUTED_VALUE"""),0.0)</f>
        <v>0</v>
      </c>
    </row>
    <row r="2381">
      <c r="A2381" s="7">
        <f>IFERROR(__xludf.DUMMYFUNCTION("""COMPUTED_VALUE"""),40260.645833333336)</f>
        <v>40260.64583</v>
      </c>
      <c r="B2381" s="3">
        <f>IFERROR(__xludf.DUMMYFUNCTION("""COMPUTED_VALUE"""),5205.85)</f>
        <v>5205.85</v>
      </c>
      <c r="C2381" s="3">
        <f>IFERROR(__xludf.DUMMYFUNCTION("""COMPUTED_VALUE"""),5243.6)</f>
        <v>5243.6</v>
      </c>
      <c r="D2381" s="3">
        <f>IFERROR(__xludf.DUMMYFUNCTION("""COMPUTED_VALUE"""),5193.4)</f>
        <v>5193.4</v>
      </c>
      <c r="E2381" s="3">
        <f>IFERROR(__xludf.DUMMYFUNCTION("""COMPUTED_VALUE"""),5225.3)</f>
        <v>5225.3</v>
      </c>
      <c r="F2381" s="3">
        <f>IFERROR(__xludf.DUMMYFUNCTION("""COMPUTED_VALUE"""),0.0)</f>
        <v>0</v>
      </c>
    </row>
    <row r="2382">
      <c r="A2382" s="7">
        <f>IFERROR(__xludf.DUMMYFUNCTION("""COMPUTED_VALUE"""),40262.645833333336)</f>
        <v>40262.64583</v>
      </c>
      <c r="B2382" s="3">
        <f>IFERROR(__xludf.DUMMYFUNCTION("""COMPUTED_VALUE"""),5225.3)</f>
        <v>5225.3</v>
      </c>
      <c r="C2382" s="3">
        <f>IFERROR(__xludf.DUMMYFUNCTION("""COMPUTED_VALUE"""),5267.3)</f>
        <v>5267.3</v>
      </c>
      <c r="D2382" s="3">
        <f>IFERROR(__xludf.DUMMYFUNCTION("""COMPUTED_VALUE"""),5202.95)</f>
        <v>5202.95</v>
      </c>
      <c r="E2382" s="3">
        <f>IFERROR(__xludf.DUMMYFUNCTION("""COMPUTED_VALUE"""),5260.4)</f>
        <v>5260.4</v>
      </c>
      <c r="F2382" s="3">
        <f>IFERROR(__xludf.DUMMYFUNCTION("""COMPUTED_VALUE"""),0.0)</f>
        <v>0</v>
      </c>
    </row>
    <row r="2383">
      <c r="A2383" s="7">
        <f>IFERROR(__xludf.DUMMYFUNCTION("""COMPUTED_VALUE"""),40263.645833333336)</f>
        <v>40263.64583</v>
      </c>
      <c r="B2383" s="3">
        <f>IFERROR(__xludf.DUMMYFUNCTION("""COMPUTED_VALUE"""),5260.55)</f>
        <v>5260.55</v>
      </c>
      <c r="C2383" s="3">
        <f>IFERROR(__xludf.DUMMYFUNCTION("""COMPUTED_VALUE"""),5293.75)</f>
        <v>5293.75</v>
      </c>
      <c r="D2383" s="3">
        <f>IFERROR(__xludf.DUMMYFUNCTION("""COMPUTED_VALUE"""),5260.55)</f>
        <v>5260.55</v>
      </c>
      <c r="E2383" s="3">
        <f>IFERROR(__xludf.DUMMYFUNCTION("""COMPUTED_VALUE"""),5282.0)</f>
        <v>5282</v>
      </c>
      <c r="F2383" s="3">
        <f>IFERROR(__xludf.DUMMYFUNCTION("""COMPUTED_VALUE"""),0.0)</f>
        <v>0</v>
      </c>
    </row>
    <row r="2384">
      <c r="A2384" s="7">
        <f>IFERROR(__xludf.DUMMYFUNCTION("""COMPUTED_VALUE"""),40266.645833333336)</f>
        <v>40266.64583</v>
      </c>
      <c r="B2384" s="3">
        <f>IFERROR(__xludf.DUMMYFUNCTION("""COMPUTED_VALUE"""),5283.9)</f>
        <v>5283.9</v>
      </c>
      <c r="C2384" s="3">
        <f>IFERROR(__xludf.DUMMYFUNCTION("""COMPUTED_VALUE"""),5329.55)</f>
        <v>5329.55</v>
      </c>
      <c r="D2384" s="3">
        <f>IFERROR(__xludf.DUMMYFUNCTION("""COMPUTED_VALUE"""),5242.15)</f>
        <v>5242.15</v>
      </c>
      <c r="E2384" s="3">
        <f>IFERROR(__xludf.DUMMYFUNCTION("""COMPUTED_VALUE"""),5302.85)</f>
        <v>5302.85</v>
      </c>
      <c r="F2384" s="3">
        <f>IFERROR(__xludf.DUMMYFUNCTION("""COMPUTED_VALUE"""),0.0)</f>
        <v>0</v>
      </c>
    </row>
    <row r="2385">
      <c r="A2385" s="7">
        <f>IFERROR(__xludf.DUMMYFUNCTION("""COMPUTED_VALUE"""),40267.645833333336)</f>
        <v>40267.64583</v>
      </c>
      <c r="B2385" s="3">
        <f>IFERROR(__xludf.DUMMYFUNCTION("""COMPUTED_VALUE"""),5302.95)</f>
        <v>5302.95</v>
      </c>
      <c r="C2385" s="3">
        <f>IFERROR(__xludf.DUMMYFUNCTION("""COMPUTED_VALUE"""),5325.0)</f>
        <v>5325</v>
      </c>
      <c r="D2385" s="3">
        <f>IFERROR(__xludf.DUMMYFUNCTION("""COMPUTED_VALUE"""),5251.35)</f>
        <v>5251.35</v>
      </c>
      <c r="E2385" s="3">
        <f>IFERROR(__xludf.DUMMYFUNCTION("""COMPUTED_VALUE"""),5262.45)</f>
        <v>5262.45</v>
      </c>
      <c r="F2385" s="3">
        <f>IFERROR(__xludf.DUMMYFUNCTION("""COMPUTED_VALUE"""),0.0)</f>
        <v>0</v>
      </c>
    </row>
    <row r="2386">
      <c r="A2386" s="7">
        <f>IFERROR(__xludf.DUMMYFUNCTION("""COMPUTED_VALUE"""),40268.645833333336)</f>
        <v>40268.64583</v>
      </c>
      <c r="B2386" s="3">
        <f>IFERROR(__xludf.DUMMYFUNCTION("""COMPUTED_VALUE"""),5260.4)</f>
        <v>5260.4</v>
      </c>
      <c r="C2386" s="3">
        <f>IFERROR(__xludf.DUMMYFUNCTION("""COMPUTED_VALUE"""),5293.9)</f>
        <v>5293.9</v>
      </c>
      <c r="D2386" s="3">
        <f>IFERROR(__xludf.DUMMYFUNCTION("""COMPUTED_VALUE"""),5235.15)</f>
        <v>5235.15</v>
      </c>
      <c r="E2386" s="3">
        <f>IFERROR(__xludf.DUMMYFUNCTION("""COMPUTED_VALUE"""),5249.1)</f>
        <v>5249.1</v>
      </c>
      <c r="F2386" s="3">
        <f>IFERROR(__xludf.DUMMYFUNCTION("""COMPUTED_VALUE"""),0.0)</f>
        <v>0</v>
      </c>
    </row>
    <row r="2387">
      <c r="A2387" s="7">
        <f>IFERROR(__xludf.DUMMYFUNCTION("""COMPUTED_VALUE"""),40269.645833333336)</f>
        <v>40269.64583</v>
      </c>
      <c r="B2387" s="3">
        <f>IFERROR(__xludf.DUMMYFUNCTION("""COMPUTED_VALUE"""),5249.2)</f>
        <v>5249.2</v>
      </c>
      <c r="C2387" s="3">
        <f>IFERROR(__xludf.DUMMYFUNCTION("""COMPUTED_VALUE"""),5298.6)</f>
        <v>5298.6</v>
      </c>
      <c r="D2387" s="3">
        <f>IFERROR(__xludf.DUMMYFUNCTION("""COMPUTED_VALUE"""),5249.2)</f>
        <v>5249.2</v>
      </c>
      <c r="E2387" s="3">
        <f>IFERROR(__xludf.DUMMYFUNCTION("""COMPUTED_VALUE"""),5290.5)</f>
        <v>5290.5</v>
      </c>
      <c r="F2387" s="3">
        <f>IFERROR(__xludf.DUMMYFUNCTION("""COMPUTED_VALUE"""),0.0)</f>
        <v>0</v>
      </c>
    </row>
    <row r="2388">
      <c r="A2388" s="7">
        <f>IFERROR(__xludf.DUMMYFUNCTION("""COMPUTED_VALUE"""),40273.645833333336)</f>
        <v>40273.64583</v>
      </c>
      <c r="B2388" s="3">
        <f>IFERROR(__xludf.DUMMYFUNCTION("""COMPUTED_VALUE"""),5291.4)</f>
        <v>5291.4</v>
      </c>
      <c r="C2388" s="3">
        <f>IFERROR(__xludf.DUMMYFUNCTION("""COMPUTED_VALUE"""),5377.55)</f>
        <v>5377.55</v>
      </c>
      <c r="D2388" s="3">
        <f>IFERROR(__xludf.DUMMYFUNCTION("""COMPUTED_VALUE"""),5291.4)</f>
        <v>5291.4</v>
      </c>
      <c r="E2388" s="3">
        <f>IFERROR(__xludf.DUMMYFUNCTION("""COMPUTED_VALUE"""),5368.4)</f>
        <v>5368.4</v>
      </c>
      <c r="F2388" s="3">
        <f>IFERROR(__xludf.DUMMYFUNCTION("""COMPUTED_VALUE"""),0.0)</f>
        <v>0</v>
      </c>
    </row>
    <row r="2389">
      <c r="A2389" s="7">
        <f>IFERROR(__xludf.DUMMYFUNCTION("""COMPUTED_VALUE"""),40274.645833333336)</f>
        <v>40274.64583</v>
      </c>
      <c r="B2389" s="3">
        <f>IFERROR(__xludf.DUMMYFUNCTION("""COMPUTED_VALUE"""),5369.65)</f>
        <v>5369.65</v>
      </c>
      <c r="C2389" s="3">
        <f>IFERROR(__xludf.DUMMYFUNCTION("""COMPUTED_VALUE"""),5388.65)</f>
        <v>5388.65</v>
      </c>
      <c r="D2389" s="3">
        <f>IFERROR(__xludf.DUMMYFUNCTION("""COMPUTED_VALUE"""),5351.7)</f>
        <v>5351.7</v>
      </c>
      <c r="E2389" s="3">
        <f>IFERROR(__xludf.DUMMYFUNCTION("""COMPUTED_VALUE"""),5366.0)</f>
        <v>5366</v>
      </c>
      <c r="F2389" s="3">
        <f>IFERROR(__xludf.DUMMYFUNCTION("""COMPUTED_VALUE"""),0.0)</f>
        <v>0</v>
      </c>
    </row>
    <row r="2390">
      <c r="A2390" s="7">
        <f>IFERROR(__xludf.DUMMYFUNCTION("""COMPUTED_VALUE"""),40275.645833333336)</f>
        <v>40275.64583</v>
      </c>
      <c r="B2390" s="3">
        <f>IFERROR(__xludf.DUMMYFUNCTION("""COMPUTED_VALUE"""),5365.7)</f>
        <v>5365.7</v>
      </c>
      <c r="C2390" s="3">
        <f>IFERROR(__xludf.DUMMYFUNCTION("""COMPUTED_VALUE"""),5399.65)</f>
        <v>5399.65</v>
      </c>
      <c r="D2390" s="3">
        <f>IFERROR(__xludf.DUMMYFUNCTION("""COMPUTED_VALUE"""),5345.05)</f>
        <v>5345.05</v>
      </c>
      <c r="E2390" s="3">
        <f>IFERROR(__xludf.DUMMYFUNCTION("""COMPUTED_VALUE"""),5374.65)</f>
        <v>5374.65</v>
      </c>
      <c r="F2390" s="3">
        <f>IFERROR(__xludf.DUMMYFUNCTION("""COMPUTED_VALUE"""),0.0)</f>
        <v>0</v>
      </c>
    </row>
    <row r="2391">
      <c r="A2391" s="7">
        <f>IFERROR(__xludf.DUMMYFUNCTION("""COMPUTED_VALUE"""),40276.645833333336)</f>
        <v>40276.64583</v>
      </c>
      <c r="B2391" s="3">
        <f>IFERROR(__xludf.DUMMYFUNCTION("""COMPUTED_VALUE"""),5376.3)</f>
        <v>5376.3</v>
      </c>
      <c r="C2391" s="3">
        <f>IFERROR(__xludf.DUMMYFUNCTION("""COMPUTED_VALUE"""),5383.65)</f>
        <v>5383.65</v>
      </c>
      <c r="D2391" s="3">
        <f>IFERROR(__xludf.DUMMYFUNCTION("""COMPUTED_VALUE"""),5290.25)</f>
        <v>5290.25</v>
      </c>
      <c r="E2391" s="3">
        <f>IFERROR(__xludf.DUMMYFUNCTION("""COMPUTED_VALUE"""),5304.45)</f>
        <v>5304.45</v>
      </c>
      <c r="F2391" s="3">
        <f>IFERROR(__xludf.DUMMYFUNCTION("""COMPUTED_VALUE"""),0.0)</f>
        <v>0</v>
      </c>
    </row>
    <row r="2392">
      <c r="A2392" s="7">
        <f>IFERROR(__xludf.DUMMYFUNCTION("""COMPUTED_VALUE"""),40277.645833333336)</f>
        <v>40277.64583</v>
      </c>
      <c r="B2392" s="3">
        <f>IFERROR(__xludf.DUMMYFUNCTION("""COMPUTED_VALUE"""),5302.4)</f>
        <v>5302.4</v>
      </c>
      <c r="C2392" s="3">
        <f>IFERROR(__xludf.DUMMYFUNCTION("""COMPUTED_VALUE"""),5377.45)</f>
        <v>5377.45</v>
      </c>
      <c r="D2392" s="3">
        <f>IFERROR(__xludf.DUMMYFUNCTION("""COMPUTED_VALUE"""),5302.25)</f>
        <v>5302.25</v>
      </c>
      <c r="E2392" s="3">
        <f>IFERROR(__xludf.DUMMYFUNCTION("""COMPUTED_VALUE"""),5361.75)</f>
        <v>5361.75</v>
      </c>
      <c r="F2392" s="3">
        <f>IFERROR(__xludf.DUMMYFUNCTION("""COMPUTED_VALUE"""),0.0)</f>
        <v>0</v>
      </c>
    </row>
    <row r="2393">
      <c r="A2393" s="7">
        <f>IFERROR(__xludf.DUMMYFUNCTION("""COMPUTED_VALUE"""),40280.645833333336)</f>
        <v>40280.64583</v>
      </c>
      <c r="B2393" s="3">
        <f>IFERROR(__xludf.DUMMYFUNCTION("""COMPUTED_VALUE"""),5354.15)</f>
        <v>5354.15</v>
      </c>
      <c r="C2393" s="3">
        <f>IFERROR(__xludf.DUMMYFUNCTION("""COMPUTED_VALUE"""),5382.15)</f>
        <v>5382.15</v>
      </c>
      <c r="D2393" s="3">
        <f>IFERROR(__xludf.DUMMYFUNCTION("""COMPUTED_VALUE"""),5324.9)</f>
        <v>5324.9</v>
      </c>
      <c r="E2393" s="3">
        <f>IFERROR(__xludf.DUMMYFUNCTION("""COMPUTED_VALUE"""),5339.7)</f>
        <v>5339.7</v>
      </c>
      <c r="F2393" s="3">
        <f>IFERROR(__xludf.DUMMYFUNCTION("""COMPUTED_VALUE"""),0.0)</f>
        <v>0</v>
      </c>
    </row>
    <row r="2394">
      <c r="A2394" s="7">
        <f>IFERROR(__xludf.DUMMYFUNCTION("""COMPUTED_VALUE"""),40281.645833333336)</f>
        <v>40281.64583</v>
      </c>
      <c r="B2394" s="3">
        <f>IFERROR(__xludf.DUMMYFUNCTION("""COMPUTED_VALUE"""),5340.85)</f>
        <v>5340.85</v>
      </c>
      <c r="C2394" s="3">
        <f>IFERROR(__xludf.DUMMYFUNCTION("""COMPUTED_VALUE"""),5356.5)</f>
        <v>5356.5</v>
      </c>
      <c r="D2394" s="3">
        <f>IFERROR(__xludf.DUMMYFUNCTION("""COMPUTED_VALUE"""),5301.7)</f>
        <v>5301.7</v>
      </c>
      <c r="E2394" s="3">
        <f>IFERROR(__xludf.DUMMYFUNCTION("""COMPUTED_VALUE"""),5322.95)</f>
        <v>5322.95</v>
      </c>
      <c r="F2394" s="3">
        <f>IFERROR(__xludf.DUMMYFUNCTION("""COMPUTED_VALUE"""),0.0)</f>
        <v>0</v>
      </c>
    </row>
    <row r="2395">
      <c r="A2395" s="7">
        <f>IFERROR(__xludf.DUMMYFUNCTION("""COMPUTED_VALUE"""),40283.645833333336)</f>
        <v>40283.64583</v>
      </c>
      <c r="B2395" s="3">
        <f>IFERROR(__xludf.DUMMYFUNCTION("""COMPUTED_VALUE"""),5323.3)</f>
        <v>5323.3</v>
      </c>
      <c r="C2395" s="3">
        <f>IFERROR(__xludf.DUMMYFUNCTION("""COMPUTED_VALUE"""),5373.15)</f>
        <v>5373.15</v>
      </c>
      <c r="D2395" s="3">
        <f>IFERROR(__xludf.DUMMYFUNCTION("""COMPUTED_VALUE"""),5265.3)</f>
        <v>5265.3</v>
      </c>
      <c r="E2395" s="3">
        <f>IFERROR(__xludf.DUMMYFUNCTION("""COMPUTED_VALUE"""),5273.6)</f>
        <v>5273.6</v>
      </c>
      <c r="F2395" s="3">
        <f>IFERROR(__xludf.DUMMYFUNCTION("""COMPUTED_VALUE"""),0.0)</f>
        <v>0</v>
      </c>
    </row>
    <row r="2396">
      <c r="A2396" s="7">
        <f>IFERROR(__xludf.DUMMYFUNCTION("""COMPUTED_VALUE"""),40284.645833333336)</f>
        <v>40284.64583</v>
      </c>
      <c r="B2396" s="3">
        <f>IFERROR(__xludf.DUMMYFUNCTION("""COMPUTED_VALUE"""),5273.4)</f>
        <v>5273.4</v>
      </c>
      <c r="C2396" s="3">
        <f>IFERROR(__xludf.DUMMYFUNCTION("""COMPUTED_VALUE"""),5283.05)</f>
        <v>5283.05</v>
      </c>
      <c r="D2396" s="3">
        <f>IFERROR(__xludf.DUMMYFUNCTION("""COMPUTED_VALUE"""),5237.55)</f>
        <v>5237.55</v>
      </c>
      <c r="E2396" s="3">
        <f>IFERROR(__xludf.DUMMYFUNCTION("""COMPUTED_VALUE"""),5262.6)</f>
        <v>5262.6</v>
      </c>
      <c r="F2396" s="3">
        <f>IFERROR(__xludf.DUMMYFUNCTION("""COMPUTED_VALUE"""),0.0)</f>
        <v>0</v>
      </c>
    </row>
    <row r="2397">
      <c r="A2397" s="7">
        <f>IFERROR(__xludf.DUMMYFUNCTION("""COMPUTED_VALUE"""),40287.645833333336)</f>
        <v>40287.64583</v>
      </c>
      <c r="B2397" s="3">
        <f>IFERROR(__xludf.DUMMYFUNCTION("""COMPUTED_VALUE"""),5279.05)</f>
        <v>5279.05</v>
      </c>
      <c r="C2397" s="3">
        <f>IFERROR(__xludf.DUMMYFUNCTION("""COMPUTED_VALUE"""),5279.05)</f>
        <v>5279.05</v>
      </c>
      <c r="D2397" s="3">
        <f>IFERROR(__xludf.DUMMYFUNCTION("""COMPUTED_VALUE"""),5160.9)</f>
        <v>5160.9</v>
      </c>
      <c r="E2397" s="3">
        <f>IFERROR(__xludf.DUMMYFUNCTION("""COMPUTED_VALUE"""),5203.65)</f>
        <v>5203.65</v>
      </c>
      <c r="F2397" s="3">
        <f>IFERROR(__xludf.DUMMYFUNCTION("""COMPUTED_VALUE"""),0.0)</f>
        <v>0</v>
      </c>
    </row>
    <row r="2398">
      <c r="A2398" s="7">
        <f>IFERROR(__xludf.DUMMYFUNCTION("""COMPUTED_VALUE"""),40288.645833333336)</f>
        <v>40288.64583</v>
      </c>
      <c r="B2398" s="3">
        <f>IFERROR(__xludf.DUMMYFUNCTION("""COMPUTED_VALUE"""),5208.3)</f>
        <v>5208.3</v>
      </c>
      <c r="C2398" s="3">
        <f>IFERROR(__xludf.DUMMYFUNCTION("""COMPUTED_VALUE"""),5257.25)</f>
        <v>5257.25</v>
      </c>
      <c r="D2398" s="3">
        <f>IFERROR(__xludf.DUMMYFUNCTION("""COMPUTED_VALUE"""),5208.3)</f>
        <v>5208.3</v>
      </c>
      <c r="E2398" s="3">
        <f>IFERROR(__xludf.DUMMYFUNCTION("""COMPUTED_VALUE"""),5230.1)</f>
        <v>5230.1</v>
      </c>
      <c r="F2398" s="3">
        <f>IFERROR(__xludf.DUMMYFUNCTION("""COMPUTED_VALUE"""),0.0)</f>
        <v>0</v>
      </c>
    </row>
    <row r="2399">
      <c r="A2399" s="7">
        <f>IFERROR(__xludf.DUMMYFUNCTION("""COMPUTED_VALUE"""),40289.645833333336)</f>
        <v>40289.64583</v>
      </c>
      <c r="B2399" s="3">
        <f>IFERROR(__xludf.DUMMYFUNCTION("""COMPUTED_VALUE"""),5230.3)</f>
        <v>5230.3</v>
      </c>
      <c r="C2399" s="3">
        <f>IFERROR(__xludf.DUMMYFUNCTION("""COMPUTED_VALUE"""),5266.3)</f>
        <v>5266.3</v>
      </c>
      <c r="D2399" s="3">
        <f>IFERROR(__xludf.DUMMYFUNCTION("""COMPUTED_VALUE"""),5230.3)</f>
        <v>5230.3</v>
      </c>
      <c r="E2399" s="3">
        <f>IFERROR(__xludf.DUMMYFUNCTION("""COMPUTED_VALUE"""),5244.9)</f>
        <v>5244.9</v>
      </c>
      <c r="F2399" s="3">
        <f>IFERROR(__xludf.DUMMYFUNCTION("""COMPUTED_VALUE"""),0.0)</f>
        <v>0</v>
      </c>
    </row>
    <row r="2400">
      <c r="A2400" s="7">
        <f>IFERROR(__xludf.DUMMYFUNCTION("""COMPUTED_VALUE"""),40290.645833333336)</f>
        <v>40290.64583</v>
      </c>
      <c r="B2400" s="3">
        <f>IFERROR(__xludf.DUMMYFUNCTION("""COMPUTED_VALUE"""),5248.6)</f>
        <v>5248.6</v>
      </c>
      <c r="C2400" s="3">
        <f>IFERROR(__xludf.DUMMYFUNCTION("""COMPUTED_VALUE"""),5331.8)</f>
        <v>5331.8</v>
      </c>
      <c r="D2400" s="3">
        <f>IFERROR(__xludf.DUMMYFUNCTION("""COMPUTED_VALUE"""),5221.1)</f>
        <v>5221.1</v>
      </c>
      <c r="E2400" s="3">
        <f>IFERROR(__xludf.DUMMYFUNCTION("""COMPUTED_VALUE"""),5269.35)</f>
        <v>5269.35</v>
      </c>
      <c r="F2400" s="3">
        <f>IFERROR(__xludf.DUMMYFUNCTION("""COMPUTED_VALUE"""),0.0)</f>
        <v>0</v>
      </c>
    </row>
    <row r="2401">
      <c r="A2401" s="7">
        <f>IFERROR(__xludf.DUMMYFUNCTION("""COMPUTED_VALUE"""),40291.645833333336)</f>
        <v>40291.64583</v>
      </c>
      <c r="B2401" s="3">
        <f>IFERROR(__xludf.DUMMYFUNCTION("""COMPUTED_VALUE"""),5269.65)</f>
        <v>5269.65</v>
      </c>
      <c r="C2401" s="3">
        <f>IFERROR(__xludf.DUMMYFUNCTION("""COMPUTED_VALUE"""),5311.05)</f>
        <v>5311.05</v>
      </c>
      <c r="D2401" s="3">
        <f>IFERROR(__xludf.DUMMYFUNCTION("""COMPUTED_VALUE"""),5269.65)</f>
        <v>5269.65</v>
      </c>
      <c r="E2401" s="3">
        <f>IFERROR(__xludf.DUMMYFUNCTION("""COMPUTED_VALUE"""),5304.1)</f>
        <v>5304.1</v>
      </c>
      <c r="F2401" s="3">
        <f>IFERROR(__xludf.DUMMYFUNCTION("""COMPUTED_VALUE"""),0.0)</f>
        <v>0</v>
      </c>
    </row>
    <row r="2402">
      <c r="A2402" s="7">
        <f>IFERROR(__xludf.DUMMYFUNCTION("""COMPUTED_VALUE"""),40294.645833333336)</f>
        <v>40294.64583</v>
      </c>
      <c r="B2402" s="3">
        <f>IFERROR(__xludf.DUMMYFUNCTION("""COMPUTED_VALUE"""),5299.35)</f>
        <v>5299.35</v>
      </c>
      <c r="C2402" s="3">
        <f>IFERROR(__xludf.DUMMYFUNCTION("""COMPUTED_VALUE"""),5342.35)</f>
        <v>5342.35</v>
      </c>
      <c r="D2402" s="3">
        <f>IFERROR(__xludf.DUMMYFUNCTION("""COMPUTED_VALUE"""),5299.35)</f>
        <v>5299.35</v>
      </c>
      <c r="E2402" s="3">
        <f>IFERROR(__xludf.DUMMYFUNCTION("""COMPUTED_VALUE"""),5322.45)</f>
        <v>5322.45</v>
      </c>
      <c r="F2402" s="3">
        <f>IFERROR(__xludf.DUMMYFUNCTION("""COMPUTED_VALUE"""),0.0)</f>
        <v>0</v>
      </c>
    </row>
    <row r="2403">
      <c r="A2403" s="7">
        <f>IFERROR(__xludf.DUMMYFUNCTION("""COMPUTED_VALUE"""),40295.645833333336)</f>
        <v>40295.64583</v>
      </c>
      <c r="B2403" s="3">
        <f>IFERROR(__xludf.DUMMYFUNCTION("""COMPUTED_VALUE"""),5322.1)</f>
        <v>5322.1</v>
      </c>
      <c r="C2403" s="3">
        <f>IFERROR(__xludf.DUMMYFUNCTION("""COMPUTED_VALUE"""),5330.55)</f>
        <v>5330.55</v>
      </c>
      <c r="D2403" s="3">
        <f>IFERROR(__xludf.DUMMYFUNCTION("""COMPUTED_VALUE"""),5301.4)</f>
        <v>5301.4</v>
      </c>
      <c r="E2403" s="3">
        <f>IFERROR(__xludf.DUMMYFUNCTION("""COMPUTED_VALUE"""),5308.35)</f>
        <v>5308.35</v>
      </c>
      <c r="F2403" s="3">
        <f>IFERROR(__xludf.DUMMYFUNCTION("""COMPUTED_VALUE"""),0.0)</f>
        <v>0</v>
      </c>
    </row>
    <row r="2404">
      <c r="A2404" s="7">
        <f>IFERROR(__xludf.DUMMYFUNCTION("""COMPUTED_VALUE"""),40296.645833333336)</f>
        <v>40296.64583</v>
      </c>
      <c r="B2404" s="3">
        <f>IFERROR(__xludf.DUMMYFUNCTION("""COMPUTED_VALUE"""),5308.2)</f>
        <v>5308.2</v>
      </c>
      <c r="C2404" s="3">
        <f>IFERROR(__xludf.DUMMYFUNCTION("""COMPUTED_VALUE"""),5308.25)</f>
        <v>5308.25</v>
      </c>
      <c r="D2404" s="3">
        <f>IFERROR(__xludf.DUMMYFUNCTION("""COMPUTED_VALUE"""),5202.45)</f>
        <v>5202.45</v>
      </c>
      <c r="E2404" s="3">
        <f>IFERROR(__xludf.DUMMYFUNCTION("""COMPUTED_VALUE"""),5215.45)</f>
        <v>5215.45</v>
      </c>
      <c r="F2404" s="3">
        <f>IFERROR(__xludf.DUMMYFUNCTION("""COMPUTED_VALUE"""),0.0)</f>
        <v>0</v>
      </c>
    </row>
    <row r="2405">
      <c r="A2405" s="7">
        <f>IFERROR(__xludf.DUMMYFUNCTION("""COMPUTED_VALUE"""),40297.645833333336)</f>
        <v>40297.64583</v>
      </c>
      <c r="B2405" s="3">
        <f>IFERROR(__xludf.DUMMYFUNCTION("""COMPUTED_VALUE"""),5215.25)</f>
        <v>5215.25</v>
      </c>
      <c r="C2405" s="3">
        <f>IFERROR(__xludf.DUMMYFUNCTION("""COMPUTED_VALUE"""),5264.75)</f>
        <v>5264.75</v>
      </c>
      <c r="D2405" s="3">
        <f>IFERROR(__xludf.DUMMYFUNCTION("""COMPUTED_VALUE"""),5214.8)</f>
        <v>5214.8</v>
      </c>
      <c r="E2405" s="3">
        <f>IFERROR(__xludf.DUMMYFUNCTION("""COMPUTED_VALUE"""),5254.15)</f>
        <v>5254.15</v>
      </c>
      <c r="F2405" s="3">
        <f>IFERROR(__xludf.DUMMYFUNCTION("""COMPUTED_VALUE"""),0.0)</f>
        <v>0</v>
      </c>
    </row>
    <row r="2406">
      <c r="A2406" s="7">
        <f>IFERROR(__xludf.DUMMYFUNCTION("""COMPUTED_VALUE"""),40298.645833333336)</f>
        <v>40298.64583</v>
      </c>
      <c r="B2406" s="3">
        <f>IFERROR(__xludf.DUMMYFUNCTION("""COMPUTED_VALUE"""),5254.2)</f>
        <v>5254.2</v>
      </c>
      <c r="C2406" s="3">
        <f>IFERROR(__xludf.DUMMYFUNCTION("""COMPUTED_VALUE"""),5294.8)</f>
        <v>5294.8</v>
      </c>
      <c r="D2406" s="3">
        <f>IFERROR(__xludf.DUMMYFUNCTION("""COMPUTED_VALUE"""),5254.2)</f>
        <v>5254.2</v>
      </c>
      <c r="E2406" s="3">
        <f>IFERROR(__xludf.DUMMYFUNCTION("""COMPUTED_VALUE"""),5278.0)</f>
        <v>5278</v>
      </c>
      <c r="F2406" s="3">
        <f>IFERROR(__xludf.DUMMYFUNCTION("""COMPUTED_VALUE"""),0.0)</f>
        <v>0</v>
      </c>
    </row>
    <row r="2407">
      <c r="A2407" s="7">
        <f>IFERROR(__xludf.DUMMYFUNCTION("""COMPUTED_VALUE"""),40301.645833333336)</f>
        <v>40301.64583</v>
      </c>
      <c r="B2407" s="3">
        <f>IFERROR(__xludf.DUMMYFUNCTION("""COMPUTED_VALUE"""),5278.4)</f>
        <v>5278.4</v>
      </c>
      <c r="C2407" s="3">
        <f>IFERROR(__xludf.DUMMYFUNCTION("""COMPUTED_VALUE"""),5278.7)</f>
        <v>5278.7</v>
      </c>
      <c r="D2407" s="3">
        <f>IFERROR(__xludf.DUMMYFUNCTION("""COMPUTED_VALUE"""),5210.05)</f>
        <v>5210.05</v>
      </c>
      <c r="E2407" s="3">
        <f>IFERROR(__xludf.DUMMYFUNCTION("""COMPUTED_VALUE"""),5222.75)</f>
        <v>5222.75</v>
      </c>
      <c r="F2407" s="3">
        <f>IFERROR(__xludf.DUMMYFUNCTION("""COMPUTED_VALUE"""),0.0)</f>
        <v>0</v>
      </c>
    </row>
    <row r="2408">
      <c r="A2408" s="7">
        <f>IFERROR(__xludf.DUMMYFUNCTION("""COMPUTED_VALUE"""),40302.645833333336)</f>
        <v>40302.64583</v>
      </c>
      <c r="B2408" s="3">
        <f>IFERROR(__xludf.DUMMYFUNCTION("""COMPUTED_VALUE"""),5223.9)</f>
        <v>5223.9</v>
      </c>
      <c r="C2408" s="3">
        <f>IFERROR(__xludf.DUMMYFUNCTION("""COMPUTED_VALUE"""),5250.15)</f>
        <v>5250.15</v>
      </c>
      <c r="D2408" s="3">
        <f>IFERROR(__xludf.DUMMYFUNCTION("""COMPUTED_VALUE"""),5134.85)</f>
        <v>5134.85</v>
      </c>
      <c r="E2408" s="3">
        <f>IFERROR(__xludf.DUMMYFUNCTION("""COMPUTED_VALUE"""),5148.5)</f>
        <v>5148.5</v>
      </c>
      <c r="F2408" s="3">
        <f>IFERROR(__xludf.DUMMYFUNCTION("""COMPUTED_VALUE"""),0.0)</f>
        <v>0</v>
      </c>
    </row>
    <row r="2409">
      <c r="A2409" s="7">
        <f>IFERROR(__xludf.DUMMYFUNCTION("""COMPUTED_VALUE"""),40303.645833333336)</f>
        <v>40303.64583</v>
      </c>
      <c r="B2409" s="3">
        <f>IFERROR(__xludf.DUMMYFUNCTION("""COMPUTED_VALUE"""),5148.35)</f>
        <v>5148.35</v>
      </c>
      <c r="C2409" s="3">
        <f>IFERROR(__xludf.DUMMYFUNCTION("""COMPUTED_VALUE"""),5148.35)</f>
        <v>5148.35</v>
      </c>
      <c r="D2409" s="3">
        <f>IFERROR(__xludf.DUMMYFUNCTION("""COMPUTED_VALUE"""),5056.5)</f>
        <v>5056.5</v>
      </c>
      <c r="E2409" s="3">
        <f>IFERROR(__xludf.DUMMYFUNCTION("""COMPUTED_VALUE"""),5124.9)</f>
        <v>5124.9</v>
      </c>
      <c r="F2409" s="3">
        <f>IFERROR(__xludf.DUMMYFUNCTION("""COMPUTED_VALUE"""),0.0)</f>
        <v>0</v>
      </c>
    </row>
    <row r="2410">
      <c r="A2410" s="7">
        <f>IFERROR(__xludf.DUMMYFUNCTION("""COMPUTED_VALUE"""),40304.645833333336)</f>
        <v>40304.64583</v>
      </c>
      <c r="B2410" s="3">
        <f>IFERROR(__xludf.DUMMYFUNCTION("""COMPUTED_VALUE"""),5124.4)</f>
        <v>5124.4</v>
      </c>
      <c r="C2410" s="3">
        <f>IFERROR(__xludf.DUMMYFUNCTION("""COMPUTED_VALUE"""),5124.9)</f>
        <v>5124.9</v>
      </c>
      <c r="D2410" s="3">
        <f>IFERROR(__xludf.DUMMYFUNCTION("""COMPUTED_VALUE"""),5037.75)</f>
        <v>5037.75</v>
      </c>
      <c r="E2410" s="3">
        <f>IFERROR(__xludf.DUMMYFUNCTION("""COMPUTED_VALUE"""),5090.85)</f>
        <v>5090.85</v>
      </c>
      <c r="F2410" s="3">
        <f>IFERROR(__xludf.DUMMYFUNCTION("""COMPUTED_VALUE"""),0.0)</f>
        <v>0</v>
      </c>
    </row>
    <row r="2411">
      <c r="A2411" s="7">
        <f>IFERROR(__xludf.DUMMYFUNCTION("""COMPUTED_VALUE"""),40305.645833333336)</f>
        <v>40305.64583</v>
      </c>
      <c r="B2411" s="3">
        <f>IFERROR(__xludf.DUMMYFUNCTION("""COMPUTED_VALUE"""),5072.3)</f>
        <v>5072.3</v>
      </c>
      <c r="C2411" s="3">
        <f>IFERROR(__xludf.DUMMYFUNCTION("""COMPUTED_VALUE"""),5085.65)</f>
        <v>5085.65</v>
      </c>
      <c r="D2411" s="3">
        <f>IFERROR(__xludf.DUMMYFUNCTION("""COMPUTED_VALUE"""),4984.6)</f>
        <v>4984.6</v>
      </c>
      <c r="E2411" s="3">
        <f>IFERROR(__xludf.DUMMYFUNCTION("""COMPUTED_VALUE"""),5018.05)</f>
        <v>5018.05</v>
      </c>
      <c r="F2411" s="3">
        <f>IFERROR(__xludf.DUMMYFUNCTION("""COMPUTED_VALUE"""),0.0)</f>
        <v>0</v>
      </c>
    </row>
    <row r="2412">
      <c r="A2412" s="7">
        <f>IFERROR(__xludf.DUMMYFUNCTION("""COMPUTED_VALUE"""),40308.645833333336)</f>
        <v>40308.64583</v>
      </c>
      <c r="B2412" s="3">
        <f>IFERROR(__xludf.DUMMYFUNCTION("""COMPUTED_VALUE"""),5026.6)</f>
        <v>5026.6</v>
      </c>
      <c r="C2412" s="3">
        <f>IFERROR(__xludf.DUMMYFUNCTION("""COMPUTED_VALUE"""),5203.3)</f>
        <v>5203.3</v>
      </c>
      <c r="D2412" s="3">
        <f>IFERROR(__xludf.DUMMYFUNCTION("""COMPUTED_VALUE"""),5026.6)</f>
        <v>5026.6</v>
      </c>
      <c r="E2412" s="3">
        <f>IFERROR(__xludf.DUMMYFUNCTION("""COMPUTED_VALUE"""),5193.6)</f>
        <v>5193.6</v>
      </c>
      <c r="F2412" s="3">
        <f>IFERROR(__xludf.DUMMYFUNCTION("""COMPUTED_VALUE"""),0.0)</f>
        <v>0</v>
      </c>
    </row>
    <row r="2413">
      <c r="A2413" s="7">
        <f>IFERROR(__xludf.DUMMYFUNCTION("""COMPUTED_VALUE"""),40309.645833333336)</f>
        <v>40309.64583</v>
      </c>
      <c r="B2413" s="3">
        <f>IFERROR(__xludf.DUMMYFUNCTION("""COMPUTED_VALUE"""),5189.75)</f>
        <v>5189.75</v>
      </c>
      <c r="C2413" s="3">
        <f>IFERROR(__xludf.DUMMYFUNCTION("""COMPUTED_VALUE"""),5206.7)</f>
        <v>5206.7</v>
      </c>
      <c r="D2413" s="3">
        <f>IFERROR(__xludf.DUMMYFUNCTION("""COMPUTED_VALUE"""),5126.5)</f>
        <v>5126.5</v>
      </c>
      <c r="E2413" s="3">
        <f>IFERROR(__xludf.DUMMYFUNCTION("""COMPUTED_VALUE"""),5136.15)</f>
        <v>5136.15</v>
      </c>
      <c r="F2413" s="3">
        <f>IFERROR(__xludf.DUMMYFUNCTION("""COMPUTED_VALUE"""),0.0)</f>
        <v>0</v>
      </c>
    </row>
    <row r="2414">
      <c r="A2414" s="7">
        <f>IFERROR(__xludf.DUMMYFUNCTION("""COMPUTED_VALUE"""),40310.645833333336)</f>
        <v>40310.64583</v>
      </c>
      <c r="B2414" s="3">
        <f>IFERROR(__xludf.DUMMYFUNCTION("""COMPUTED_VALUE"""),5133.75)</f>
        <v>5133.75</v>
      </c>
      <c r="C2414" s="3">
        <f>IFERROR(__xludf.DUMMYFUNCTION("""COMPUTED_VALUE"""),5172.85)</f>
        <v>5172.85</v>
      </c>
      <c r="D2414" s="3">
        <f>IFERROR(__xludf.DUMMYFUNCTION("""COMPUTED_VALUE"""),5098.8)</f>
        <v>5098.8</v>
      </c>
      <c r="E2414" s="3">
        <f>IFERROR(__xludf.DUMMYFUNCTION("""COMPUTED_VALUE"""),5156.65)</f>
        <v>5156.65</v>
      </c>
      <c r="F2414" s="3">
        <f>IFERROR(__xludf.DUMMYFUNCTION("""COMPUTED_VALUE"""),0.0)</f>
        <v>0</v>
      </c>
    </row>
    <row r="2415">
      <c r="A2415" s="7">
        <f>IFERROR(__xludf.DUMMYFUNCTION("""COMPUTED_VALUE"""),40311.645833333336)</f>
        <v>40311.64583</v>
      </c>
      <c r="B2415" s="3">
        <f>IFERROR(__xludf.DUMMYFUNCTION("""COMPUTED_VALUE"""),5157.55)</f>
        <v>5157.55</v>
      </c>
      <c r="C2415" s="3">
        <f>IFERROR(__xludf.DUMMYFUNCTION("""COMPUTED_VALUE"""),5212.7)</f>
        <v>5212.7</v>
      </c>
      <c r="D2415" s="3">
        <f>IFERROR(__xludf.DUMMYFUNCTION("""COMPUTED_VALUE"""),5147.95)</f>
        <v>5147.95</v>
      </c>
      <c r="E2415" s="3">
        <f>IFERROR(__xludf.DUMMYFUNCTION("""COMPUTED_VALUE"""),5178.9)</f>
        <v>5178.9</v>
      </c>
      <c r="F2415" s="3">
        <f>IFERROR(__xludf.DUMMYFUNCTION("""COMPUTED_VALUE"""),0.0)</f>
        <v>0</v>
      </c>
    </row>
    <row r="2416">
      <c r="A2416" s="7">
        <f>IFERROR(__xludf.DUMMYFUNCTION("""COMPUTED_VALUE"""),40312.645833333336)</f>
        <v>40312.64583</v>
      </c>
      <c r="B2416" s="3">
        <f>IFERROR(__xludf.DUMMYFUNCTION("""COMPUTED_VALUE"""),5180.55)</f>
        <v>5180.55</v>
      </c>
      <c r="C2416" s="3">
        <f>IFERROR(__xludf.DUMMYFUNCTION("""COMPUTED_VALUE"""),5192.75)</f>
        <v>5192.75</v>
      </c>
      <c r="D2416" s="3">
        <f>IFERROR(__xludf.DUMMYFUNCTION("""COMPUTED_VALUE"""),5070.95)</f>
        <v>5070.95</v>
      </c>
      <c r="E2416" s="3">
        <f>IFERROR(__xludf.DUMMYFUNCTION("""COMPUTED_VALUE"""),5093.5)</f>
        <v>5093.5</v>
      </c>
      <c r="F2416" s="3">
        <f>IFERROR(__xludf.DUMMYFUNCTION("""COMPUTED_VALUE"""),0.0)</f>
        <v>0</v>
      </c>
    </row>
    <row r="2417">
      <c r="A2417" s="7">
        <f>IFERROR(__xludf.DUMMYFUNCTION("""COMPUTED_VALUE"""),40315.645833333336)</f>
        <v>40315.64583</v>
      </c>
      <c r="B2417" s="3">
        <f>IFERROR(__xludf.DUMMYFUNCTION("""COMPUTED_VALUE"""),5093.9)</f>
        <v>5093.9</v>
      </c>
      <c r="C2417" s="3">
        <f>IFERROR(__xludf.DUMMYFUNCTION("""COMPUTED_VALUE"""),5094.55)</f>
        <v>5094.55</v>
      </c>
      <c r="D2417" s="3">
        <f>IFERROR(__xludf.DUMMYFUNCTION("""COMPUTED_VALUE"""),4966.25)</f>
        <v>4966.25</v>
      </c>
      <c r="E2417" s="3">
        <f>IFERROR(__xludf.DUMMYFUNCTION("""COMPUTED_VALUE"""),5059.9)</f>
        <v>5059.9</v>
      </c>
      <c r="F2417" s="3">
        <f>IFERROR(__xludf.DUMMYFUNCTION("""COMPUTED_VALUE"""),0.0)</f>
        <v>0</v>
      </c>
    </row>
    <row r="2418">
      <c r="A2418" s="7">
        <f>IFERROR(__xludf.DUMMYFUNCTION("""COMPUTED_VALUE"""),40316.645833333336)</f>
        <v>40316.64583</v>
      </c>
      <c r="B2418" s="3">
        <f>IFERROR(__xludf.DUMMYFUNCTION("""COMPUTED_VALUE"""),5059.55)</f>
        <v>5059.55</v>
      </c>
      <c r="C2418" s="3">
        <f>IFERROR(__xludf.DUMMYFUNCTION("""COMPUTED_VALUE"""),5105.2)</f>
        <v>5105.2</v>
      </c>
      <c r="D2418" s="3">
        <f>IFERROR(__xludf.DUMMYFUNCTION("""COMPUTED_VALUE"""),5024.25)</f>
        <v>5024.25</v>
      </c>
      <c r="E2418" s="3">
        <f>IFERROR(__xludf.DUMMYFUNCTION("""COMPUTED_VALUE"""),5066.2)</f>
        <v>5066.2</v>
      </c>
      <c r="F2418" s="3">
        <f>IFERROR(__xludf.DUMMYFUNCTION("""COMPUTED_VALUE"""),0.0)</f>
        <v>0</v>
      </c>
    </row>
    <row r="2419">
      <c r="A2419" s="7">
        <f>IFERROR(__xludf.DUMMYFUNCTION("""COMPUTED_VALUE"""),40317.645833333336)</f>
        <v>40317.64583</v>
      </c>
      <c r="B2419" s="3">
        <f>IFERROR(__xludf.DUMMYFUNCTION("""COMPUTED_VALUE"""),5065.1)</f>
        <v>5065.1</v>
      </c>
      <c r="C2419" s="3">
        <f>IFERROR(__xludf.DUMMYFUNCTION("""COMPUTED_VALUE"""),5065.1)</f>
        <v>5065.1</v>
      </c>
      <c r="D2419" s="3">
        <f>IFERROR(__xludf.DUMMYFUNCTION("""COMPUTED_VALUE"""),4908.15)</f>
        <v>4908.15</v>
      </c>
      <c r="E2419" s="3">
        <f>IFERROR(__xludf.DUMMYFUNCTION("""COMPUTED_VALUE"""),4919.65)</f>
        <v>4919.65</v>
      </c>
      <c r="F2419" s="3">
        <f>IFERROR(__xludf.DUMMYFUNCTION("""COMPUTED_VALUE"""),0.0)</f>
        <v>0</v>
      </c>
    </row>
    <row r="2420">
      <c r="A2420" s="7">
        <f>IFERROR(__xludf.DUMMYFUNCTION("""COMPUTED_VALUE"""),40318.645833333336)</f>
        <v>40318.64583</v>
      </c>
      <c r="B2420" s="3">
        <f>IFERROR(__xludf.DUMMYFUNCTION("""COMPUTED_VALUE"""),4924.3)</f>
        <v>4924.3</v>
      </c>
      <c r="C2420" s="3">
        <f>IFERROR(__xludf.DUMMYFUNCTION("""COMPUTED_VALUE"""),4980.25)</f>
        <v>4980.25</v>
      </c>
      <c r="D2420" s="3">
        <f>IFERROR(__xludf.DUMMYFUNCTION("""COMPUTED_VALUE"""),4924.3)</f>
        <v>4924.3</v>
      </c>
      <c r="E2420" s="3">
        <f>IFERROR(__xludf.DUMMYFUNCTION("""COMPUTED_VALUE"""),4947.6)</f>
        <v>4947.6</v>
      </c>
      <c r="F2420" s="3">
        <f>IFERROR(__xludf.DUMMYFUNCTION("""COMPUTED_VALUE"""),0.0)</f>
        <v>0</v>
      </c>
    </row>
    <row r="2421">
      <c r="A2421" s="7">
        <f>IFERROR(__xludf.DUMMYFUNCTION("""COMPUTED_VALUE"""),40319.645833333336)</f>
        <v>40319.64583</v>
      </c>
      <c r="B2421" s="3">
        <f>IFERROR(__xludf.DUMMYFUNCTION("""COMPUTED_VALUE"""),4946.7)</f>
        <v>4946.7</v>
      </c>
      <c r="C2421" s="3">
        <f>IFERROR(__xludf.DUMMYFUNCTION("""COMPUTED_VALUE"""),4946.7)</f>
        <v>4946.7</v>
      </c>
      <c r="D2421" s="3">
        <f>IFERROR(__xludf.DUMMYFUNCTION("""COMPUTED_VALUE"""),4842.3)</f>
        <v>4842.3</v>
      </c>
      <c r="E2421" s="3">
        <f>IFERROR(__xludf.DUMMYFUNCTION("""COMPUTED_VALUE"""),4931.15)</f>
        <v>4931.15</v>
      </c>
      <c r="F2421" s="3">
        <f>IFERROR(__xludf.DUMMYFUNCTION("""COMPUTED_VALUE"""),0.0)</f>
        <v>0</v>
      </c>
    </row>
    <row r="2422">
      <c r="A2422" s="7">
        <f>IFERROR(__xludf.DUMMYFUNCTION("""COMPUTED_VALUE"""),40322.645833333336)</f>
        <v>40322.64583</v>
      </c>
      <c r="B2422" s="3">
        <f>IFERROR(__xludf.DUMMYFUNCTION("""COMPUTED_VALUE"""),4944.3)</f>
        <v>4944.3</v>
      </c>
      <c r="C2422" s="3">
        <f>IFERROR(__xludf.DUMMYFUNCTION("""COMPUTED_VALUE"""),5029.55)</f>
        <v>5029.55</v>
      </c>
      <c r="D2422" s="3">
        <f>IFERROR(__xludf.DUMMYFUNCTION("""COMPUTED_VALUE"""),4923.45)</f>
        <v>4923.45</v>
      </c>
      <c r="E2422" s="3">
        <f>IFERROR(__xludf.DUMMYFUNCTION("""COMPUTED_VALUE"""),4943.95)</f>
        <v>4943.95</v>
      </c>
      <c r="F2422" s="3">
        <f>IFERROR(__xludf.DUMMYFUNCTION("""COMPUTED_VALUE"""),0.0)</f>
        <v>0</v>
      </c>
    </row>
    <row r="2423">
      <c r="A2423" s="7">
        <f>IFERROR(__xludf.DUMMYFUNCTION("""COMPUTED_VALUE"""),40323.645833333336)</f>
        <v>40323.64583</v>
      </c>
      <c r="B2423" s="3">
        <f>IFERROR(__xludf.DUMMYFUNCTION("""COMPUTED_VALUE"""),4945.3)</f>
        <v>4945.3</v>
      </c>
      <c r="C2423" s="3">
        <f>IFERROR(__xludf.DUMMYFUNCTION("""COMPUTED_VALUE"""),4946.6)</f>
        <v>4946.6</v>
      </c>
      <c r="D2423" s="3">
        <f>IFERROR(__xludf.DUMMYFUNCTION("""COMPUTED_VALUE"""),4786.45)</f>
        <v>4786.45</v>
      </c>
      <c r="E2423" s="3">
        <f>IFERROR(__xludf.DUMMYFUNCTION("""COMPUTED_VALUE"""),4806.75)</f>
        <v>4806.75</v>
      </c>
      <c r="F2423" s="3">
        <f>IFERROR(__xludf.DUMMYFUNCTION("""COMPUTED_VALUE"""),0.0)</f>
        <v>0</v>
      </c>
    </row>
    <row r="2424">
      <c r="A2424" s="7">
        <f>IFERROR(__xludf.DUMMYFUNCTION("""COMPUTED_VALUE"""),40324.645833333336)</f>
        <v>40324.64583</v>
      </c>
      <c r="B2424" s="3">
        <f>IFERROR(__xludf.DUMMYFUNCTION("""COMPUTED_VALUE"""),4807.3)</f>
        <v>4807.3</v>
      </c>
      <c r="C2424" s="3">
        <f>IFERROR(__xludf.DUMMYFUNCTION("""COMPUTED_VALUE"""),4925.45)</f>
        <v>4925.45</v>
      </c>
      <c r="D2424" s="3">
        <f>IFERROR(__xludf.DUMMYFUNCTION("""COMPUTED_VALUE"""),4807.3)</f>
        <v>4807.3</v>
      </c>
      <c r="E2424" s="3">
        <f>IFERROR(__xludf.DUMMYFUNCTION("""COMPUTED_VALUE"""),4917.4)</f>
        <v>4917.4</v>
      </c>
      <c r="F2424" s="3">
        <f>IFERROR(__xludf.DUMMYFUNCTION("""COMPUTED_VALUE"""),0.0)</f>
        <v>0</v>
      </c>
    </row>
    <row r="2425">
      <c r="A2425" s="7">
        <f>IFERROR(__xludf.DUMMYFUNCTION("""COMPUTED_VALUE"""),40325.645833333336)</f>
        <v>40325.64583</v>
      </c>
      <c r="B2425" s="3">
        <f>IFERROR(__xludf.DUMMYFUNCTION("""COMPUTED_VALUE"""),4915.15)</f>
        <v>4915.15</v>
      </c>
      <c r="C2425" s="3">
        <f>IFERROR(__xludf.DUMMYFUNCTION("""COMPUTED_VALUE"""),5016.6)</f>
        <v>5016.6</v>
      </c>
      <c r="D2425" s="3">
        <f>IFERROR(__xludf.DUMMYFUNCTION("""COMPUTED_VALUE"""),4897.6)</f>
        <v>4897.6</v>
      </c>
      <c r="E2425" s="3">
        <f>IFERROR(__xludf.DUMMYFUNCTION("""COMPUTED_VALUE"""),5003.1)</f>
        <v>5003.1</v>
      </c>
      <c r="F2425" s="3">
        <f>IFERROR(__xludf.DUMMYFUNCTION("""COMPUTED_VALUE"""),0.0)</f>
        <v>0</v>
      </c>
    </row>
    <row r="2426">
      <c r="A2426" s="7">
        <f>IFERROR(__xludf.DUMMYFUNCTION("""COMPUTED_VALUE"""),40326.645833333336)</f>
        <v>40326.64583</v>
      </c>
      <c r="B2426" s="3">
        <f>IFERROR(__xludf.DUMMYFUNCTION("""COMPUTED_VALUE"""),5005.6)</f>
        <v>5005.6</v>
      </c>
      <c r="C2426" s="3">
        <f>IFERROR(__xludf.DUMMYFUNCTION("""COMPUTED_VALUE"""),5077.25)</f>
        <v>5077.25</v>
      </c>
      <c r="D2426" s="3">
        <f>IFERROR(__xludf.DUMMYFUNCTION("""COMPUTED_VALUE"""),5005.6)</f>
        <v>5005.6</v>
      </c>
      <c r="E2426" s="3">
        <f>IFERROR(__xludf.DUMMYFUNCTION("""COMPUTED_VALUE"""),5066.55)</f>
        <v>5066.55</v>
      </c>
      <c r="F2426" s="3">
        <f>IFERROR(__xludf.DUMMYFUNCTION("""COMPUTED_VALUE"""),0.0)</f>
        <v>0</v>
      </c>
    </row>
    <row r="2427">
      <c r="A2427" s="7">
        <f>IFERROR(__xludf.DUMMYFUNCTION("""COMPUTED_VALUE"""),40329.645833333336)</f>
        <v>40329.64583</v>
      </c>
      <c r="B2427" s="3">
        <f>IFERROR(__xludf.DUMMYFUNCTION("""COMPUTED_VALUE"""),5076.1)</f>
        <v>5076.1</v>
      </c>
      <c r="C2427" s="3">
        <f>IFERROR(__xludf.DUMMYFUNCTION("""COMPUTED_VALUE"""),5097.6)</f>
        <v>5097.6</v>
      </c>
      <c r="D2427" s="3">
        <f>IFERROR(__xludf.DUMMYFUNCTION("""COMPUTED_VALUE"""),5038.55)</f>
        <v>5038.55</v>
      </c>
      <c r="E2427" s="3">
        <f>IFERROR(__xludf.DUMMYFUNCTION("""COMPUTED_VALUE"""),5086.3)</f>
        <v>5086.3</v>
      </c>
      <c r="F2427" s="3">
        <f>IFERROR(__xludf.DUMMYFUNCTION("""COMPUTED_VALUE"""),0.0)</f>
        <v>0</v>
      </c>
    </row>
    <row r="2428">
      <c r="A2428" s="7">
        <f>IFERROR(__xludf.DUMMYFUNCTION("""COMPUTED_VALUE"""),40330.645833333336)</f>
        <v>40330.64583</v>
      </c>
      <c r="B2428" s="3">
        <f>IFERROR(__xludf.DUMMYFUNCTION("""COMPUTED_VALUE"""),5086.25)</f>
        <v>5086.25</v>
      </c>
      <c r="C2428" s="3">
        <f>IFERROR(__xludf.DUMMYFUNCTION("""COMPUTED_VALUE"""),5086.95)</f>
        <v>5086.95</v>
      </c>
      <c r="D2428" s="3">
        <f>IFERROR(__xludf.DUMMYFUNCTION("""COMPUTED_VALUE"""),4961.05)</f>
        <v>4961.05</v>
      </c>
      <c r="E2428" s="3">
        <f>IFERROR(__xludf.DUMMYFUNCTION("""COMPUTED_VALUE"""),4970.2)</f>
        <v>4970.2</v>
      </c>
      <c r="F2428" s="3">
        <f>IFERROR(__xludf.DUMMYFUNCTION("""COMPUTED_VALUE"""),0.0)</f>
        <v>0</v>
      </c>
    </row>
    <row r="2429">
      <c r="A2429" s="7">
        <f>IFERROR(__xludf.DUMMYFUNCTION("""COMPUTED_VALUE"""),40331.645833333336)</f>
        <v>40331.64583</v>
      </c>
      <c r="B2429" s="3">
        <f>IFERROR(__xludf.DUMMYFUNCTION("""COMPUTED_VALUE"""),4970.75)</f>
        <v>4970.75</v>
      </c>
      <c r="C2429" s="3">
        <f>IFERROR(__xludf.DUMMYFUNCTION("""COMPUTED_VALUE"""),5031.2)</f>
        <v>5031.2</v>
      </c>
      <c r="D2429" s="3">
        <f>IFERROR(__xludf.DUMMYFUNCTION("""COMPUTED_VALUE"""),4967.05)</f>
        <v>4967.05</v>
      </c>
      <c r="E2429" s="3">
        <f>IFERROR(__xludf.DUMMYFUNCTION("""COMPUTED_VALUE"""),5019.85)</f>
        <v>5019.85</v>
      </c>
      <c r="F2429" s="3">
        <f>IFERROR(__xludf.DUMMYFUNCTION("""COMPUTED_VALUE"""),0.0)</f>
        <v>0</v>
      </c>
    </row>
    <row r="2430">
      <c r="A2430" s="7">
        <f>IFERROR(__xludf.DUMMYFUNCTION("""COMPUTED_VALUE"""),40332.645833333336)</f>
        <v>40332.64583</v>
      </c>
      <c r="B2430" s="3">
        <f>IFERROR(__xludf.DUMMYFUNCTION("""COMPUTED_VALUE"""),5020.15)</f>
        <v>5020.15</v>
      </c>
      <c r="C2430" s="3">
        <f>IFERROR(__xludf.DUMMYFUNCTION("""COMPUTED_VALUE"""),5125.7)</f>
        <v>5125.7</v>
      </c>
      <c r="D2430" s="3">
        <f>IFERROR(__xludf.DUMMYFUNCTION("""COMPUTED_VALUE"""),5020.15)</f>
        <v>5020.15</v>
      </c>
      <c r="E2430" s="3">
        <f>IFERROR(__xludf.DUMMYFUNCTION("""COMPUTED_VALUE"""),5110.5)</f>
        <v>5110.5</v>
      </c>
      <c r="F2430" s="3">
        <f>IFERROR(__xludf.DUMMYFUNCTION("""COMPUTED_VALUE"""),0.0)</f>
        <v>0</v>
      </c>
    </row>
    <row r="2431">
      <c r="A2431" s="7">
        <f>IFERROR(__xludf.DUMMYFUNCTION("""COMPUTED_VALUE"""),40333.645833333336)</f>
        <v>40333.64583</v>
      </c>
      <c r="B2431" s="3">
        <f>IFERROR(__xludf.DUMMYFUNCTION("""COMPUTED_VALUE"""),5112.6)</f>
        <v>5112.6</v>
      </c>
      <c r="C2431" s="3">
        <f>IFERROR(__xludf.DUMMYFUNCTION("""COMPUTED_VALUE"""),5147.9)</f>
        <v>5147.9</v>
      </c>
      <c r="D2431" s="3">
        <f>IFERROR(__xludf.DUMMYFUNCTION("""COMPUTED_VALUE"""),5091.6)</f>
        <v>5091.6</v>
      </c>
      <c r="E2431" s="3">
        <f>IFERROR(__xludf.DUMMYFUNCTION("""COMPUTED_VALUE"""),5135.5)</f>
        <v>5135.5</v>
      </c>
      <c r="F2431" s="3">
        <f>IFERROR(__xludf.DUMMYFUNCTION("""COMPUTED_VALUE"""),0.0)</f>
        <v>0</v>
      </c>
    </row>
    <row r="2432">
      <c r="A2432" s="7">
        <f>IFERROR(__xludf.DUMMYFUNCTION("""COMPUTED_VALUE"""),40336.645833333336)</f>
        <v>40336.64583</v>
      </c>
      <c r="B2432" s="3">
        <f>IFERROR(__xludf.DUMMYFUNCTION("""COMPUTED_VALUE"""),5132.95)</f>
        <v>5132.95</v>
      </c>
      <c r="C2432" s="3">
        <f>IFERROR(__xludf.DUMMYFUNCTION("""COMPUTED_VALUE"""),5132.95)</f>
        <v>5132.95</v>
      </c>
      <c r="D2432" s="3">
        <f>IFERROR(__xludf.DUMMYFUNCTION("""COMPUTED_VALUE"""),5004.25)</f>
        <v>5004.25</v>
      </c>
      <c r="E2432" s="3">
        <f>IFERROR(__xludf.DUMMYFUNCTION("""COMPUTED_VALUE"""),5034.0)</f>
        <v>5034</v>
      </c>
      <c r="F2432" s="3">
        <f>IFERROR(__xludf.DUMMYFUNCTION("""COMPUTED_VALUE"""),0.0)</f>
        <v>0</v>
      </c>
    </row>
    <row r="2433">
      <c r="A2433" s="7">
        <f>IFERROR(__xludf.DUMMYFUNCTION("""COMPUTED_VALUE"""),40337.645833333336)</f>
        <v>40337.64583</v>
      </c>
      <c r="B2433" s="3">
        <f>IFERROR(__xludf.DUMMYFUNCTION("""COMPUTED_VALUE"""),5036.7)</f>
        <v>5036.7</v>
      </c>
      <c r="C2433" s="3">
        <f>IFERROR(__xludf.DUMMYFUNCTION("""COMPUTED_VALUE"""),5071.35)</f>
        <v>5071.35</v>
      </c>
      <c r="D2433" s="3">
        <f>IFERROR(__xludf.DUMMYFUNCTION("""COMPUTED_VALUE"""),4967.3)</f>
        <v>4967.3</v>
      </c>
      <c r="E2433" s="3">
        <f>IFERROR(__xludf.DUMMYFUNCTION("""COMPUTED_VALUE"""),4987.1)</f>
        <v>4987.1</v>
      </c>
      <c r="F2433" s="3">
        <f>IFERROR(__xludf.DUMMYFUNCTION("""COMPUTED_VALUE"""),0.0)</f>
        <v>0</v>
      </c>
    </row>
    <row r="2434">
      <c r="A2434" s="7">
        <f>IFERROR(__xludf.DUMMYFUNCTION("""COMPUTED_VALUE"""),40338.645833333336)</f>
        <v>40338.64583</v>
      </c>
      <c r="B2434" s="3">
        <f>IFERROR(__xludf.DUMMYFUNCTION("""COMPUTED_VALUE"""),4985.05)</f>
        <v>4985.05</v>
      </c>
      <c r="C2434" s="3">
        <f>IFERROR(__xludf.DUMMYFUNCTION("""COMPUTED_VALUE"""),5050.6)</f>
        <v>5050.6</v>
      </c>
      <c r="D2434" s="3">
        <f>IFERROR(__xludf.DUMMYFUNCTION("""COMPUTED_VALUE"""),4980.1)</f>
        <v>4980.1</v>
      </c>
      <c r="E2434" s="3">
        <f>IFERROR(__xludf.DUMMYFUNCTION("""COMPUTED_VALUE"""),5000.3)</f>
        <v>5000.3</v>
      </c>
      <c r="F2434" s="3">
        <f>IFERROR(__xludf.DUMMYFUNCTION("""COMPUTED_VALUE"""),0.0)</f>
        <v>0</v>
      </c>
    </row>
    <row r="2435">
      <c r="A2435" s="7">
        <f>IFERROR(__xludf.DUMMYFUNCTION("""COMPUTED_VALUE"""),40339.645833333336)</f>
        <v>40339.64583</v>
      </c>
      <c r="B2435" s="3">
        <f>IFERROR(__xludf.DUMMYFUNCTION("""COMPUTED_VALUE"""),4999.6)</f>
        <v>4999.6</v>
      </c>
      <c r="C2435" s="3">
        <f>IFERROR(__xludf.DUMMYFUNCTION("""COMPUTED_VALUE"""),5085.2)</f>
        <v>5085.2</v>
      </c>
      <c r="D2435" s="3">
        <f>IFERROR(__xludf.DUMMYFUNCTION("""COMPUTED_VALUE"""),4997.6)</f>
        <v>4997.6</v>
      </c>
      <c r="E2435" s="3">
        <f>IFERROR(__xludf.DUMMYFUNCTION("""COMPUTED_VALUE"""),5078.6)</f>
        <v>5078.6</v>
      </c>
      <c r="F2435" s="3">
        <f>IFERROR(__xludf.DUMMYFUNCTION("""COMPUTED_VALUE"""),0.0)</f>
        <v>0</v>
      </c>
    </row>
    <row r="2436">
      <c r="A2436" s="7">
        <f>IFERROR(__xludf.DUMMYFUNCTION("""COMPUTED_VALUE"""),40340.645833333336)</f>
        <v>40340.64583</v>
      </c>
      <c r="B2436" s="3">
        <f>IFERROR(__xludf.DUMMYFUNCTION("""COMPUTED_VALUE"""),5078.75)</f>
        <v>5078.75</v>
      </c>
      <c r="C2436" s="3">
        <f>IFERROR(__xludf.DUMMYFUNCTION("""COMPUTED_VALUE"""),5139.05)</f>
        <v>5139.05</v>
      </c>
      <c r="D2436" s="3">
        <f>IFERROR(__xludf.DUMMYFUNCTION("""COMPUTED_VALUE"""),5078.75)</f>
        <v>5078.75</v>
      </c>
      <c r="E2436" s="3">
        <f>IFERROR(__xludf.DUMMYFUNCTION("""COMPUTED_VALUE"""),5119.35)</f>
        <v>5119.35</v>
      </c>
      <c r="F2436" s="3">
        <f>IFERROR(__xludf.DUMMYFUNCTION("""COMPUTED_VALUE"""),0.0)</f>
        <v>0</v>
      </c>
    </row>
    <row r="2437">
      <c r="A2437" s="7">
        <f>IFERROR(__xludf.DUMMYFUNCTION("""COMPUTED_VALUE"""),40343.645833333336)</f>
        <v>40343.64583</v>
      </c>
      <c r="B2437" s="3">
        <f>IFERROR(__xludf.DUMMYFUNCTION("""COMPUTED_VALUE"""),5120.15)</f>
        <v>5120.15</v>
      </c>
      <c r="C2437" s="3">
        <f>IFERROR(__xludf.DUMMYFUNCTION("""COMPUTED_VALUE"""),5201.25)</f>
        <v>5201.25</v>
      </c>
      <c r="D2437" s="3">
        <f>IFERROR(__xludf.DUMMYFUNCTION("""COMPUTED_VALUE"""),5120.15)</f>
        <v>5120.15</v>
      </c>
      <c r="E2437" s="3">
        <f>IFERROR(__xludf.DUMMYFUNCTION("""COMPUTED_VALUE"""),5197.7)</f>
        <v>5197.7</v>
      </c>
      <c r="F2437" s="3">
        <f>IFERROR(__xludf.DUMMYFUNCTION("""COMPUTED_VALUE"""),0.0)</f>
        <v>0</v>
      </c>
    </row>
    <row r="2438">
      <c r="A2438" s="7">
        <f>IFERROR(__xludf.DUMMYFUNCTION("""COMPUTED_VALUE"""),40344.645833333336)</f>
        <v>40344.64583</v>
      </c>
      <c r="B2438" s="3">
        <f>IFERROR(__xludf.DUMMYFUNCTION("""COMPUTED_VALUE"""),5201.3)</f>
        <v>5201.3</v>
      </c>
      <c r="C2438" s="3">
        <f>IFERROR(__xludf.DUMMYFUNCTION("""COMPUTED_VALUE"""),5231.45)</f>
        <v>5231.45</v>
      </c>
      <c r="D2438" s="3">
        <f>IFERROR(__xludf.DUMMYFUNCTION("""COMPUTED_VALUE"""),5171.05)</f>
        <v>5171.05</v>
      </c>
      <c r="E2438" s="3">
        <f>IFERROR(__xludf.DUMMYFUNCTION("""COMPUTED_VALUE"""),5222.35)</f>
        <v>5222.35</v>
      </c>
      <c r="F2438" s="3">
        <f>IFERROR(__xludf.DUMMYFUNCTION("""COMPUTED_VALUE"""),0.0)</f>
        <v>0</v>
      </c>
    </row>
    <row r="2439">
      <c r="A2439" s="7">
        <f>IFERROR(__xludf.DUMMYFUNCTION("""COMPUTED_VALUE"""),40345.645833333336)</f>
        <v>40345.64583</v>
      </c>
      <c r="B2439" s="3">
        <f>IFERROR(__xludf.DUMMYFUNCTION("""COMPUTED_VALUE"""),5225.05)</f>
        <v>5225.05</v>
      </c>
      <c r="C2439" s="3">
        <f>IFERROR(__xludf.DUMMYFUNCTION("""COMPUTED_VALUE"""),5255.65)</f>
        <v>5255.65</v>
      </c>
      <c r="D2439" s="3">
        <f>IFERROR(__xludf.DUMMYFUNCTION("""COMPUTED_VALUE"""),5214.9)</f>
        <v>5214.9</v>
      </c>
      <c r="E2439" s="3">
        <f>IFERROR(__xludf.DUMMYFUNCTION("""COMPUTED_VALUE"""),5233.35)</f>
        <v>5233.35</v>
      </c>
      <c r="F2439" s="3">
        <f>IFERROR(__xludf.DUMMYFUNCTION("""COMPUTED_VALUE"""),0.0)</f>
        <v>0</v>
      </c>
    </row>
    <row r="2440">
      <c r="A2440" s="7">
        <f>IFERROR(__xludf.DUMMYFUNCTION("""COMPUTED_VALUE"""),40346.645833333336)</f>
        <v>40346.64583</v>
      </c>
      <c r="B2440" s="3">
        <f>IFERROR(__xludf.DUMMYFUNCTION("""COMPUTED_VALUE"""),5233.65)</f>
        <v>5233.65</v>
      </c>
      <c r="C2440" s="3">
        <f>IFERROR(__xludf.DUMMYFUNCTION("""COMPUTED_VALUE"""),5285.55)</f>
        <v>5285.55</v>
      </c>
      <c r="D2440" s="3">
        <f>IFERROR(__xludf.DUMMYFUNCTION("""COMPUTED_VALUE"""),5206.55)</f>
        <v>5206.55</v>
      </c>
      <c r="E2440" s="3">
        <f>IFERROR(__xludf.DUMMYFUNCTION("""COMPUTED_VALUE"""),5274.85)</f>
        <v>5274.85</v>
      </c>
      <c r="F2440" s="3">
        <f>IFERROR(__xludf.DUMMYFUNCTION("""COMPUTED_VALUE"""),0.0)</f>
        <v>0</v>
      </c>
    </row>
    <row r="2441">
      <c r="A2441" s="7">
        <f>IFERROR(__xludf.DUMMYFUNCTION("""COMPUTED_VALUE"""),40347.645833333336)</f>
        <v>40347.64583</v>
      </c>
      <c r="B2441" s="3">
        <f>IFERROR(__xludf.DUMMYFUNCTION("""COMPUTED_VALUE"""),5274.95)</f>
        <v>5274.95</v>
      </c>
      <c r="C2441" s="3">
        <f>IFERROR(__xludf.DUMMYFUNCTION("""COMPUTED_VALUE"""),5302.3)</f>
        <v>5302.3</v>
      </c>
      <c r="D2441" s="3">
        <f>IFERROR(__xludf.DUMMYFUNCTION("""COMPUTED_VALUE"""),5245.5)</f>
        <v>5245.5</v>
      </c>
      <c r="E2441" s="3">
        <f>IFERROR(__xludf.DUMMYFUNCTION("""COMPUTED_VALUE"""),5262.6)</f>
        <v>5262.6</v>
      </c>
      <c r="F2441" s="3">
        <f>IFERROR(__xludf.DUMMYFUNCTION("""COMPUTED_VALUE"""),0.0)</f>
        <v>0</v>
      </c>
    </row>
    <row r="2442">
      <c r="A2442" s="7">
        <f>IFERROR(__xludf.DUMMYFUNCTION("""COMPUTED_VALUE"""),40350.645833333336)</f>
        <v>40350.64583</v>
      </c>
      <c r="B2442" s="3">
        <f>IFERROR(__xludf.DUMMYFUNCTION("""COMPUTED_VALUE"""),5266.5)</f>
        <v>5266.5</v>
      </c>
      <c r="C2442" s="3">
        <f>IFERROR(__xludf.DUMMYFUNCTION("""COMPUTED_VALUE"""),5366.75)</f>
        <v>5366.75</v>
      </c>
      <c r="D2442" s="3">
        <f>IFERROR(__xludf.DUMMYFUNCTION("""COMPUTED_VALUE"""),5266.5)</f>
        <v>5266.5</v>
      </c>
      <c r="E2442" s="3">
        <f>IFERROR(__xludf.DUMMYFUNCTION("""COMPUTED_VALUE"""),5353.3)</f>
        <v>5353.3</v>
      </c>
      <c r="F2442" s="3">
        <f>IFERROR(__xludf.DUMMYFUNCTION("""COMPUTED_VALUE"""),0.0)</f>
        <v>0</v>
      </c>
    </row>
    <row r="2443">
      <c r="A2443" s="7">
        <f>IFERROR(__xludf.DUMMYFUNCTION("""COMPUTED_VALUE"""),40351.645833333336)</f>
        <v>40351.64583</v>
      </c>
      <c r="B2443" s="3">
        <f>IFERROR(__xludf.DUMMYFUNCTION("""COMPUTED_VALUE"""),5353.95)</f>
        <v>5353.95</v>
      </c>
      <c r="C2443" s="3">
        <f>IFERROR(__xludf.DUMMYFUNCTION("""COMPUTED_VALUE"""),5354.35)</f>
        <v>5354.35</v>
      </c>
      <c r="D2443" s="3">
        <f>IFERROR(__xludf.DUMMYFUNCTION("""COMPUTED_VALUE"""),5311.05)</f>
        <v>5311.05</v>
      </c>
      <c r="E2443" s="3">
        <f>IFERROR(__xludf.DUMMYFUNCTION("""COMPUTED_VALUE"""),5316.55)</f>
        <v>5316.55</v>
      </c>
      <c r="F2443" s="3">
        <f>IFERROR(__xludf.DUMMYFUNCTION("""COMPUTED_VALUE"""),0.0)</f>
        <v>0</v>
      </c>
    </row>
    <row r="2444">
      <c r="A2444" s="7">
        <f>IFERROR(__xludf.DUMMYFUNCTION("""COMPUTED_VALUE"""),40352.645833333336)</f>
        <v>40352.64583</v>
      </c>
      <c r="B2444" s="3">
        <f>IFERROR(__xludf.DUMMYFUNCTION("""COMPUTED_VALUE"""),5316.15)</f>
        <v>5316.15</v>
      </c>
      <c r="C2444" s="3">
        <f>IFERROR(__xludf.DUMMYFUNCTION("""COMPUTED_VALUE"""),5333.3)</f>
        <v>5333.3</v>
      </c>
      <c r="D2444" s="3">
        <f>IFERROR(__xludf.DUMMYFUNCTION("""COMPUTED_VALUE"""),5288.15)</f>
        <v>5288.15</v>
      </c>
      <c r="E2444" s="3">
        <f>IFERROR(__xludf.DUMMYFUNCTION("""COMPUTED_VALUE"""),5323.15)</f>
        <v>5323.15</v>
      </c>
      <c r="F2444" s="3">
        <f>IFERROR(__xludf.DUMMYFUNCTION("""COMPUTED_VALUE"""),0.0)</f>
        <v>0</v>
      </c>
    </row>
    <row r="2445">
      <c r="A2445" s="7">
        <f>IFERROR(__xludf.DUMMYFUNCTION("""COMPUTED_VALUE"""),40353.645833333336)</f>
        <v>40353.64583</v>
      </c>
      <c r="B2445" s="3">
        <f>IFERROR(__xludf.DUMMYFUNCTION("""COMPUTED_VALUE"""),5323.25)</f>
        <v>5323.25</v>
      </c>
      <c r="C2445" s="3">
        <f>IFERROR(__xludf.DUMMYFUNCTION("""COMPUTED_VALUE"""),5348.3)</f>
        <v>5348.3</v>
      </c>
      <c r="D2445" s="3">
        <f>IFERROR(__xludf.DUMMYFUNCTION("""COMPUTED_VALUE"""),5284.55)</f>
        <v>5284.55</v>
      </c>
      <c r="E2445" s="3">
        <f>IFERROR(__xludf.DUMMYFUNCTION("""COMPUTED_VALUE"""),5320.6)</f>
        <v>5320.6</v>
      </c>
      <c r="F2445" s="3">
        <f>IFERROR(__xludf.DUMMYFUNCTION("""COMPUTED_VALUE"""),0.0)</f>
        <v>0</v>
      </c>
    </row>
    <row r="2446">
      <c r="A2446" s="7">
        <f>IFERROR(__xludf.DUMMYFUNCTION("""COMPUTED_VALUE"""),40354.645833333336)</f>
        <v>40354.64583</v>
      </c>
      <c r="B2446" s="3">
        <f>IFERROR(__xludf.DUMMYFUNCTION("""COMPUTED_VALUE"""),5320.5)</f>
        <v>5320.5</v>
      </c>
      <c r="C2446" s="3">
        <f>IFERROR(__xludf.DUMMYFUNCTION("""COMPUTED_VALUE"""),5320.5)</f>
        <v>5320.5</v>
      </c>
      <c r="D2446" s="3">
        <f>IFERROR(__xludf.DUMMYFUNCTION("""COMPUTED_VALUE"""),5259.9)</f>
        <v>5259.9</v>
      </c>
      <c r="E2446" s="3">
        <f>IFERROR(__xludf.DUMMYFUNCTION("""COMPUTED_VALUE"""),5269.05)</f>
        <v>5269.05</v>
      </c>
      <c r="F2446" s="3">
        <f>IFERROR(__xludf.DUMMYFUNCTION("""COMPUTED_VALUE"""),0.0)</f>
        <v>0</v>
      </c>
    </row>
    <row r="2447">
      <c r="A2447" s="7">
        <f>IFERROR(__xludf.DUMMYFUNCTION("""COMPUTED_VALUE"""),40357.645833333336)</f>
        <v>40357.64583</v>
      </c>
      <c r="B2447" s="3">
        <f>IFERROR(__xludf.DUMMYFUNCTION("""COMPUTED_VALUE"""),5271.1)</f>
        <v>5271.1</v>
      </c>
      <c r="C2447" s="3">
        <f>IFERROR(__xludf.DUMMYFUNCTION("""COMPUTED_VALUE"""),5339.45)</f>
        <v>5339.45</v>
      </c>
      <c r="D2447" s="3">
        <f>IFERROR(__xludf.DUMMYFUNCTION("""COMPUTED_VALUE"""),5270.75)</f>
        <v>5270.75</v>
      </c>
      <c r="E2447" s="3">
        <f>IFERROR(__xludf.DUMMYFUNCTION("""COMPUTED_VALUE"""),5333.5)</f>
        <v>5333.5</v>
      </c>
      <c r="F2447" s="3">
        <f>IFERROR(__xludf.DUMMYFUNCTION("""COMPUTED_VALUE"""),0.0)</f>
        <v>0</v>
      </c>
    </row>
    <row r="2448">
      <c r="A2448" s="7">
        <f>IFERROR(__xludf.DUMMYFUNCTION("""COMPUTED_VALUE"""),40358.645833333336)</f>
        <v>40358.64583</v>
      </c>
      <c r="B2448" s="3">
        <f>IFERROR(__xludf.DUMMYFUNCTION("""COMPUTED_VALUE"""),5333.55)</f>
        <v>5333.55</v>
      </c>
      <c r="C2448" s="3">
        <f>IFERROR(__xludf.DUMMYFUNCTION("""COMPUTED_VALUE"""),5334.15)</f>
        <v>5334.15</v>
      </c>
      <c r="D2448" s="3">
        <f>IFERROR(__xludf.DUMMYFUNCTION("""COMPUTED_VALUE"""),5235.8)</f>
        <v>5235.8</v>
      </c>
      <c r="E2448" s="3">
        <f>IFERROR(__xludf.DUMMYFUNCTION("""COMPUTED_VALUE"""),5256.15)</f>
        <v>5256.15</v>
      </c>
      <c r="F2448" s="3">
        <f>IFERROR(__xludf.DUMMYFUNCTION("""COMPUTED_VALUE"""),0.0)</f>
        <v>0</v>
      </c>
    </row>
    <row r="2449">
      <c r="A2449" s="7">
        <f>IFERROR(__xludf.DUMMYFUNCTION("""COMPUTED_VALUE"""),40359.645833333336)</f>
        <v>40359.64583</v>
      </c>
      <c r="B2449" s="3">
        <f>IFERROR(__xludf.DUMMYFUNCTION("""COMPUTED_VALUE"""),5254.25)</f>
        <v>5254.25</v>
      </c>
      <c r="C2449" s="3">
        <f>IFERROR(__xludf.DUMMYFUNCTION("""COMPUTED_VALUE"""),5320.35)</f>
        <v>5320.35</v>
      </c>
      <c r="D2449" s="3">
        <f>IFERROR(__xludf.DUMMYFUNCTION("""COMPUTED_VALUE"""),5210.0)</f>
        <v>5210</v>
      </c>
      <c r="E2449" s="3">
        <f>IFERROR(__xludf.DUMMYFUNCTION("""COMPUTED_VALUE"""),5312.5)</f>
        <v>5312.5</v>
      </c>
      <c r="F2449" s="3">
        <f>IFERROR(__xludf.DUMMYFUNCTION("""COMPUTED_VALUE"""),0.0)</f>
        <v>0</v>
      </c>
    </row>
    <row r="2450">
      <c r="A2450" s="7">
        <f>IFERROR(__xludf.DUMMYFUNCTION("""COMPUTED_VALUE"""),40360.645833333336)</f>
        <v>40360.64583</v>
      </c>
      <c r="B2450" s="3">
        <f>IFERROR(__xludf.DUMMYFUNCTION("""COMPUTED_VALUE"""),5312.05)</f>
        <v>5312.05</v>
      </c>
      <c r="C2450" s="3">
        <f>IFERROR(__xludf.DUMMYFUNCTION("""COMPUTED_VALUE"""),5312.55)</f>
        <v>5312.55</v>
      </c>
      <c r="D2450" s="3">
        <f>IFERROR(__xludf.DUMMYFUNCTION("""COMPUTED_VALUE"""),5232.1)</f>
        <v>5232.1</v>
      </c>
      <c r="E2450" s="3">
        <f>IFERROR(__xludf.DUMMYFUNCTION("""COMPUTED_VALUE"""),5251.4)</f>
        <v>5251.4</v>
      </c>
      <c r="F2450" s="3">
        <f>IFERROR(__xludf.DUMMYFUNCTION("""COMPUTED_VALUE"""),0.0)</f>
        <v>0</v>
      </c>
    </row>
    <row r="2451">
      <c r="A2451" s="7">
        <f>IFERROR(__xludf.DUMMYFUNCTION("""COMPUTED_VALUE"""),40361.645833333336)</f>
        <v>40361.64583</v>
      </c>
      <c r="B2451" s="3">
        <f>IFERROR(__xludf.DUMMYFUNCTION("""COMPUTED_VALUE"""),5251.25)</f>
        <v>5251.25</v>
      </c>
      <c r="C2451" s="3">
        <f>IFERROR(__xludf.DUMMYFUNCTION("""COMPUTED_VALUE"""),5277.25)</f>
        <v>5277.25</v>
      </c>
      <c r="D2451" s="3">
        <f>IFERROR(__xludf.DUMMYFUNCTION("""COMPUTED_VALUE"""),5225.6)</f>
        <v>5225.6</v>
      </c>
      <c r="E2451" s="3">
        <f>IFERROR(__xludf.DUMMYFUNCTION("""COMPUTED_VALUE"""),5237.1)</f>
        <v>5237.1</v>
      </c>
      <c r="F2451" s="3">
        <f>IFERROR(__xludf.DUMMYFUNCTION("""COMPUTED_VALUE"""),0.0)</f>
        <v>0</v>
      </c>
    </row>
    <row r="2452">
      <c r="A2452" s="7">
        <f>IFERROR(__xludf.DUMMYFUNCTION("""COMPUTED_VALUE"""),40364.645833333336)</f>
        <v>40364.64583</v>
      </c>
      <c r="B2452" s="3">
        <f>IFERROR(__xludf.DUMMYFUNCTION("""COMPUTED_VALUE"""),5237.0)</f>
        <v>5237</v>
      </c>
      <c r="C2452" s="3">
        <f>IFERROR(__xludf.DUMMYFUNCTION("""COMPUTED_VALUE"""),5252.75)</f>
        <v>5252.75</v>
      </c>
      <c r="D2452" s="3">
        <f>IFERROR(__xludf.DUMMYFUNCTION("""COMPUTED_VALUE"""),5225.85)</f>
        <v>5225.85</v>
      </c>
      <c r="E2452" s="3">
        <f>IFERROR(__xludf.DUMMYFUNCTION("""COMPUTED_VALUE"""),5235.9)</f>
        <v>5235.9</v>
      </c>
      <c r="F2452" s="3">
        <f>IFERROR(__xludf.DUMMYFUNCTION("""COMPUTED_VALUE"""),0.0)</f>
        <v>0</v>
      </c>
    </row>
    <row r="2453">
      <c r="A2453" s="7">
        <f>IFERROR(__xludf.DUMMYFUNCTION("""COMPUTED_VALUE"""),40365.645833333336)</f>
        <v>40365.64583</v>
      </c>
      <c r="B2453" s="3">
        <f>IFERROR(__xludf.DUMMYFUNCTION("""COMPUTED_VALUE"""),5236.1)</f>
        <v>5236.1</v>
      </c>
      <c r="C2453" s="3">
        <f>IFERROR(__xludf.DUMMYFUNCTION("""COMPUTED_VALUE"""),5297.45)</f>
        <v>5297.45</v>
      </c>
      <c r="D2453" s="3">
        <f>IFERROR(__xludf.DUMMYFUNCTION("""COMPUTED_VALUE"""),5231.5)</f>
        <v>5231.5</v>
      </c>
      <c r="E2453" s="3">
        <f>IFERROR(__xludf.DUMMYFUNCTION("""COMPUTED_VALUE"""),5289.05)</f>
        <v>5289.05</v>
      </c>
      <c r="F2453" s="3">
        <f>IFERROR(__xludf.DUMMYFUNCTION("""COMPUTED_VALUE"""),0.0)</f>
        <v>0</v>
      </c>
    </row>
    <row r="2454">
      <c r="A2454" s="7">
        <f>IFERROR(__xludf.DUMMYFUNCTION("""COMPUTED_VALUE"""),40366.645833333336)</f>
        <v>40366.64583</v>
      </c>
      <c r="B2454" s="3">
        <f>IFERROR(__xludf.DUMMYFUNCTION("""COMPUTED_VALUE"""),5293.1)</f>
        <v>5293.1</v>
      </c>
      <c r="C2454" s="3">
        <f>IFERROR(__xludf.DUMMYFUNCTION("""COMPUTED_VALUE"""),5296.75)</f>
        <v>5296.75</v>
      </c>
      <c r="D2454" s="3">
        <f>IFERROR(__xludf.DUMMYFUNCTION("""COMPUTED_VALUE"""),5233.45)</f>
        <v>5233.45</v>
      </c>
      <c r="E2454" s="3">
        <f>IFERROR(__xludf.DUMMYFUNCTION("""COMPUTED_VALUE"""),5241.1)</f>
        <v>5241.1</v>
      </c>
      <c r="F2454" s="3">
        <f>IFERROR(__xludf.DUMMYFUNCTION("""COMPUTED_VALUE"""),0.0)</f>
        <v>0</v>
      </c>
    </row>
    <row r="2455">
      <c r="A2455" s="7">
        <f>IFERROR(__xludf.DUMMYFUNCTION("""COMPUTED_VALUE"""),40367.645833333336)</f>
        <v>40367.64583</v>
      </c>
      <c r="B2455" s="3">
        <f>IFERROR(__xludf.DUMMYFUNCTION("""COMPUTED_VALUE"""),5242.0)</f>
        <v>5242</v>
      </c>
      <c r="C2455" s="3">
        <f>IFERROR(__xludf.DUMMYFUNCTION("""COMPUTED_VALUE"""),5320.5)</f>
        <v>5320.5</v>
      </c>
      <c r="D2455" s="3">
        <f>IFERROR(__xludf.DUMMYFUNCTION("""COMPUTED_VALUE"""),5242.0)</f>
        <v>5242</v>
      </c>
      <c r="E2455" s="3">
        <f>IFERROR(__xludf.DUMMYFUNCTION("""COMPUTED_VALUE"""),5296.85)</f>
        <v>5296.85</v>
      </c>
      <c r="F2455" s="3">
        <f>IFERROR(__xludf.DUMMYFUNCTION("""COMPUTED_VALUE"""),0.0)</f>
        <v>0</v>
      </c>
    </row>
    <row r="2456">
      <c r="A2456" s="7">
        <f>IFERROR(__xludf.DUMMYFUNCTION("""COMPUTED_VALUE"""),40368.645833333336)</f>
        <v>40368.64583</v>
      </c>
      <c r="B2456" s="3">
        <f>IFERROR(__xludf.DUMMYFUNCTION("""COMPUTED_VALUE"""),5297.2)</f>
        <v>5297.2</v>
      </c>
      <c r="C2456" s="3">
        <f>IFERROR(__xludf.DUMMYFUNCTION("""COMPUTED_VALUE"""),5359.05)</f>
        <v>5359.05</v>
      </c>
      <c r="D2456" s="3">
        <f>IFERROR(__xludf.DUMMYFUNCTION("""COMPUTED_VALUE"""),5297.2)</f>
        <v>5297.2</v>
      </c>
      <c r="E2456" s="3">
        <f>IFERROR(__xludf.DUMMYFUNCTION("""COMPUTED_VALUE"""),5352.45)</f>
        <v>5352.45</v>
      </c>
      <c r="F2456" s="3">
        <f>IFERROR(__xludf.DUMMYFUNCTION("""COMPUTED_VALUE"""),0.0)</f>
        <v>0</v>
      </c>
    </row>
    <row r="2457">
      <c r="A2457" s="7">
        <f>IFERROR(__xludf.DUMMYFUNCTION("""COMPUTED_VALUE"""),40371.645833333336)</f>
        <v>40371.64583</v>
      </c>
      <c r="B2457" s="3">
        <f>IFERROR(__xludf.DUMMYFUNCTION("""COMPUTED_VALUE"""),5352.25)</f>
        <v>5352.25</v>
      </c>
      <c r="C2457" s="3">
        <f>IFERROR(__xludf.DUMMYFUNCTION("""COMPUTED_VALUE"""),5402.7)</f>
        <v>5402.7</v>
      </c>
      <c r="D2457" s="3">
        <f>IFERROR(__xludf.DUMMYFUNCTION("""COMPUTED_VALUE"""),5351.6)</f>
        <v>5351.6</v>
      </c>
      <c r="E2457" s="3">
        <f>IFERROR(__xludf.DUMMYFUNCTION("""COMPUTED_VALUE"""),5383.0)</f>
        <v>5383</v>
      </c>
      <c r="F2457" s="3">
        <f>IFERROR(__xludf.DUMMYFUNCTION("""COMPUTED_VALUE"""),0.0)</f>
        <v>0</v>
      </c>
    </row>
    <row r="2458">
      <c r="A2458" s="7">
        <f>IFERROR(__xludf.DUMMYFUNCTION("""COMPUTED_VALUE"""),40372.645833333336)</f>
        <v>40372.64583</v>
      </c>
      <c r="B2458" s="3">
        <f>IFERROR(__xludf.DUMMYFUNCTION("""COMPUTED_VALUE"""),5370.2)</f>
        <v>5370.2</v>
      </c>
      <c r="C2458" s="3">
        <f>IFERROR(__xludf.DUMMYFUNCTION("""COMPUTED_VALUE"""),5406.2)</f>
        <v>5406.2</v>
      </c>
      <c r="D2458" s="3">
        <f>IFERROR(__xludf.DUMMYFUNCTION("""COMPUTED_VALUE"""),5357.85)</f>
        <v>5357.85</v>
      </c>
      <c r="E2458" s="3">
        <f>IFERROR(__xludf.DUMMYFUNCTION("""COMPUTED_VALUE"""),5400.65)</f>
        <v>5400.65</v>
      </c>
      <c r="F2458" s="3">
        <f>IFERROR(__xludf.DUMMYFUNCTION("""COMPUTED_VALUE"""),0.0)</f>
        <v>0</v>
      </c>
    </row>
    <row r="2459">
      <c r="A2459" s="7">
        <f>IFERROR(__xludf.DUMMYFUNCTION("""COMPUTED_VALUE"""),40373.645833333336)</f>
        <v>40373.64583</v>
      </c>
      <c r="B2459" s="3">
        <f>IFERROR(__xludf.DUMMYFUNCTION("""COMPUTED_VALUE"""),5402.0)</f>
        <v>5402</v>
      </c>
      <c r="C2459" s="3">
        <f>IFERROR(__xludf.DUMMYFUNCTION("""COMPUTED_VALUE"""),5453.45)</f>
        <v>5453.45</v>
      </c>
      <c r="D2459" s="3">
        <f>IFERROR(__xludf.DUMMYFUNCTION("""COMPUTED_VALUE"""),5371.7)</f>
        <v>5371.7</v>
      </c>
      <c r="E2459" s="3">
        <f>IFERROR(__xludf.DUMMYFUNCTION("""COMPUTED_VALUE"""),5386.15)</f>
        <v>5386.15</v>
      </c>
      <c r="F2459" s="3">
        <f>IFERROR(__xludf.DUMMYFUNCTION("""COMPUTED_VALUE"""),0.0)</f>
        <v>0</v>
      </c>
    </row>
    <row r="2460">
      <c r="A2460" s="7">
        <f>IFERROR(__xludf.DUMMYFUNCTION("""COMPUTED_VALUE"""),40374.645833333336)</f>
        <v>40374.64583</v>
      </c>
      <c r="B2460" s="3">
        <f>IFERROR(__xludf.DUMMYFUNCTION("""COMPUTED_VALUE"""),5387.1)</f>
        <v>5387.1</v>
      </c>
      <c r="C2460" s="3">
        <f>IFERROR(__xludf.DUMMYFUNCTION("""COMPUTED_VALUE"""),5399.2)</f>
        <v>5399.2</v>
      </c>
      <c r="D2460" s="3">
        <f>IFERROR(__xludf.DUMMYFUNCTION("""COMPUTED_VALUE"""),5360.6)</f>
        <v>5360.6</v>
      </c>
      <c r="E2460" s="3">
        <f>IFERROR(__xludf.DUMMYFUNCTION("""COMPUTED_VALUE"""),5378.75)</f>
        <v>5378.75</v>
      </c>
      <c r="F2460" s="3">
        <f>IFERROR(__xludf.DUMMYFUNCTION("""COMPUTED_VALUE"""),0.0)</f>
        <v>0</v>
      </c>
    </row>
    <row r="2461">
      <c r="A2461" s="7">
        <f>IFERROR(__xludf.DUMMYFUNCTION("""COMPUTED_VALUE"""),40375.645833333336)</f>
        <v>40375.64583</v>
      </c>
      <c r="B2461" s="3">
        <f>IFERROR(__xludf.DUMMYFUNCTION("""COMPUTED_VALUE"""),5376.65)</f>
        <v>5376.65</v>
      </c>
      <c r="C2461" s="3">
        <f>IFERROR(__xludf.DUMMYFUNCTION("""COMPUTED_VALUE"""),5401.35)</f>
        <v>5401.35</v>
      </c>
      <c r="D2461" s="3">
        <f>IFERROR(__xludf.DUMMYFUNCTION("""COMPUTED_VALUE"""),5374.4)</f>
        <v>5374.4</v>
      </c>
      <c r="E2461" s="3">
        <f>IFERROR(__xludf.DUMMYFUNCTION("""COMPUTED_VALUE"""),5393.9)</f>
        <v>5393.9</v>
      </c>
      <c r="F2461" s="3">
        <f>IFERROR(__xludf.DUMMYFUNCTION("""COMPUTED_VALUE"""),0.0)</f>
        <v>0</v>
      </c>
    </row>
    <row r="2462">
      <c r="A2462" s="7">
        <f>IFERROR(__xludf.DUMMYFUNCTION("""COMPUTED_VALUE"""),40378.645833333336)</f>
        <v>40378.64583</v>
      </c>
      <c r="B2462" s="3">
        <f>IFERROR(__xludf.DUMMYFUNCTION("""COMPUTED_VALUE"""),5392.7)</f>
        <v>5392.7</v>
      </c>
      <c r="C2462" s="3">
        <f>IFERROR(__xludf.DUMMYFUNCTION("""COMPUTED_VALUE"""),5409.1)</f>
        <v>5409.1</v>
      </c>
      <c r="D2462" s="3">
        <f>IFERROR(__xludf.DUMMYFUNCTION("""COMPUTED_VALUE"""),5361.5)</f>
        <v>5361.5</v>
      </c>
      <c r="E2462" s="3">
        <f>IFERROR(__xludf.DUMMYFUNCTION("""COMPUTED_VALUE"""),5386.45)</f>
        <v>5386.45</v>
      </c>
      <c r="F2462" s="3">
        <f>IFERROR(__xludf.DUMMYFUNCTION("""COMPUTED_VALUE"""),0.0)</f>
        <v>0</v>
      </c>
    </row>
    <row r="2463">
      <c r="A2463" s="7">
        <f>IFERROR(__xludf.DUMMYFUNCTION("""COMPUTED_VALUE"""),40379.645833333336)</f>
        <v>40379.64583</v>
      </c>
      <c r="B2463" s="3">
        <f>IFERROR(__xludf.DUMMYFUNCTION("""COMPUTED_VALUE"""),5387.0)</f>
        <v>5387</v>
      </c>
      <c r="C2463" s="3">
        <f>IFERROR(__xludf.DUMMYFUNCTION("""COMPUTED_VALUE"""),5416.45)</f>
        <v>5416.45</v>
      </c>
      <c r="D2463" s="3">
        <f>IFERROR(__xludf.DUMMYFUNCTION("""COMPUTED_VALUE"""),5353.6)</f>
        <v>5353.6</v>
      </c>
      <c r="E2463" s="3">
        <f>IFERROR(__xludf.DUMMYFUNCTION("""COMPUTED_VALUE"""),5368.0)</f>
        <v>5368</v>
      </c>
      <c r="F2463" s="3">
        <f>IFERROR(__xludf.DUMMYFUNCTION("""COMPUTED_VALUE"""),0.0)</f>
        <v>0</v>
      </c>
    </row>
    <row r="2464">
      <c r="A2464" s="7">
        <f>IFERROR(__xludf.DUMMYFUNCTION("""COMPUTED_VALUE"""),40380.645833333336)</f>
        <v>40380.64583</v>
      </c>
      <c r="B2464" s="3">
        <f>IFERROR(__xludf.DUMMYFUNCTION("""COMPUTED_VALUE"""),5368.85)</f>
        <v>5368.85</v>
      </c>
      <c r="C2464" s="3">
        <f>IFERROR(__xludf.DUMMYFUNCTION("""COMPUTED_VALUE"""),5409.1)</f>
        <v>5409.1</v>
      </c>
      <c r="D2464" s="3">
        <f>IFERROR(__xludf.DUMMYFUNCTION("""COMPUTED_VALUE"""),5368.85)</f>
        <v>5368.85</v>
      </c>
      <c r="E2464" s="3">
        <f>IFERROR(__xludf.DUMMYFUNCTION("""COMPUTED_VALUE"""),5399.35)</f>
        <v>5399.35</v>
      </c>
      <c r="F2464" s="3">
        <f>IFERROR(__xludf.DUMMYFUNCTION("""COMPUTED_VALUE"""),0.0)</f>
        <v>0</v>
      </c>
    </row>
    <row r="2465">
      <c r="A2465" s="7">
        <f>IFERROR(__xludf.DUMMYFUNCTION("""COMPUTED_VALUE"""),40381.645833333336)</f>
        <v>40381.64583</v>
      </c>
      <c r="B2465" s="3">
        <f>IFERROR(__xludf.DUMMYFUNCTION("""COMPUTED_VALUE"""),5399.15)</f>
        <v>5399.15</v>
      </c>
      <c r="C2465" s="3">
        <f>IFERROR(__xludf.DUMMYFUNCTION("""COMPUTED_VALUE"""),5447.15)</f>
        <v>5447.15</v>
      </c>
      <c r="D2465" s="3">
        <f>IFERROR(__xludf.DUMMYFUNCTION("""COMPUTED_VALUE"""),5372.2)</f>
        <v>5372.2</v>
      </c>
      <c r="E2465" s="3">
        <f>IFERROR(__xludf.DUMMYFUNCTION("""COMPUTED_VALUE"""),5441.95)</f>
        <v>5441.95</v>
      </c>
      <c r="F2465" s="3">
        <f>IFERROR(__xludf.DUMMYFUNCTION("""COMPUTED_VALUE"""),0.0)</f>
        <v>0</v>
      </c>
    </row>
    <row r="2466">
      <c r="A2466" s="7">
        <f>IFERROR(__xludf.DUMMYFUNCTION("""COMPUTED_VALUE"""),40382.645833333336)</f>
        <v>40382.64583</v>
      </c>
      <c r="B2466" s="3">
        <f>IFERROR(__xludf.DUMMYFUNCTION("""COMPUTED_VALUE"""),5441.9)</f>
        <v>5441.9</v>
      </c>
      <c r="C2466" s="3">
        <f>IFERROR(__xludf.DUMMYFUNCTION("""COMPUTED_VALUE"""),5477.5)</f>
        <v>5477.5</v>
      </c>
      <c r="D2466" s="3">
        <f>IFERROR(__xludf.DUMMYFUNCTION("""COMPUTED_VALUE"""),5435.15)</f>
        <v>5435.15</v>
      </c>
      <c r="E2466" s="3">
        <f>IFERROR(__xludf.DUMMYFUNCTION("""COMPUTED_VALUE"""),5449.1)</f>
        <v>5449.1</v>
      </c>
      <c r="F2466" s="3">
        <f>IFERROR(__xludf.DUMMYFUNCTION("""COMPUTED_VALUE"""),0.0)</f>
        <v>0</v>
      </c>
    </row>
    <row r="2467">
      <c r="A2467" s="7">
        <f>IFERROR(__xludf.DUMMYFUNCTION("""COMPUTED_VALUE"""),40385.645833333336)</f>
        <v>40385.64583</v>
      </c>
      <c r="B2467" s="3">
        <f>IFERROR(__xludf.DUMMYFUNCTION("""COMPUTED_VALUE"""),5446.55)</f>
        <v>5446.55</v>
      </c>
      <c r="C2467" s="3">
        <f>IFERROR(__xludf.DUMMYFUNCTION("""COMPUTED_VALUE"""),5466.25)</f>
        <v>5466.25</v>
      </c>
      <c r="D2467" s="3">
        <f>IFERROR(__xludf.DUMMYFUNCTION("""COMPUTED_VALUE"""),5409.2)</f>
        <v>5409.2</v>
      </c>
      <c r="E2467" s="3">
        <f>IFERROR(__xludf.DUMMYFUNCTION("""COMPUTED_VALUE"""),5418.6)</f>
        <v>5418.6</v>
      </c>
      <c r="F2467" s="3">
        <f>IFERROR(__xludf.DUMMYFUNCTION("""COMPUTED_VALUE"""),0.0)</f>
        <v>0</v>
      </c>
    </row>
    <row r="2468">
      <c r="A2468" s="7">
        <f>IFERROR(__xludf.DUMMYFUNCTION("""COMPUTED_VALUE"""),40386.645833333336)</f>
        <v>40386.64583</v>
      </c>
      <c r="B2468" s="3">
        <f>IFERROR(__xludf.DUMMYFUNCTION("""COMPUTED_VALUE"""),5420.2)</f>
        <v>5420.2</v>
      </c>
      <c r="C2468" s="3">
        <f>IFERROR(__xludf.DUMMYFUNCTION("""COMPUTED_VALUE"""),5450.95)</f>
        <v>5450.95</v>
      </c>
      <c r="D2468" s="3">
        <f>IFERROR(__xludf.DUMMYFUNCTION("""COMPUTED_VALUE"""),5407.2)</f>
        <v>5407.2</v>
      </c>
      <c r="E2468" s="3">
        <f>IFERROR(__xludf.DUMMYFUNCTION("""COMPUTED_VALUE"""),5430.6)</f>
        <v>5430.6</v>
      </c>
      <c r="F2468" s="3">
        <f>IFERROR(__xludf.DUMMYFUNCTION("""COMPUTED_VALUE"""),0.0)</f>
        <v>0</v>
      </c>
    </row>
    <row r="2469">
      <c r="A2469" s="7">
        <f>IFERROR(__xludf.DUMMYFUNCTION("""COMPUTED_VALUE"""),40387.645833333336)</f>
        <v>40387.64583</v>
      </c>
      <c r="B2469" s="3">
        <f>IFERROR(__xludf.DUMMYFUNCTION("""COMPUTED_VALUE"""),5436.1)</f>
        <v>5436.1</v>
      </c>
      <c r="C2469" s="3">
        <f>IFERROR(__xludf.DUMMYFUNCTION("""COMPUTED_VALUE"""),5447.85)</f>
        <v>5447.85</v>
      </c>
      <c r="D2469" s="3">
        <f>IFERROR(__xludf.DUMMYFUNCTION("""COMPUTED_VALUE"""),5386.25)</f>
        <v>5386.25</v>
      </c>
      <c r="E2469" s="3">
        <f>IFERROR(__xludf.DUMMYFUNCTION("""COMPUTED_VALUE"""),5397.55)</f>
        <v>5397.55</v>
      </c>
      <c r="F2469" s="3">
        <f>IFERROR(__xludf.DUMMYFUNCTION("""COMPUTED_VALUE"""),0.0)</f>
        <v>0</v>
      </c>
    </row>
    <row r="2470">
      <c r="A2470" s="7">
        <f>IFERROR(__xludf.DUMMYFUNCTION("""COMPUTED_VALUE"""),40388.645833333336)</f>
        <v>40388.64583</v>
      </c>
      <c r="B2470" s="3">
        <f>IFERROR(__xludf.DUMMYFUNCTION("""COMPUTED_VALUE"""),5397.85)</f>
        <v>5397.85</v>
      </c>
      <c r="C2470" s="3">
        <f>IFERROR(__xludf.DUMMYFUNCTION("""COMPUTED_VALUE"""),5415.85)</f>
        <v>5415.85</v>
      </c>
      <c r="D2470" s="3">
        <f>IFERROR(__xludf.DUMMYFUNCTION("""COMPUTED_VALUE"""),5381.55)</f>
        <v>5381.55</v>
      </c>
      <c r="E2470" s="3">
        <f>IFERROR(__xludf.DUMMYFUNCTION("""COMPUTED_VALUE"""),5408.9)</f>
        <v>5408.9</v>
      </c>
      <c r="F2470" s="3">
        <f>IFERROR(__xludf.DUMMYFUNCTION("""COMPUTED_VALUE"""),0.0)</f>
        <v>0</v>
      </c>
    </row>
    <row r="2471">
      <c r="A2471" s="7">
        <f>IFERROR(__xludf.DUMMYFUNCTION("""COMPUTED_VALUE"""),40389.645833333336)</f>
        <v>40389.64583</v>
      </c>
      <c r="B2471" s="3">
        <f>IFERROR(__xludf.DUMMYFUNCTION("""COMPUTED_VALUE"""),5408.4)</f>
        <v>5408.4</v>
      </c>
      <c r="C2471" s="3">
        <f>IFERROR(__xludf.DUMMYFUNCTION("""COMPUTED_VALUE"""),5413.25)</f>
        <v>5413.25</v>
      </c>
      <c r="D2471" s="3">
        <f>IFERROR(__xludf.DUMMYFUNCTION("""COMPUTED_VALUE"""),5349.2)</f>
        <v>5349.2</v>
      </c>
      <c r="E2471" s="3">
        <f>IFERROR(__xludf.DUMMYFUNCTION("""COMPUTED_VALUE"""),5367.6)</f>
        <v>5367.6</v>
      </c>
      <c r="F2471" s="3">
        <f>IFERROR(__xludf.DUMMYFUNCTION("""COMPUTED_VALUE"""),0.0)</f>
        <v>0</v>
      </c>
    </row>
    <row r="2472">
      <c r="A2472" s="7">
        <f>IFERROR(__xludf.DUMMYFUNCTION("""COMPUTED_VALUE"""),40392.645833333336)</f>
        <v>40392.64583</v>
      </c>
      <c r="B2472" s="3">
        <f>IFERROR(__xludf.DUMMYFUNCTION("""COMPUTED_VALUE"""),5369.55)</f>
        <v>5369.55</v>
      </c>
      <c r="C2472" s="3">
        <f>IFERROR(__xludf.DUMMYFUNCTION("""COMPUTED_VALUE"""),5438.85)</f>
        <v>5438.85</v>
      </c>
      <c r="D2472" s="3">
        <f>IFERROR(__xludf.DUMMYFUNCTION("""COMPUTED_VALUE"""),5351.3)</f>
        <v>5351.3</v>
      </c>
      <c r="E2472" s="3">
        <f>IFERROR(__xludf.DUMMYFUNCTION("""COMPUTED_VALUE"""),5431.65)</f>
        <v>5431.65</v>
      </c>
      <c r="F2472" s="3">
        <f>IFERROR(__xludf.DUMMYFUNCTION("""COMPUTED_VALUE"""),0.0)</f>
        <v>0</v>
      </c>
    </row>
    <row r="2473">
      <c r="A2473" s="7">
        <f>IFERROR(__xludf.DUMMYFUNCTION("""COMPUTED_VALUE"""),40393.645833333336)</f>
        <v>40393.64583</v>
      </c>
      <c r="B2473" s="3">
        <f>IFERROR(__xludf.DUMMYFUNCTION("""COMPUTED_VALUE"""),5432.5)</f>
        <v>5432.5</v>
      </c>
      <c r="C2473" s="3">
        <f>IFERROR(__xludf.DUMMYFUNCTION("""COMPUTED_VALUE"""),5459.2)</f>
        <v>5459.2</v>
      </c>
      <c r="D2473" s="3">
        <f>IFERROR(__xludf.DUMMYFUNCTION("""COMPUTED_VALUE"""),5426.4)</f>
        <v>5426.4</v>
      </c>
      <c r="E2473" s="3">
        <f>IFERROR(__xludf.DUMMYFUNCTION("""COMPUTED_VALUE"""),5439.55)</f>
        <v>5439.55</v>
      </c>
      <c r="F2473" s="3">
        <f>IFERROR(__xludf.DUMMYFUNCTION("""COMPUTED_VALUE"""),0.0)</f>
        <v>0</v>
      </c>
    </row>
    <row r="2474">
      <c r="A2474" s="7">
        <f>IFERROR(__xludf.DUMMYFUNCTION("""COMPUTED_VALUE"""),40394.645833333336)</f>
        <v>40394.64583</v>
      </c>
      <c r="B2474" s="3">
        <f>IFERROR(__xludf.DUMMYFUNCTION("""COMPUTED_VALUE"""),5441.35)</f>
        <v>5441.35</v>
      </c>
      <c r="C2474" s="3">
        <f>IFERROR(__xludf.DUMMYFUNCTION("""COMPUTED_VALUE"""),5481.9)</f>
        <v>5481.9</v>
      </c>
      <c r="D2474" s="3">
        <f>IFERROR(__xludf.DUMMYFUNCTION("""COMPUTED_VALUE"""),5428.4)</f>
        <v>5428.4</v>
      </c>
      <c r="E2474" s="3">
        <f>IFERROR(__xludf.DUMMYFUNCTION("""COMPUTED_VALUE"""),5467.85)</f>
        <v>5467.85</v>
      </c>
      <c r="F2474" s="3">
        <f>IFERROR(__xludf.DUMMYFUNCTION("""COMPUTED_VALUE"""),0.0)</f>
        <v>0</v>
      </c>
    </row>
    <row r="2475">
      <c r="A2475" s="7">
        <f>IFERROR(__xludf.DUMMYFUNCTION("""COMPUTED_VALUE"""),40395.645833333336)</f>
        <v>40395.64583</v>
      </c>
      <c r="B2475" s="3">
        <f>IFERROR(__xludf.DUMMYFUNCTION("""COMPUTED_VALUE"""),5470.15)</f>
        <v>5470.15</v>
      </c>
      <c r="C2475" s="3">
        <f>IFERROR(__xludf.DUMMYFUNCTION("""COMPUTED_VALUE"""),5487.15)</f>
        <v>5487.15</v>
      </c>
      <c r="D2475" s="3">
        <f>IFERROR(__xludf.DUMMYFUNCTION("""COMPUTED_VALUE"""),5443.1)</f>
        <v>5443.1</v>
      </c>
      <c r="E2475" s="3">
        <f>IFERROR(__xludf.DUMMYFUNCTION("""COMPUTED_VALUE"""),5447.1)</f>
        <v>5447.1</v>
      </c>
      <c r="F2475" s="3">
        <f>IFERROR(__xludf.DUMMYFUNCTION("""COMPUTED_VALUE"""),0.0)</f>
        <v>0</v>
      </c>
    </row>
    <row r="2476">
      <c r="A2476" s="7">
        <f>IFERROR(__xludf.DUMMYFUNCTION("""COMPUTED_VALUE"""),40396.645833333336)</f>
        <v>40396.64583</v>
      </c>
      <c r="B2476" s="3">
        <f>IFERROR(__xludf.DUMMYFUNCTION("""COMPUTED_VALUE"""),5448.25)</f>
        <v>5448.25</v>
      </c>
      <c r="C2476" s="3">
        <f>IFERROR(__xludf.DUMMYFUNCTION("""COMPUTED_VALUE"""),5471.9)</f>
        <v>5471.9</v>
      </c>
      <c r="D2476" s="3">
        <f>IFERROR(__xludf.DUMMYFUNCTION("""COMPUTED_VALUE"""),5431.35)</f>
        <v>5431.35</v>
      </c>
      <c r="E2476" s="3">
        <f>IFERROR(__xludf.DUMMYFUNCTION("""COMPUTED_VALUE"""),5439.25)</f>
        <v>5439.25</v>
      </c>
      <c r="F2476" s="3">
        <f>IFERROR(__xludf.DUMMYFUNCTION("""COMPUTED_VALUE"""),0.0)</f>
        <v>0</v>
      </c>
    </row>
    <row r="2477">
      <c r="A2477" s="7">
        <f>IFERROR(__xludf.DUMMYFUNCTION("""COMPUTED_VALUE"""),40399.645833333336)</f>
        <v>40399.64583</v>
      </c>
      <c r="B2477" s="3">
        <f>IFERROR(__xludf.DUMMYFUNCTION("""COMPUTED_VALUE"""),5439.8)</f>
        <v>5439.8</v>
      </c>
      <c r="C2477" s="3">
        <f>IFERROR(__xludf.DUMMYFUNCTION("""COMPUTED_VALUE"""),5492.3)</f>
        <v>5492.3</v>
      </c>
      <c r="D2477" s="3">
        <f>IFERROR(__xludf.DUMMYFUNCTION("""COMPUTED_VALUE"""),5433.25)</f>
        <v>5433.25</v>
      </c>
      <c r="E2477" s="3">
        <f>IFERROR(__xludf.DUMMYFUNCTION("""COMPUTED_VALUE"""),5486.15)</f>
        <v>5486.15</v>
      </c>
      <c r="F2477" s="3">
        <f>IFERROR(__xludf.DUMMYFUNCTION("""COMPUTED_VALUE"""),0.0)</f>
        <v>0</v>
      </c>
    </row>
    <row r="2478">
      <c r="A2478" s="7">
        <f>IFERROR(__xludf.DUMMYFUNCTION("""COMPUTED_VALUE"""),40400.645833333336)</f>
        <v>40400.64583</v>
      </c>
      <c r="B2478" s="3">
        <f>IFERROR(__xludf.DUMMYFUNCTION("""COMPUTED_VALUE"""),5486.8)</f>
        <v>5486.8</v>
      </c>
      <c r="C2478" s="3">
        <f>IFERROR(__xludf.DUMMYFUNCTION("""COMPUTED_VALUE"""),5491.45)</f>
        <v>5491.45</v>
      </c>
      <c r="D2478" s="3">
        <f>IFERROR(__xludf.DUMMYFUNCTION("""COMPUTED_VALUE"""),5445.35)</f>
        <v>5445.35</v>
      </c>
      <c r="E2478" s="3">
        <f>IFERROR(__xludf.DUMMYFUNCTION("""COMPUTED_VALUE"""),5460.7)</f>
        <v>5460.7</v>
      </c>
      <c r="F2478" s="3">
        <f>IFERROR(__xludf.DUMMYFUNCTION("""COMPUTED_VALUE"""),0.0)</f>
        <v>0</v>
      </c>
    </row>
    <row r="2479">
      <c r="A2479" s="7">
        <f>IFERROR(__xludf.DUMMYFUNCTION("""COMPUTED_VALUE"""),40401.645833333336)</f>
        <v>40401.64583</v>
      </c>
      <c r="B2479" s="3">
        <f>IFERROR(__xludf.DUMMYFUNCTION("""COMPUTED_VALUE"""),5460.7)</f>
        <v>5460.7</v>
      </c>
      <c r="C2479" s="3">
        <f>IFERROR(__xludf.DUMMYFUNCTION("""COMPUTED_VALUE"""),5474.6)</f>
        <v>5474.6</v>
      </c>
      <c r="D2479" s="3">
        <f>IFERROR(__xludf.DUMMYFUNCTION("""COMPUTED_VALUE"""),5412.0)</f>
        <v>5412</v>
      </c>
      <c r="E2479" s="3">
        <f>IFERROR(__xludf.DUMMYFUNCTION("""COMPUTED_VALUE"""),5420.6)</f>
        <v>5420.6</v>
      </c>
      <c r="F2479" s="3">
        <f>IFERROR(__xludf.DUMMYFUNCTION("""COMPUTED_VALUE"""),0.0)</f>
        <v>0</v>
      </c>
    </row>
    <row r="2480">
      <c r="A2480" s="7">
        <f>IFERROR(__xludf.DUMMYFUNCTION("""COMPUTED_VALUE"""),40402.645833333336)</f>
        <v>40402.64583</v>
      </c>
      <c r="B2480" s="3">
        <f>IFERROR(__xludf.DUMMYFUNCTION("""COMPUTED_VALUE"""),5418.7)</f>
        <v>5418.7</v>
      </c>
      <c r="C2480" s="3">
        <f>IFERROR(__xludf.DUMMYFUNCTION("""COMPUTED_VALUE"""),5431.1)</f>
        <v>5431.1</v>
      </c>
      <c r="D2480" s="3">
        <f>IFERROR(__xludf.DUMMYFUNCTION("""COMPUTED_VALUE"""),5372.45)</f>
        <v>5372.45</v>
      </c>
      <c r="E2480" s="3">
        <f>IFERROR(__xludf.DUMMYFUNCTION("""COMPUTED_VALUE"""),5416.45)</f>
        <v>5416.45</v>
      </c>
      <c r="F2480" s="3">
        <f>IFERROR(__xludf.DUMMYFUNCTION("""COMPUTED_VALUE"""),0.0)</f>
        <v>0</v>
      </c>
    </row>
    <row r="2481">
      <c r="A2481" s="7">
        <f>IFERROR(__xludf.DUMMYFUNCTION("""COMPUTED_VALUE"""),40403.645833333336)</f>
        <v>40403.64583</v>
      </c>
      <c r="B2481" s="3">
        <f>IFERROR(__xludf.DUMMYFUNCTION("""COMPUTED_VALUE"""),5420.65)</f>
        <v>5420.65</v>
      </c>
      <c r="C2481" s="3">
        <f>IFERROR(__xludf.DUMMYFUNCTION("""COMPUTED_VALUE"""),5476.5)</f>
        <v>5476.5</v>
      </c>
      <c r="D2481" s="3">
        <f>IFERROR(__xludf.DUMMYFUNCTION("""COMPUTED_VALUE"""),5415.5)</f>
        <v>5415.5</v>
      </c>
      <c r="E2481" s="3">
        <f>IFERROR(__xludf.DUMMYFUNCTION("""COMPUTED_VALUE"""),5452.1)</f>
        <v>5452.1</v>
      </c>
      <c r="F2481" s="3">
        <f>IFERROR(__xludf.DUMMYFUNCTION("""COMPUTED_VALUE"""),0.0)</f>
        <v>0</v>
      </c>
    </row>
    <row r="2482">
      <c r="A2482" s="7">
        <f>IFERROR(__xludf.DUMMYFUNCTION("""COMPUTED_VALUE"""),40406.645833333336)</f>
        <v>40406.64583</v>
      </c>
      <c r="B2482" s="3">
        <f>IFERROR(__xludf.DUMMYFUNCTION("""COMPUTED_VALUE"""),5452.1)</f>
        <v>5452.1</v>
      </c>
      <c r="C2482" s="3">
        <f>IFERROR(__xludf.DUMMYFUNCTION("""COMPUTED_VALUE"""),5465.25)</f>
        <v>5465.25</v>
      </c>
      <c r="D2482" s="3">
        <f>IFERROR(__xludf.DUMMYFUNCTION("""COMPUTED_VALUE"""),5397.4)</f>
        <v>5397.4</v>
      </c>
      <c r="E2482" s="3">
        <f>IFERROR(__xludf.DUMMYFUNCTION("""COMPUTED_VALUE"""),5418.3)</f>
        <v>5418.3</v>
      </c>
      <c r="F2482" s="3">
        <f>IFERROR(__xludf.DUMMYFUNCTION("""COMPUTED_VALUE"""),0.0)</f>
        <v>0</v>
      </c>
    </row>
    <row r="2483">
      <c r="A2483" s="7">
        <f>IFERROR(__xludf.DUMMYFUNCTION("""COMPUTED_VALUE"""),40407.645833333336)</f>
        <v>40407.64583</v>
      </c>
      <c r="B2483" s="3">
        <f>IFERROR(__xludf.DUMMYFUNCTION("""COMPUTED_VALUE"""),5422.15)</f>
        <v>5422.15</v>
      </c>
      <c r="C2483" s="3">
        <f>IFERROR(__xludf.DUMMYFUNCTION("""COMPUTED_VALUE"""),5443.55)</f>
        <v>5443.55</v>
      </c>
      <c r="D2483" s="3">
        <f>IFERROR(__xludf.DUMMYFUNCTION("""COMPUTED_VALUE"""),5408.8)</f>
        <v>5408.8</v>
      </c>
      <c r="E2483" s="3">
        <f>IFERROR(__xludf.DUMMYFUNCTION("""COMPUTED_VALUE"""),5414.15)</f>
        <v>5414.15</v>
      </c>
      <c r="F2483" s="3">
        <f>IFERROR(__xludf.DUMMYFUNCTION("""COMPUTED_VALUE"""),0.0)</f>
        <v>0</v>
      </c>
    </row>
    <row r="2484">
      <c r="A2484" s="7">
        <f>IFERROR(__xludf.DUMMYFUNCTION("""COMPUTED_VALUE"""),40408.645833333336)</f>
        <v>40408.64583</v>
      </c>
      <c r="B2484" s="3">
        <f>IFERROR(__xludf.DUMMYFUNCTION("""COMPUTED_VALUE"""),5416.25)</f>
        <v>5416.25</v>
      </c>
      <c r="C2484" s="3">
        <f>IFERROR(__xludf.DUMMYFUNCTION("""COMPUTED_VALUE"""),5487.95)</f>
        <v>5487.95</v>
      </c>
      <c r="D2484" s="3">
        <f>IFERROR(__xludf.DUMMYFUNCTION("""COMPUTED_VALUE"""),5416.25)</f>
        <v>5416.25</v>
      </c>
      <c r="E2484" s="3">
        <f>IFERROR(__xludf.DUMMYFUNCTION("""COMPUTED_VALUE"""),5479.15)</f>
        <v>5479.15</v>
      </c>
      <c r="F2484" s="3">
        <f>IFERROR(__xludf.DUMMYFUNCTION("""COMPUTED_VALUE"""),0.0)</f>
        <v>0</v>
      </c>
    </row>
    <row r="2485">
      <c r="A2485" s="7">
        <f>IFERROR(__xludf.DUMMYFUNCTION("""COMPUTED_VALUE"""),40409.645833333336)</f>
        <v>40409.64583</v>
      </c>
      <c r="B2485" s="3">
        <f>IFERROR(__xludf.DUMMYFUNCTION("""COMPUTED_VALUE"""),5478.25)</f>
        <v>5478.25</v>
      </c>
      <c r="C2485" s="3">
        <f>IFERROR(__xludf.DUMMYFUNCTION("""COMPUTED_VALUE"""),5544.7)</f>
        <v>5544.7</v>
      </c>
      <c r="D2485" s="3">
        <f>IFERROR(__xludf.DUMMYFUNCTION("""COMPUTED_VALUE"""),5478.1)</f>
        <v>5478.1</v>
      </c>
      <c r="E2485" s="3">
        <f>IFERROR(__xludf.DUMMYFUNCTION("""COMPUTED_VALUE"""),5540.2)</f>
        <v>5540.2</v>
      </c>
      <c r="F2485" s="3">
        <f>IFERROR(__xludf.DUMMYFUNCTION("""COMPUTED_VALUE"""),0.0)</f>
        <v>0</v>
      </c>
    </row>
    <row r="2486">
      <c r="A2486" s="7">
        <f>IFERROR(__xludf.DUMMYFUNCTION("""COMPUTED_VALUE"""),40410.645833333336)</f>
        <v>40410.64583</v>
      </c>
      <c r="B2486" s="3">
        <f>IFERROR(__xludf.DUMMYFUNCTION("""COMPUTED_VALUE"""),5540.8)</f>
        <v>5540.8</v>
      </c>
      <c r="C2486" s="3">
        <f>IFERROR(__xludf.DUMMYFUNCTION("""COMPUTED_VALUE"""),5546.6)</f>
        <v>5546.6</v>
      </c>
      <c r="D2486" s="3">
        <f>IFERROR(__xludf.DUMMYFUNCTION("""COMPUTED_VALUE"""),5513.35)</f>
        <v>5513.35</v>
      </c>
      <c r="E2486" s="3">
        <f>IFERROR(__xludf.DUMMYFUNCTION("""COMPUTED_VALUE"""),5530.65)</f>
        <v>5530.65</v>
      </c>
      <c r="F2486" s="3">
        <f>IFERROR(__xludf.DUMMYFUNCTION("""COMPUTED_VALUE"""),0.0)</f>
        <v>0</v>
      </c>
    </row>
    <row r="2487">
      <c r="A2487" s="7">
        <f>IFERROR(__xludf.DUMMYFUNCTION("""COMPUTED_VALUE"""),40413.645833333336)</f>
        <v>40413.64583</v>
      </c>
      <c r="B2487" s="3">
        <f>IFERROR(__xludf.DUMMYFUNCTION("""COMPUTED_VALUE"""),5531.15)</f>
        <v>5531.15</v>
      </c>
      <c r="C2487" s="3">
        <f>IFERROR(__xludf.DUMMYFUNCTION("""COMPUTED_VALUE"""),5549.8)</f>
        <v>5549.8</v>
      </c>
      <c r="D2487" s="3">
        <f>IFERROR(__xludf.DUMMYFUNCTION("""COMPUTED_VALUE"""),5519.4)</f>
        <v>5519.4</v>
      </c>
      <c r="E2487" s="3">
        <f>IFERROR(__xludf.DUMMYFUNCTION("""COMPUTED_VALUE"""),5543.5)</f>
        <v>5543.5</v>
      </c>
      <c r="F2487" s="3">
        <f>IFERROR(__xludf.DUMMYFUNCTION("""COMPUTED_VALUE"""),0.0)</f>
        <v>0</v>
      </c>
    </row>
    <row r="2488">
      <c r="A2488" s="7">
        <f>IFERROR(__xludf.DUMMYFUNCTION("""COMPUTED_VALUE"""),40414.645833333336)</f>
        <v>40414.64583</v>
      </c>
      <c r="B2488" s="3">
        <f>IFERROR(__xludf.DUMMYFUNCTION("""COMPUTED_VALUE"""),5541.1)</f>
        <v>5541.1</v>
      </c>
      <c r="C2488" s="3">
        <f>IFERROR(__xludf.DUMMYFUNCTION("""COMPUTED_VALUE"""),5547.25)</f>
        <v>5547.25</v>
      </c>
      <c r="D2488" s="3">
        <f>IFERROR(__xludf.DUMMYFUNCTION("""COMPUTED_VALUE"""),5488.45)</f>
        <v>5488.45</v>
      </c>
      <c r="E2488" s="3">
        <f>IFERROR(__xludf.DUMMYFUNCTION("""COMPUTED_VALUE"""),5505.1)</f>
        <v>5505.1</v>
      </c>
      <c r="F2488" s="3">
        <f>IFERROR(__xludf.DUMMYFUNCTION("""COMPUTED_VALUE"""),0.0)</f>
        <v>0</v>
      </c>
    </row>
    <row r="2489">
      <c r="A2489" s="7">
        <f>IFERROR(__xludf.DUMMYFUNCTION("""COMPUTED_VALUE"""),40415.645833333336)</f>
        <v>40415.64583</v>
      </c>
      <c r="B2489" s="3">
        <f>IFERROR(__xludf.DUMMYFUNCTION("""COMPUTED_VALUE"""),5505.3)</f>
        <v>5505.3</v>
      </c>
      <c r="C2489" s="3">
        <f>IFERROR(__xludf.DUMMYFUNCTION("""COMPUTED_VALUE"""),5506.15)</f>
        <v>5506.15</v>
      </c>
      <c r="D2489" s="3">
        <f>IFERROR(__xludf.DUMMYFUNCTION("""COMPUTED_VALUE"""),5452.55)</f>
        <v>5452.55</v>
      </c>
      <c r="E2489" s="3">
        <f>IFERROR(__xludf.DUMMYFUNCTION("""COMPUTED_VALUE"""),5462.35)</f>
        <v>5462.35</v>
      </c>
      <c r="F2489" s="3">
        <f>IFERROR(__xludf.DUMMYFUNCTION("""COMPUTED_VALUE"""),0.0)</f>
        <v>0</v>
      </c>
    </row>
    <row r="2490">
      <c r="A2490" s="7">
        <f>IFERROR(__xludf.DUMMYFUNCTION("""COMPUTED_VALUE"""),40416.645833333336)</f>
        <v>40416.64583</v>
      </c>
      <c r="B2490" s="3">
        <f>IFERROR(__xludf.DUMMYFUNCTION("""COMPUTED_VALUE"""),5462.1)</f>
        <v>5462.1</v>
      </c>
      <c r="C2490" s="3">
        <f>IFERROR(__xludf.DUMMYFUNCTION("""COMPUTED_VALUE"""),5486.55)</f>
        <v>5486.55</v>
      </c>
      <c r="D2490" s="3">
        <f>IFERROR(__xludf.DUMMYFUNCTION("""COMPUTED_VALUE"""),5454.7)</f>
        <v>5454.7</v>
      </c>
      <c r="E2490" s="3">
        <f>IFERROR(__xludf.DUMMYFUNCTION("""COMPUTED_VALUE"""),5477.9)</f>
        <v>5477.9</v>
      </c>
      <c r="F2490" s="3">
        <f>IFERROR(__xludf.DUMMYFUNCTION("""COMPUTED_VALUE"""),0.0)</f>
        <v>0</v>
      </c>
    </row>
    <row r="2491">
      <c r="A2491" s="7">
        <f>IFERROR(__xludf.DUMMYFUNCTION("""COMPUTED_VALUE"""),40417.645833333336)</f>
        <v>40417.64583</v>
      </c>
      <c r="B2491" s="3">
        <f>IFERROR(__xludf.DUMMYFUNCTION("""COMPUTED_VALUE"""),5489.6)</f>
        <v>5489.6</v>
      </c>
      <c r="C2491" s="3">
        <f>IFERROR(__xludf.DUMMYFUNCTION("""COMPUTED_VALUE"""),5495.2)</f>
        <v>5495.2</v>
      </c>
      <c r="D2491" s="3">
        <f>IFERROR(__xludf.DUMMYFUNCTION("""COMPUTED_VALUE"""),5391.95)</f>
        <v>5391.95</v>
      </c>
      <c r="E2491" s="3">
        <f>IFERROR(__xludf.DUMMYFUNCTION("""COMPUTED_VALUE"""),5408.7)</f>
        <v>5408.7</v>
      </c>
      <c r="F2491" s="3">
        <f>IFERROR(__xludf.DUMMYFUNCTION("""COMPUTED_VALUE"""),0.0)</f>
        <v>0</v>
      </c>
    </row>
    <row r="2492">
      <c r="A2492" s="7">
        <f>IFERROR(__xludf.DUMMYFUNCTION("""COMPUTED_VALUE"""),40420.645833333336)</f>
        <v>40420.64583</v>
      </c>
      <c r="B2492" s="3">
        <f>IFERROR(__xludf.DUMMYFUNCTION("""COMPUTED_VALUE"""),5408.9)</f>
        <v>5408.9</v>
      </c>
      <c r="C2492" s="3">
        <f>IFERROR(__xludf.DUMMYFUNCTION("""COMPUTED_VALUE"""),5469.0)</f>
        <v>5469</v>
      </c>
      <c r="D2492" s="3">
        <f>IFERROR(__xludf.DUMMYFUNCTION("""COMPUTED_VALUE"""),5390.35)</f>
        <v>5390.35</v>
      </c>
      <c r="E2492" s="3">
        <f>IFERROR(__xludf.DUMMYFUNCTION("""COMPUTED_VALUE"""),5415.45)</f>
        <v>5415.45</v>
      </c>
      <c r="F2492" s="3">
        <f>IFERROR(__xludf.DUMMYFUNCTION("""COMPUTED_VALUE"""),0.0)</f>
        <v>0</v>
      </c>
    </row>
    <row r="2493">
      <c r="A2493" s="7">
        <f>IFERROR(__xludf.DUMMYFUNCTION("""COMPUTED_VALUE"""),40421.645833333336)</f>
        <v>40421.64583</v>
      </c>
      <c r="B2493" s="3">
        <f>IFERROR(__xludf.DUMMYFUNCTION("""COMPUTED_VALUE"""),5413.55)</f>
        <v>5413.55</v>
      </c>
      <c r="C2493" s="3">
        <f>IFERROR(__xludf.DUMMYFUNCTION("""COMPUTED_VALUE"""),5413.9)</f>
        <v>5413.9</v>
      </c>
      <c r="D2493" s="3">
        <f>IFERROR(__xludf.DUMMYFUNCTION("""COMPUTED_VALUE"""),5348.9)</f>
        <v>5348.9</v>
      </c>
      <c r="E2493" s="3">
        <f>IFERROR(__xludf.DUMMYFUNCTION("""COMPUTED_VALUE"""),5402.4)</f>
        <v>5402.4</v>
      </c>
      <c r="F2493" s="3">
        <f>IFERROR(__xludf.DUMMYFUNCTION("""COMPUTED_VALUE"""),0.0)</f>
        <v>0</v>
      </c>
    </row>
    <row r="2494">
      <c r="A2494" s="7">
        <f>IFERROR(__xludf.DUMMYFUNCTION("""COMPUTED_VALUE"""),40422.645833333336)</f>
        <v>40422.64583</v>
      </c>
      <c r="B2494" s="3">
        <f>IFERROR(__xludf.DUMMYFUNCTION("""COMPUTED_VALUE"""),5403.05)</f>
        <v>5403.05</v>
      </c>
      <c r="C2494" s="3">
        <f>IFERROR(__xludf.DUMMYFUNCTION("""COMPUTED_VALUE"""),5478.6)</f>
        <v>5478.6</v>
      </c>
      <c r="D2494" s="3">
        <f>IFERROR(__xludf.DUMMYFUNCTION("""COMPUTED_VALUE"""),5403.05)</f>
        <v>5403.05</v>
      </c>
      <c r="E2494" s="3">
        <f>IFERROR(__xludf.DUMMYFUNCTION("""COMPUTED_VALUE"""),5471.85)</f>
        <v>5471.85</v>
      </c>
      <c r="F2494" s="3">
        <f>IFERROR(__xludf.DUMMYFUNCTION("""COMPUTED_VALUE"""),0.0)</f>
        <v>0</v>
      </c>
    </row>
    <row r="2495">
      <c r="A2495" s="7">
        <f>IFERROR(__xludf.DUMMYFUNCTION("""COMPUTED_VALUE"""),40423.645833333336)</f>
        <v>40423.64583</v>
      </c>
      <c r="B2495" s="3">
        <f>IFERROR(__xludf.DUMMYFUNCTION("""COMPUTED_VALUE"""),5471.9)</f>
        <v>5471.9</v>
      </c>
      <c r="C2495" s="3">
        <f>IFERROR(__xludf.DUMMYFUNCTION("""COMPUTED_VALUE"""),5513.95)</f>
        <v>5513.95</v>
      </c>
      <c r="D2495" s="3">
        <f>IFERROR(__xludf.DUMMYFUNCTION("""COMPUTED_VALUE"""),5471.85)</f>
        <v>5471.85</v>
      </c>
      <c r="E2495" s="3">
        <f>IFERROR(__xludf.DUMMYFUNCTION("""COMPUTED_VALUE"""),5486.15)</f>
        <v>5486.15</v>
      </c>
      <c r="F2495" s="3">
        <f>IFERROR(__xludf.DUMMYFUNCTION("""COMPUTED_VALUE"""),0.0)</f>
        <v>0</v>
      </c>
    </row>
    <row r="2496">
      <c r="A2496" s="7">
        <f>IFERROR(__xludf.DUMMYFUNCTION("""COMPUTED_VALUE"""),40424.645833333336)</f>
        <v>40424.64583</v>
      </c>
      <c r="B2496" s="3">
        <f>IFERROR(__xludf.DUMMYFUNCTION("""COMPUTED_VALUE"""),5486.3)</f>
        <v>5486.3</v>
      </c>
      <c r="C2496" s="3">
        <f>IFERROR(__xludf.DUMMYFUNCTION("""COMPUTED_VALUE"""),5510.4)</f>
        <v>5510.4</v>
      </c>
      <c r="D2496" s="3">
        <f>IFERROR(__xludf.DUMMYFUNCTION("""COMPUTED_VALUE"""),5473.65)</f>
        <v>5473.65</v>
      </c>
      <c r="E2496" s="3">
        <f>IFERROR(__xludf.DUMMYFUNCTION("""COMPUTED_VALUE"""),5479.4)</f>
        <v>5479.4</v>
      </c>
      <c r="F2496" s="3">
        <f>IFERROR(__xludf.DUMMYFUNCTION("""COMPUTED_VALUE"""),0.0)</f>
        <v>0</v>
      </c>
    </row>
    <row r="2497">
      <c r="A2497" s="7">
        <f>IFERROR(__xludf.DUMMYFUNCTION("""COMPUTED_VALUE"""),40427.645833333336)</f>
        <v>40427.64583</v>
      </c>
      <c r="B2497" s="3">
        <f>IFERROR(__xludf.DUMMYFUNCTION("""COMPUTED_VALUE"""),5479.55)</f>
        <v>5479.55</v>
      </c>
      <c r="C2497" s="3">
        <f>IFERROR(__xludf.DUMMYFUNCTION("""COMPUTED_VALUE"""),5589.4)</f>
        <v>5589.4</v>
      </c>
      <c r="D2497" s="3">
        <f>IFERROR(__xludf.DUMMYFUNCTION("""COMPUTED_VALUE"""),5479.55)</f>
        <v>5479.55</v>
      </c>
      <c r="E2497" s="3">
        <f>IFERROR(__xludf.DUMMYFUNCTION("""COMPUTED_VALUE"""),5576.95)</f>
        <v>5576.95</v>
      </c>
      <c r="F2497" s="3">
        <f>IFERROR(__xludf.DUMMYFUNCTION("""COMPUTED_VALUE"""),0.0)</f>
        <v>0</v>
      </c>
    </row>
    <row r="2498">
      <c r="A2498" s="7">
        <f>IFERROR(__xludf.DUMMYFUNCTION("""COMPUTED_VALUE"""),40428.645833333336)</f>
        <v>40428.64583</v>
      </c>
      <c r="B2498" s="3">
        <f>IFERROR(__xludf.DUMMYFUNCTION("""COMPUTED_VALUE"""),5575.9)</f>
        <v>5575.9</v>
      </c>
      <c r="C2498" s="3">
        <f>IFERROR(__xludf.DUMMYFUNCTION("""COMPUTED_VALUE"""),5625.5)</f>
        <v>5625.5</v>
      </c>
      <c r="D2498" s="3">
        <f>IFERROR(__xludf.DUMMYFUNCTION("""COMPUTED_VALUE"""),5571.65)</f>
        <v>5571.65</v>
      </c>
      <c r="E2498" s="3">
        <f>IFERROR(__xludf.DUMMYFUNCTION("""COMPUTED_VALUE"""),5604.0)</f>
        <v>5604</v>
      </c>
      <c r="F2498" s="3">
        <f>IFERROR(__xludf.DUMMYFUNCTION("""COMPUTED_VALUE"""),0.0)</f>
        <v>0</v>
      </c>
    </row>
    <row r="2499">
      <c r="A2499" s="7">
        <f>IFERROR(__xludf.DUMMYFUNCTION("""COMPUTED_VALUE"""),40429.645833333336)</f>
        <v>40429.64583</v>
      </c>
      <c r="B2499" s="3">
        <f>IFERROR(__xludf.DUMMYFUNCTION("""COMPUTED_VALUE"""),5604.25)</f>
        <v>5604.25</v>
      </c>
      <c r="C2499" s="3">
        <f>IFERROR(__xludf.DUMMYFUNCTION("""COMPUTED_VALUE"""),5625.3)</f>
        <v>5625.3</v>
      </c>
      <c r="D2499" s="3">
        <f>IFERROR(__xludf.DUMMYFUNCTION("""COMPUTED_VALUE"""),5567.75)</f>
        <v>5567.75</v>
      </c>
      <c r="E2499" s="3">
        <f>IFERROR(__xludf.DUMMYFUNCTION("""COMPUTED_VALUE"""),5607.85)</f>
        <v>5607.85</v>
      </c>
      <c r="F2499" s="3">
        <f>IFERROR(__xludf.DUMMYFUNCTION("""COMPUTED_VALUE"""),0.0)</f>
        <v>0</v>
      </c>
    </row>
    <row r="2500">
      <c r="A2500" s="7">
        <f>IFERROR(__xludf.DUMMYFUNCTION("""COMPUTED_VALUE"""),40430.645833333336)</f>
        <v>40430.64583</v>
      </c>
      <c r="B2500" s="3">
        <f>IFERROR(__xludf.DUMMYFUNCTION("""COMPUTED_VALUE"""),5608.3)</f>
        <v>5608.3</v>
      </c>
      <c r="C2500" s="3">
        <f>IFERROR(__xludf.DUMMYFUNCTION("""COMPUTED_VALUE"""),5647.45)</f>
        <v>5647.45</v>
      </c>
      <c r="D2500" s="3">
        <f>IFERROR(__xludf.DUMMYFUNCTION("""COMPUTED_VALUE"""),5608.1)</f>
        <v>5608.1</v>
      </c>
      <c r="E2500" s="3">
        <f>IFERROR(__xludf.DUMMYFUNCTION("""COMPUTED_VALUE"""),5640.05)</f>
        <v>5640.05</v>
      </c>
      <c r="F2500" s="3">
        <f>IFERROR(__xludf.DUMMYFUNCTION("""COMPUTED_VALUE"""),0.0)</f>
        <v>0</v>
      </c>
    </row>
    <row r="2501">
      <c r="A2501" s="7">
        <f>IFERROR(__xludf.DUMMYFUNCTION("""COMPUTED_VALUE"""),40434.645833333336)</f>
        <v>40434.64583</v>
      </c>
      <c r="B2501" s="3">
        <f>IFERROR(__xludf.DUMMYFUNCTION("""COMPUTED_VALUE"""),5639.2)</f>
        <v>5639.2</v>
      </c>
      <c r="C2501" s="3">
        <f>IFERROR(__xludf.DUMMYFUNCTION("""COMPUTED_VALUE"""),5770.6)</f>
        <v>5770.6</v>
      </c>
      <c r="D2501" s="3">
        <f>IFERROR(__xludf.DUMMYFUNCTION("""COMPUTED_VALUE"""),5639.2)</f>
        <v>5639.2</v>
      </c>
      <c r="E2501" s="3">
        <f>IFERROR(__xludf.DUMMYFUNCTION("""COMPUTED_VALUE"""),5760.0)</f>
        <v>5760</v>
      </c>
      <c r="F2501" s="3">
        <f>IFERROR(__xludf.DUMMYFUNCTION("""COMPUTED_VALUE"""),0.0)</f>
        <v>0</v>
      </c>
    </row>
    <row r="2502">
      <c r="A2502" s="7">
        <f>IFERROR(__xludf.DUMMYFUNCTION("""COMPUTED_VALUE"""),40435.645833333336)</f>
        <v>40435.64583</v>
      </c>
      <c r="B2502" s="3">
        <f>IFERROR(__xludf.DUMMYFUNCTION("""COMPUTED_VALUE"""),5760.3)</f>
        <v>5760.3</v>
      </c>
      <c r="C2502" s="3">
        <f>IFERROR(__xludf.DUMMYFUNCTION("""COMPUTED_VALUE"""),5838.45)</f>
        <v>5838.45</v>
      </c>
      <c r="D2502" s="3">
        <f>IFERROR(__xludf.DUMMYFUNCTION("""COMPUTED_VALUE"""),5760.3)</f>
        <v>5760.3</v>
      </c>
      <c r="E2502" s="3">
        <f>IFERROR(__xludf.DUMMYFUNCTION("""COMPUTED_VALUE"""),5795.55)</f>
        <v>5795.55</v>
      </c>
      <c r="F2502" s="3">
        <f>IFERROR(__xludf.DUMMYFUNCTION("""COMPUTED_VALUE"""),0.0)</f>
        <v>0</v>
      </c>
    </row>
    <row r="2503">
      <c r="A2503" s="7">
        <f>IFERROR(__xludf.DUMMYFUNCTION("""COMPUTED_VALUE"""),40436.645833333336)</f>
        <v>40436.64583</v>
      </c>
      <c r="B2503" s="3">
        <f>IFERROR(__xludf.DUMMYFUNCTION("""COMPUTED_VALUE"""),5795.25)</f>
        <v>5795.25</v>
      </c>
      <c r="C2503" s="3">
        <f>IFERROR(__xludf.DUMMYFUNCTION("""COMPUTED_VALUE"""),5869.45)</f>
        <v>5869.45</v>
      </c>
      <c r="D2503" s="3">
        <f>IFERROR(__xludf.DUMMYFUNCTION("""COMPUTED_VALUE"""),5792.2)</f>
        <v>5792.2</v>
      </c>
      <c r="E2503" s="3">
        <f>IFERROR(__xludf.DUMMYFUNCTION("""COMPUTED_VALUE"""),5860.95)</f>
        <v>5860.95</v>
      </c>
      <c r="F2503" s="3">
        <f>IFERROR(__xludf.DUMMYFUNCTION("""COMPUTED_VALUE"""),0.0)</f>
        <v>0</v>
      </c>
    </row>
    <row r="2504">
      <c r="A2504" s="7">
        <f>IFERROR(__xludf.DUMMYFUNCTION("""COMPUTED_VALUE"""),40437.645833333336)</f>
        <v>40437.64583</v>
      </c>
      <c r="B2504" s="3">
        <f>IFERROR(__xludf.DUMMYFUNCTION("""COMPUTED_VALUE"""),5861.1)</f>
        <v>5861.1</v>
      </c>
      <c r="C2504" s="3">
        <f>IFERROR(__xludf.DUMMYFUNCTION("""COMPUTED_VALUE"""),5901.65)</f>
        <v>5901.65</v>
      </c>
      <c r="D2504" s="3">
        <f>IFERROR(__xludf.DUMMYFUNCTION("""COMPUTED_VALUE"""),5815.8)</f>
        <v>5815.8</v>
      </c>
      <c r="E2504" s="3">
        <f>IFERROR(__xludf.DUMMYFUNCTION("""COMPUTED_VALUE"""),5828.7)</f>
        <v>5828.7</v>
      </c>
      <c r="F2504" s="3">
        <f>IFERROR(__xludf.DUMMYFUNCTION("""COMPUTED_VALUE"""),0.0)</f>
        <v>0</v>
      </c>
    </row>
    <row r="2505">
      <c r="A2505" s="7">
        <f>IFERROR(__xludf.DUMMYFUNCTION("""COMPUTED_VALUE"""),40438.645833333336)</f>
        <v>40438.64583</v>
      </c>
      <c r="B2505" s="3">
        <f>IFERROR(__xludf.DUMMYFUNCTION("""COMPUTED_VALUE"""),5828.7)</f>
        <v>5828.7</v>
      </c>
      <c r="C2505" s="3">
        <f>IFERROR(__xludf.DUMMYFUNCTION("""COMPUTED_VALUE"""),5898.4)</f>
        <v>5898.4</v>
      </c>
      <c r="D2505" s="3">
        <f>IFERROR(__xludf.DUMMYFUNCTION("""COMPUTED_VALUE"""),5828.7)</f>
        <v>5828.7</v>
      </c>
      <c r="E2505" s="3">
        <f>IFERROR(__xludf.DUMMYFUNCTION("""COMPUTED_VALUE"""),5884.95)</f>
        <v>5884.95</v>
      </c>
      <c r="F2505" s="3">
        <f>IFERROR(__xludf.DUMMYFUNCTION("""COMPUTED_VALUE"""),0.0)</f>
        <v>0</v>
      </c>
    </row>
    <row r="2506">
      <c r="A2506" s="7">
        <f>IFERROR(__xludf.DUMMYFUNCTION("""COMPUTED_VALUE"""),40441.645833333336)</f>
        <v>40441.64583</v>
      </c>
      <c r="B2506" s="3">
        <f>IFERROR(__xludf.DUMMYFUNCTION("""COMPUTED_VALUE"""),5885.05)</f>
        <v>5885.05</v>
      </c>
      <c r="C2506" s="3">
        <f>IFERROR(__xludf.DUMMYFUNCTION("""COMPUTED_VALUE"""),5989.5)</f>
        <v>5989.5</v>
      </c>
      <c r="D2506" s="3">
        <f>IFERROR(__xludf.DUMMYFUNCTION("""COMPUTED_VALUE"""),5885.05)</f>
        <v>5885.05</v>
      </c>
      <c r="E2506" s="3">
        <f>IFERROR(__xludf.DUMMYFUNCTION("""COMPUTED_VALUE"""),5980.45)</f>
        <v>5980.45</v>
      </c>
      <c r="F2506" s="3">
        <f>IFERROR(__xludf.DUMMYFUNCTION("""COMPUTED_VALUE"""),0.0)</f>
        <v>0</v>
      </c>
    </row>
    <row r="2507">
      <c r="A2507" s="7">
        <f>IFERROR(__xludf.DUMMYFUNCTION("""COMPUTED_VALUE"""),40442.645833333336)</f>
        <v>40442.64583</v>
      </c>
      <c r="B2507" s="3">
        <f>IFERROR(__xludf.DUMMYFUNCTION("""COMPUTED_VALUE"""),5980.5)</f>
        <v>5980.5</v>
      </c>
      <c r="C2507" s="3">
        <f>IFERROR(__xludf.DUMMYFUNCTION("""COMPUTED_VALUE"""),6032.8)</f>
        <v>6032.8</v>
      </c>
      <c r="D2507" s="3">
        <f>IFERROR(__xludf.DUMMYFUNCTION("""COMPUTED_VALUE"""),5961.85)</f>
        <v>5961.85</v>
      </c>
      <c r="E2507" s="3">
        <f>IFERROR(__xludf.DUMMYFUNCTION("""COMPUTED_VALUE"""),6009.05)</f>
        <v>6009.05</v>
      </c>
      <c r="F2507" s="3">
        <f>IFERROR(__xludf.DUMMYFUNCTION("""COMPUTED_VALUE"""),0.0)</f>
        <v>0</v>
      </c>
    </row>
    <row r="2508">
      <c r="A2508" s="7">
        <f>IFERROR(__xludf.DUMMYFUNCTION("""COMPUTED_VALUE"""),40443.645833333336)</f>
        <v>40443.64583</v>
      </c>
      <c r="B2508" s="3">
        <f>IFERROR(__xludf.DUMMYFUNCTION("""COMPUTED_VALUE"""),6008.4)</f>
        <v>6008.4</v>
      </c>
      <c r="C2508" s="3">
        <f>IFERROR(__xludf.DUMMYFUNCTION("""COMPUTED_VALUE"""),6037.4)</f>
        <v>6037.4</v>
      </c>
      <c r="D2508" s="3">
        <f>IFERROR(__xludf.DUMMYFUNCTION("""COMPUTED_VALUE"""),5946.45)</f>
        <v>5946.45</v>
      </c>
      <c r="E2508" s="3">
        <f>IFERROR(__xludf.DUMMYFUNCTION("""COMPUTED_VALUE"""),5991.0)</f>
        <v>5991</v>
      </c>
      <c r="F2508" s="3">
        <f>IFERROR(__xludf.DUMMYFUNCTION("""COMPUTED_VALUE"""),0.0)</f>
        <v>0</v>
      </c>
    </row>
    <row r="2509">
      <c r="A2509" s="7">
        <f>IFERROR(__xludf.DUMMYFUNCTION("""COMPUTED_VALUE"""),40444.645833333336)</f>
        <v>40444.64583</v>
      </c>
      <c r="B2509" s="3">
        <f>IFERROR(__xludf.DUMMYFUNCTION("""COMPUTED_VALUE"""),5991.05)</f>
        <v>5991.05</v>
      </c>
      <c r="C2509" s="3">
        <f>IFERROR(__xludf.DUMMYFUNCTION("""COMPUTED_VALUE"""),6006.8)</f>
        <v>6006.8</v>
      </c>
      <c r="D2509" s="3">
        <f>IFERROR(__xludf.DUMMYFUNCTION("""COMPUTED_VALUE"""),5932.4)</f>
        <v>5932.4</v>
      </c>
      <c r="E2509" s="3">
        <f>IFERROR(__xludf.DUMMYFUNCTION("""COMPUTED_VALUE"""),5959.55)</f>
        <v>5959.55</v>
      </c>
      <c r="F2509" s="3">
        <f>IFERROR(__xludf.DUMMYFUNCTION("""COMPUTED_VALUE"""),0.0)</f>
        <v>0</v>
      </c>
    </row>
    <row r="2510">
      <c r="A2510" s="7">
        <f>IFERROR(__xludf.DUMMYFUNCTION("""COMPUTED_VALUE"""),40445.645833333336)</f>
        <v>40445.64583</v>
      </c>
      <c r="B2510" s="3">
        <f>IFERROR(__xludf.DUMMYFUNCTION("""COMPUTED_VALUE"""),5959.45)</f>
        <v>5959.45</v>
      </c>
      <c r="C2510" s="3">
        <f>IFERROR(__xludf.DUMMYFUNCTION("""COMPUTED_VALUE"""),6029.1)</f>
        <v>6029.1</v>
      </c>
      <c r="D2510" s="3">
        <f>IFERROR(__xludf.DUMMYFUNCTION("""COMPUTED_VALUE"""),5951.2)</f>
        <v>5951.2</v>
      </c>
      <c r="E2510" s="3">
        <f>IFERROR(__xludf.DUMMYFUNCTION("""COMPUTED_VALUE"""),6018.3)</f>
        <v>6018.3</v>
      </c>
      <c r="F2510" s="3">
        <f>IFERROR(__xludf.DUMMYFUNCTION("""COMPUTED_VALUE"""),0.0)</f>
        <v>0</v>
      </c>
    </row>
    <row r="2511">
      <c r="A2511" s="7">
        <f>IFERROR(__xludf.DUMMYFUNCTION("""COMPUTED_VALUE"""),40448.645833333336)</f>
        <v>40448.64583</v>
      </c>
      <c r="B2511" s="3">
        <f>IFERROR(__xludf.DUMMYFUNCTION("""COMPUTED_VALUE"""),6018.3)</f>
        <v>6018.3</v>
      </c>
      <c r="C2511" s="3">
        <f>IFERROR(__xludf.DUMMYFUNCTION("""COMPUTED_VALUE"""),6073.5)</f>
        <v>6073.5</v>
      </c>
      <c r="D2511" s="3">
        <f>IFERROR(__xludf.DUMMYFUNCTION("""COMPUTED_VALUE"""),6018.3)</f>
        <v>6018.3</v>
      </c>
      <c r="E2511" s="3">
        <f>IFERROR(__xludf.DUMMYFUNCTION("""COMPUTED_VALUE"""),6035.65)</f>
        <v>6035.65</v>
      </c>
      <c r="F2511" s="3">
        <f>IFERROR(__xludf.DUMMYFUNCTION("""COMPUTED_VALUE"""),0.0)</f>
        <v>0</v>
      </c>
    </row>
    <row r="2512">
      <c r="A2512" s="7">
        <f>IFERROR(__xludf.DUMMYFUNCTION("""COMPUTED_VALUE"""),40449.645833333336)</f>
        <v>40449.64583</v>
      </c>
      <c r="B2512" s="3">
        <f>IFERROR(__xludf.DUMMYFUNCTION("""COMPUTED_VALUE"""),6036.05)</f>
        <v>6036.05</v>
      </c>
      <c r="C2512" s="3">
        <f>IFERROR(__xludf.DUMMYFUNCTION("""COMPUTED_VALUE"""),6049.8)</f>
        <v>6049.8</v>
      </c>
      <c r="D2512" s="3">
        <f>IFERROR(__xludf.DUMMYFUNCTION("""COMPUTED_VALUE"""),5991.3)</f>
        <v>5991.3</v>
      </c>
      <c r="E2512" s="3">
        <f>IFERROR(__xludf.DUMMYFUNCTION("""COMPUTED_VALUE"""),6029.5)</f>
        <v>6029.5</v>
      </c>
      <c r="F2512" s="3">
        <f>IFERROR(__xludf.DUMMYFUNCTION("""COMPUTED_VALUE"""),0.0)</f>
        <v>0</v>
      </c>
    </row>
    <row r="2513">
      <c r="A2513" s="7">
        <f>IFERROR(__xludf.DUMMYFUNCTION("""COMPUTED_VALUE"""),40450.645833333336)</f>
        <v>40450.64583</v>
      </c>
      <c r="B2513" s="3">
        <f>IFERROR(__xludf.DUMMYFUNCTION("""COMPUTED_VALUE"""),6029.15)</f>
        <v>6029.15</v>
      </c>
      <c r="C2513" s="3">
        <f>IFERROR(__xludf.DUMMYFUNCTION("""COMPUTED_VALUE"""),6071.55)</f>
        <v>6071.55</v>
      </c>
      <c r="D2513" s="3">
        <f>IFERROR(__xludf.DUMMYFUNCTION("""COMPUTED_VALUE"""),5979.65)</f>
        <v>5979.65</v>
      </c>
      <c r="E2513" s="3">
        <f>IFERROR(__xludf.DUMMYFUNCTION("""COMPUTED_VALUE"""),5991.3)</f>
        <v>5991.3</v>
      </c>
      <c r="F2513" s="3">
        <f>IFERROR(__xludf.DUMMYFUNCTION("""COMPUTED_VALUE"""),0.0)</f>
        <v>0</v>
      </c>
    </row>
    <row r="2514">
      <c r="A2514" s="7">
        <f>IFERROR(__xludf.DUMMYFUNCTION("""COMPUTED_VALUE"""),40451.645833333336)</f>
        <v>40451.64583</v>
      </c>
      <c r="B2514" s="3">
        <f>IFERROR(__xludf.DUMMYFUNCTION("""COMPUTED_VALUE"""),5991.35)</f>
        <v>5991.35</v>
      </c>
      <c r="C2514" s="3">
        <f>IFERROR(__xludf.DUMMYFUNCTION("""COMPUTED_VALUE"""),6048.45)</f>
        <v>6048.45</v>
      </c>
      <c r="D2514" s="3">
        <f>IFERROR(__xludf.DUMMYFUNCTION("""COMPUTED_VALUE"""),5963.6)</f>
        <v>5963.6</v>
      </c>
      <c r="E2514" s="3">
        <f>IFERROR(__xludf.DUMMYFUNCTION("""COMPUTED_VALUE"""),6029.95)</f>
        <v>6029.95</v>
      </c>
      <c r="F2514" s="3">
        <f>IFERROR(__xludf.DUMMYFUNCTION("""COMPUTED_VALUE"""),0.0)</f>
        <v>0</v>
      </c>
    </row>
    <row r="2515">
      <c r="A2515" s="7">
        <f>IFERROR(__xludf.DUMMYFUNCTION("""COMPUTED_VALUE"""),40452.645833333336)</f>
        <v>40452.64583</v>
      </c>
      <c r="B2515" s="3">
        <f>IFERROR(__xludf.DUMMYFUNCTION("""COMPUTED_VALUE"""),6030.3)</f>
        <v>6030.3</v>
      </c>
      <c r="C2515" s="3">
        <f>IFERROR(__xludf.DUMMYFUNCTION("""COMPUTED_VALUE"""),6153.1)</f>
        <v>6153.1</v>
      </c>
      <c r="D2515" s="3">
        <f>IFERROR(__xludf.DUMMYFUNCTION("""COMPUTED_VALUE"""),6030.3)</f>
        <v>6030.3</v>
      </c>
      <c r="E2515" s="3">
        <f>IFERROR(__xludf.DUMMYFUNCTION("""COMPUTED_VALUE"""),6143.4)</f>
        <v>6143.4</v>
      </c>
      <c r="F2515" s="3">
        <f>IFERROR(__xludf.DUMMYFUNCTION("""COMPUTED_VALUE"""),0.0)</f>
        <v>0</v>
      </c>
    </row>
    <row r="2516">
      <c r="A2516" s="7">
        <f>IFERROR(__xludf.DUMMYFUNCTION("""COMPUTED_VALUE"""),40455.645833333336)</f>
        <v>40455.64583</v>
      </c>
      <c r="B2516" s="3">
        <f>IFERROR(__xludf.DUMMYFUNCTION("""COMPUTED_VALUE"""),6144.7)</f>
        <v>6144.7</v>
      </c>
      <c r="C2516" s="3">
        <f>IFERROR(__xludf.DUMMYFUNCTION("""COMPUTED_VALUE"""),6222.1)</f>
        <v>6222.1</v>
      </c>
      <c r="D2516" s="3">
        <f>IFERROR(__xludf.DUMMYFUNCTION("""COMPUTED_VALUE"""),6144.7)</f>
        <v>6144.7</v>
      </c>
      <c r="E2516" s="3">
        <f>IFERROR(__xludf.DUMMYFUNCTION("""COMPUTED_VALUE"""),6159.45)</f>
        <v>6159.45</v>
      </c>
      <c r="F2516" s="3">
        <f>IFERROR(__xludf.DUMMYFUNCTION("""COMPUTED_VALUE"""),0.0)</f>
        <v>0</v>
      </c>
    </row>
    <row r="2517">
      <c r="A2517" s="7">
        <f>IFERROR(__xludf.DUMMYFUNCTION("""COMPUTED_VALUE"""),40456.645833333336)</f>
        <v>40456.64583</v>
      </c>
      <c r="B2517" s="3">
        <f>IFERROR(__xludf.DUMMYFUNCTION("""COMPUTED_VALUE"""),6159.45)</f>
        <v>6159.45</v>
      </c>
      <c r="C2517" s="3">
        <f>IFERROR(__xludf.DUMMYFUNCTION("""COMPUTED_VALUE"""),6188.35)</f>
        <v>6188.35</v>
      </c>
      <c r="D2517" s="3">
        <f>IFERROR(__xludf.DUMMYFUNCTION("""COMPUTED_VALUE"""),6118.05)</f>
        <v>6118.05</v>
      </c>
      <c r="E2517" s="3">
        <f>IFERROR(__xludf.DUMMYFUNCTION("""COMPUTED_VALUE"""),6145.8)</f>
        <v>6145.8</v>
      </c>
      <c r="F2517" s="3">
        <f>IFERROR(__xludf.DUMMYFUNCTION("""COMPUTED_VALUE"""),0.0)</f>
        <v>0</v>
      </c>
    </row>
    <row r="2518">
      <c r="A2518" s="7">
        <f>IFERROR(__xludf.DUMMYFUNCTION("""COMPUTED_VALUE"""),40457.645833333336)</f>
        <v>40457.64583</v>
      </c>
      <c r="B2518" s="3">
        <f>IFERROR(__xludf.DUMMYFUNCTION("""COMPUTED_VALUE"""),6150.95)</f>
        <v>6150.95</v>
      </c>
      <c r="C2518" s="3">
        <f>IFERROR(__xludf.DUMMYFUNCTION("""COMPUTED_VALUE"""),6223.4)</f>
        <v>6223.4</v>
      </c>
      <c r="D2518" s="3">
        <f>IFERROR(__xludf.DUMMYFUNCTION("""COMPUTED_VALUE"""),6148.6)</f>
        <v>6148.6</v>
      </c>
      <c r="E2518" s="3">
        <f>IFERROR(__xludf.DUMMYFUNCTION("""COMPUTED_VALUE"""),6186.45)</f>
        <v>6186.45</v>
      </c>
      <c r="F2518" s="3">
        <f>IFERROR(__xludf.DUMMYFUNCTION("""COMPUTED_VALUE"""),0.0)</f>
        <v>0</v>
      </c>
    </row>
    <row r="2519">
      <c r="A2519" s="7">
        <f>IFERROR(__xludf.DUMMYFUNCTION("""COMPUTED_VALUE"""),40458.645833333336)</f>
        <v>40458.64583</v>
      </c>
      <c r="B2519" s="3">
        <f>IFERROR(__xludf.DUMMYFUNCTION("""COMPUTED_VALUE"""),6186.85)</f>
        <v>6186.85</v>
      </c>
      <c r="C2519" s="3">
        <f>IFERROR(__xludf.DUMMYFUNCTION("""COMPUTED_VALUE"""),6199.45)</f>
        <v>6199.45</v>
      </c>
      <c r="D2519" s="3">
        <f>IFERROR(__xludf.DUMMYFUNCTION("""COMPUTED_VALUE"""),6107.5)</f>
        <v>6107.5</v>
      </c>
      <c r="E2519" s="3">
        <f>IFERROR(__xludf.DUMMYFUNCTION("""COMPUTED_VALUE"""),6120.3)</f>
        <v>6120.3</v>
      </c>
      <c r="F2519" s="3">
        <f>IFERROR(__xludf.DUMMYFUNCTION("""COMPUTED_VALUE"""),0.0)</f>
        <v>0</v>
      </c>
    </row>
    <row r="2520">
      <c r="A2520" s="7">
        <f>IFERROR(__xludf.DUMMYFUNCTION("""COMPUTED_VALUE"""),40459.645833333336)</f>
        <v>40459.64583</v>
      </c>
      <c r="B2520" s="3">
        <f>IFERROR(__xludf.DUMMYFUNCTION("""COMPUTED_VALUE"""),6121.4)</f>
        <v>6121.4</v>
      </c>
      <c r="C2520" s="3">
        <f>IFERROR(__xludf.DUMMYFUNCTION("""COMPUTED_VALUE"""),6148.6)</f>
        <v>6148.6</v>
      </c>
      <c r="D2520" s="3">
        <f>IFERROR(__xludf.DUMMYFUNCTION("""COMPUTED_VALUE"""),6067.0)</f>
        <v>6067</v>
      </c>
      <c r="E2520" s="3">
        <f>IFERROR(__xludf.DUMMYFUNCTION("""COMPUTED_VALUE"""),6103.45)</f>
        <v>6103.45</v>
      </c>
      <c r="F2520" s="3">
        <f>IFERROR(__xludf.DUMMYFUNCTION("""COMPUTED_VALUE"""),0.0)</f>
        <v>0</v>
      </c>
    </row>
    <row r="2521">
      <c r="A2521" s="7">
        <f>IFERROR(__xludf.DUMMYFUNCTION("""COMPUTED_VALUE"""),40462.645833333336)</f>
        <v>40462.64583</v>
      </c>
      <c r="B2521" s="3">
        <f>IFERROR(__xludf.DUMMYFUNCTION("""COMPUTED_VALUE"""),6105.95)</f>
        <v>6105.95</v>
      </c>
      <c r="C2521" s="3">
        <f>IFERROR(__xludf.DUMMYFUNCTION("""COMPUTED_VALUE"""),6187.75)</f>
        <v>6187.75</v>
      </c>
      <c r="D2521" s="3">
        <f>IFERROR(__xludf.DUMMYFUNCTION("""COMPUTED_VALUE"""),6105.95)</f>
        <v>6105.95</v>
      </c>
      <c r="E2521" s="3">
        <f>IFERROR(__xludf.DUMMYFUNCTION("""COMPUTED_VALUE"""),6135.85)</f>
        <v>6135.85</v>
      </c>
      <c r="F2521" s="3">
        <f>IFERROR(__xludf.DUMMYFUNCTION("""COMPUTED_VALUE"""),0.0)</f>
        <v>0</v>
      </c>
    </row>
    <row r="2522">
      <c r="A2522" s="7">
        <f>IFERROR(__xludf.DUMMYFUNCTION("""COMPUTED_VALUE"""),40463.645833333336)</f>
        <v>40463.64583</v>
      </c>
      <c r="B2522" s="3">
        <f>IFERROR(__xludf.DUMMYFUNCTION("""COMPUTED_VALUE"""),6135.95)</f>
        <v>6135.95</v>
      </c>
      <c r="C2522" s="3">
        <f>IFERROR(__xludf.DUMMYFUNCTION("""COMPUTED_VALUE"""),6144.95)</f>
        <v>6144.95</v>
      </c>
      <c r="D2522" s="3">
        <f>IFERROR(__xludf.DUMMYFUNCTION("""COMPUTED_VALUE"""),6057.95)</f>
        <v>6057.95</v>
      </c>
      <c r="E2522" s="3">
        <f>IFERROR(__xludf.DUMMYFUNCTION("""COMPUTED_VALUE"""),6090.9)</f>
        <v>6090.9</v>
      </c>
      <c r="F2522" s="3">
        <f>IFERROR(__xludf.DUMMYFUNCTION("""COMPUTED_VALUE"""),0.0)</f>
        <v>0</v>
      </c>
    </row>
    <row r="2523">
      <c r="A2523" s="7">
        <f>IFERROR(__xludf.DUMMYFUNCTION("""COMPUTED_VALUE"""),40464.645833333336)</f>
        <v>40464.64583</v>
      </c>
      <c r="B2523" s="3">
        <f>IFERROR(__xludf.DUMMYFUNCTION("""COMPUTED_VALUE"""),6091.45)</f>
        <v>6091.45</v>
      </c>
      <c r="C2523" s="3">
        <f>IFERROR(__xludf.DUMMYFUNCTION("""COMPUTED_VALUE"""),6240.25)</f>
        <v>6240.25</v>
      </c>
      <c r="D2523" s="3">
        <f>IFERROR(__xludf.DUMMYFUNCTION("""COMPUTED_VALUE"""),6089.75)</f>
        <v>6089.75</v>
      </c>
      <c r="E2523" s="3">
        <f>IFERROR(__xludf.DUMMYFUNCTION("""COMPUTED_VALUE"""),6233.9)</f>
        <v>6233.9</v>
      </c>
      <c r="F2523" s="3">
        <f>IFERROR(__xludf.DUMMYFUNCTION("""COMPUTED_VALUE"""),0.0)</f>
        <v>0</v>
      </c>
    </row>
    <row r="2524">
      <c r="A2524" s="7">
        <f>IFERROR(__xludf.DUMMYFUNCTION("""COMPUTED_VALUE"""),40465.645833333336)</f>
        <v>40465.64583</v>
      </c>
      <c r="B2524" s="3">
        <f>IFERROR(__xludf.DUMMYFUNCTION("""COMPUTED_VALUE"""),6234.3)</f>
        <v>6234.3</v>
      </c>
      <c r="C2524" s="3">
        <f>IFERROR(__xludf.DUMMYFUNCTION("""COMPUTED_VALUE"""),6284.1)</f>
        <v>6284.1</v>
      </c>
      <c r="D2524" s="3">
        <f>IFERROR(__xludf.DUMMYFUNCTION("""COMPUTED_VALUE"""),6157.9)</f>
        <v>6157.9</v>
      </c>
      <c r="E2524" s="3">
        <f>IFERROR(__xludf.DUMMYFUNCTION("""COMPUTED_VALUE"""),6177.35)</f>
        <v>6177.35</v>
      </c>
      <c r="F2524" s="3">
        <f>IFERROR(__xludf.DUMMYFUNCTION("""COMPUTED_VALUE"""),0.0)</f>
        <v>0</v>
      </c>
    </row>
    <row r="2525">
      <c r="A2525" s="7">
        <f>IFERROR(__xludf.DUMMYFUNCTION("""COMPUTED_VALUE"""),40466.645833333336)</f>
        <v>40466.64583</v>
      </c>
      <c r="B2525" s="3">
        <f>IFERROR(__xludf.DUMMYFUNCTION("""COMPUTED_VALUE"""),6175.9)</f>
        <v>6175.9</v>
      </c>
      <c r="C2525" s="3">
        <f>IFERROR(__xludf.DUMMYFUNCTION("""COMPUTED_VALUE"""),6200.6)</f>
        <v>6200.6</v>
      </c>
      <c r="D2525" s="3">
        <f>IFERROR(__xludf.DUMMYFUNCTION("""COMPUTED_VALUE"""),6050.35)</f>
        <v>6050.35</v>
      </c>
      <c r="E2525" s="3">
        <f>IFERROR(__xludf.DUMMYFUNCTION("""COMPUTED_VALUE"""),6062.65)</f>
        <v>6062.65</v>
      </c>
      <c r="F2525" s="3">
        <f>IFERROR(__xludf.DUMMYFUNCTION("""COMPUTED_VALUE"""),0.0)</f>
        <v>0</v>
      </c>
    </row>
    <row r="2526">
      <c r="A2526" s="7">
        <f>IFERROR(__xludf.DUMMYFUNCTION("""COMPUTED_VALUE"""),40469.645833333336)</f>
        <v>40469.64583</v>
      </c>
      <c r="B2526" s="3">
        <f>IFERROR(__xludf.DUMMYFUNCTION("""COMPUTED_VALUE"""),6112.75)</f>
        <v>6112.75</v>
      </c>
      <c r="C2526" s="3">
        <f>IFERROR(__xludf.DUMMYFUNCTION("""COMPUTED_VALUE"""),6115.1)</f>
        <v>6115.1</v>
      </c>
      <c r="D2526" s="3">
        <f>IFERROR(__xludf.DUMMYFUNCTION("""COMPUTED_VALUE"""),5985.1)</f>
        <v>5985.1</v>
      </c>
      <c r="E2526" s="3">
        <f>IFERROR(__xludf.DUMMYFUNCTION("""COMPUTED_VALUE"""),6075.95)</f>
        <v>6075.95</v>
      </c>
      <c r="F2526" s="3">
        <f>IFERROR(__xludf.DUMMYFUNCTION("""COMPUTED_VALUE"""),0.0)</f>
        <v>0</v>
      </c>
    </row>
    <row r="2527">
      <c r="A2527" s="7">
        <f>IFERROR(__xludf.DUMMYFUNCTION("""COMPUTED_VALUE"""),40470.645833333336)</f>
        <v>40470.64583</v>
      </c>
      <c r="B2527" s="3">
        <f>IFERROR(__xludf.DUMMYFUNCTION("""COMPUTED_VALUE"""),6114.45)</f>
        <v>6114.45</v>
      </c>
      <c r="C2527" s="3">
        <f>IFERROR(__xludf.DUMMYFUNCTION("""COMPUTED_VALUE"""),6127.05)</f>
        <v>6127.05</v>
      </c>
      <c r="D2527" s="3">
        <f>IFERROR(__xludf.DUMMYFUNCTION("""COMPUTED_VALUE"""),6008.15)</f>
        <v>6008.15</v>
      </c>
      <c r="E2527" s="3">
        <f>IFERROR(__xludf.DUMMYFUNCTION("""COMPUTED_VALUE"""),6027.3)</f>
        <v>6027.3</v>
      </c>
      <c r="F2527" s="3">
        <f>IFERROR(__xludf.DUMMYFUNCTION("""COMPUTED_VALUE"""),0.0)</f>
        <v>0</v>
      </c>
    </row>
    <row r="2528">
      <c r="A2528" s="7">
        <f>IFERROR(__xludf.DUMMYFUNCTION("""COMPUTED_VALUE"""),40471.645833333336)</f>
        <v>40471.64583</v>
      </c>
      <c r="B2528" s="3">
        <f>IFERROR(__xludf.DUMMYFUNCTION("""COMPUTED_VALUE"""),6002.95)</f>
        <v>6002.95</v>
      </c>
      <c r="C2528" s="3">
        <f>IFERROR(__xludf.DUMMYFUNCTION("""COMPUTED_VALUE"""),6038.1)</f>
        <v>6038.1</v>
      </c>
      <c r="D2528" s="3">
        <f>IFERROR(__xludf.DUMMYFUNCTION("""COMPUTED_VALUE"""),5966.75)</f>
        <v>5966.75</v>
      </c>
      <c r="E2528" s="3">
        <f>IFERROR(__xludf.DUMMYFUNCTION("""COMPUTED_VALUE"""),5982.1)</f>
        <v>5982.1</v>
      </c>
      <c r="F2528" s="3">
        <f>IFERROR(__xludf.DUMMYFUNCTION("""COMPUTED_VALUE"""),0.0)</f>
        <v>0</v>
      </c>
    </row>
    <row r="2529">
      <c r="A2529" s="7">
        <f>IFERROR(__xludf.DUMMYFUNCTION("""COMPUTED_VALUE"""),40472.645833333336)</f>
        <v>40472.64583</v>
      </c>
      <c r="B2529" s="3">
        <f>IFERROR(__xludf.DUMMYFUNCTION("""COMPUTED_VALUE"""),6008.9)</f>
        <v>6008.9</v>
      </c>
      <c r="C2529" s="3">
        <f>IFERROR(__xludf.DUMMYFUNCTION("""COMPUTED_VALUE"""),6113.5)</f>
        <v>6113.5</v>
      </c>
      <c r="D2529" s="3">
        <f>IFERROR(__xludf.DUMMYFUNCTION("""COMPUTED_VALUE"""),5984.9)</f>
        <v>5984.9</v>
      </c>
      <c r="E2529" s="3">
        <f>IFERROR(__xludf.DUMMYFUNCTION("""COMPUTED_VALUE"""),6101.5)</f>
        <v>6101.5</v>
      </c>
      <c r="F2529" s="3">
        <f>IFERROR(__xludf.DUMMYFUNCTION("""COMPUTED_VALUE"""),0.0)</f>
        <v>0</v>
      </c>
    </row>
    <row r="2530">
      <c r="A2530" s="7">
        <f>IFERROR(__xludf.DUMMYFUNCTION("""COMPUTED_VALUE"""),40473.645833333336)</f>
        <v>40473.64583</v>
      </c>
      <c r="B2530" s="3">
        <f>IFERROR(__xludf.DUMMYFUNCTION("""COMPUTED_VALUE"""),6113.4)</f>
        <v>6113.4</v>
      </c>
      <c r="C2530" s="3">
        <f>IFERROR(__xludf.DUMMYFUNCTION("""COMPUTED_VALUE"""),6121.1)</f>
        <v>6121.1</v>
      </c>
      <c r="D2530" s="3">
        <f>IFERROR(__xludf.DUMMYFUNCTION("""COMPUTED_VALUE"""),6041.35)</f>
        <v>6041.35</v>
      </c>
      <c r="E2530" s="3">
        <f>IFERROR(__xludf.DUMMYFUNCTION("""COMPUTED_VALUE"""),6066.05)</f>
        <v>6066.05</v>
      </c>
      <c r="F2530" s="3">
        <f>IFERROR(__xludf.DUMMYFUNCTION("""COMPUTED_VALUE"""),0.0)</f>
        <v>0</v>
      </c>
    </row>
    <row r="2531">
      <c r="A2531" s="7">
        <f>IFERROR(__xludf.DUMMYFUNCTION("""COMPUTED_VALUE"""),40476.645833333336)</f>
        <v>40476.64583</v>
      </c>
      <c r="B2531" s="3">
        <f>IFERROR(__xludf.DUMMYFUNCTION("""COMPUTED_VALUE"""),6101.25)</f>
        <v>6101.25</v>
      </c>
      <c r="C2531" s="3">
        <f>IFERROR(__xludf.DUMMYFUNCTION("""COMPUTED_VALUE"""),6151.3)</f>
        <v>6151.3</v>
      </c>
      <c r="D2531" s="3">
        <f>IFERROR(__xludf.DUMMYFUNCTION("""COMPUTED_VALUE"""),6094.6)</f>
        <v>6094.6</v>
      </c>
      <c r="E2531" s="3">
        <f>IFERROR(__xludf.DUMMYFUNCTION("""COMPUTED_VALUE"""),6105.8)</f>
        <v>6105.8</v>
      </c>
      <c r="F2531" s="3">
        <f>IFERROR(__xludf.DUMMYFUNCTION("""COMPUTED_VALUE"""),0.0)</f>
        <v>0</v>
      </c>
    </row>
    <row r="2532">
      <c r="A2532" s="7">
        <f>IFERROR(__xludf.DUMMYFUNCTION("""COMPUTED_VALUE"""),40477.645833333336)</f>
        <v>40477.64583</v>
      </c>
      <c r="B2532" s="3">
        <f>IFERROR(__xludf.DUMMYFUNCTION("""COMPUTED_VALUE"""),6116.3)</f>
        <v>6116.3</v>
      </c>
      <c r="C2532" s="3">
        <f>IFERROR(__xludf.DUMMYFUNCTION("""COMPUTED_VALUE"""),6120.25)</f>
        <v>6120.25</v>
      </c>
      <c r="D2532" s="3">
        <f>IFERROR(__xludf.DUMMYFUNCTION("""COMPUTED_VALUE"""),6074.65)</f>
        <v>6074.65</v>
      </c>
      <c r="E2532" s="3">
        <f>IFERROR(__xludf.DUMMYFUNCTION("""COMPUTED_VALUE"""),6082.0)</f>
        <v>6082</v>
      </c>
      <c r="F2532" s="3">
        <f>IFERROR(__xludf.DUMMYFUNCTION("""COMPUTED_VALUE"""),0.0)</f>
        <v>0</v>
      </c>
    </row>
    <row r="2533">
      <c r="A2533" s="7">
        <f>IFERROR(__xludf.DUMMYFUNCTION("""COMPUTED_VALUE"""),40478.645833333336)</f>
        <v>40478.64583</v>
      </c>
      <c r="B2533" s="3">
        <f>IFERROR(__xludf.DUMMYFUNCTION("""COMPUTED_VALUE"""),6075.45)</f>
        <v>6075.45</v>
      </c>
      <c r="C2533" s="3">
        <f>IFERROR(__xludf.DUMMYFUNCTION("""COMPUTED_VALUE"""),6075.95)</f>
        <v>6075.95</v>
      </c>
      <c r="D2533" s="3">
        <f>IFERROR(__xludf.DUMMYFUNCTION("""COMPUTED_VALUE"""),5987.55)</f>
        <v>5987.55</v>
      </c>
      <c r="E2533" s="3">
        <f>IFERROR(__xludf.DUMMYFUNCTION("""COMPUTED_VALUE"""),6012.65)</f>
        <v>6012.65</v>
      </c>
      <c r="F2533" s="3">
        <f>IFERROR(__xludf.DUMMYFUNCTION("""COMPUTED_VALUE"""),0.0)</f>
        <v>0</v>
      </c>
    </row>
    <row r="2534">
      <c r="A2534" s="7">
        <f>IFERROR(__xludf.DUMMYFUNCTION("""COMPUTED_VALUE"""),40479.645833333336)</f>
        <v>40479.64583</v>
      </c>
      <c r="B2534" s="3">
        <f>IFERROR(__xludf.DUMMYFUNCTION("""COMPUTED_VALUE"""),6039.95)</f>
        <v>6039.95</v>
      </c>
      <c r="C2534" s="3">
        <f>IFERROR(__xludf.DUMMYFUNCTION("""COMPUTED_VALUE"""),6071.1)</f>
        <v>6071.1</v>
      </c>
      <c r="D2534" s="3">
        <f>IFERROR(__xludf.DUMMYFUNCTION("""COMPUTED_VALUE"""),5968.1)</f>
        <v>5968.1</v>
      </c>
      <c r="E2534" s="3">
        <f>IFERROR(__xludf.DUMMYFUNCTION("""COMPUTED_VALUE"""),5987.7)</f>
        <v>5987.7</v>
      </c>
      <c r="F2534" s="3">
        <f>IFERROR(__xludf.DUMMYFUNCTION("""COMPUTED_VALUE"""),0.0)</f>
        <v>0</v>
      </c>
    </row>
    <row r="2535">
      <c r="A2535" s="7">
        <f>IFERROR(__xludf.DUMMYFUNCTION("""COMPUTED_VALUE"""),40480.645833333336)</f>
        <v>40480.64583</v>
      </c>
      <c r="B2535" s="3">
        <f>IFERROR(__xludf.DUMMYFUNCTION("""COMPUTED_VALUE"""),6021.15)</f>
        <v>6021.15</v>
      </c>
      <c r="C2535" s="3">
        <f>IFERROR(__xludf.DUMMYFUNCTION("""COMPUTED_VALUE"""),6032.65)</f>
        <v>6032.65</v>
      </c>
      <c r="D2535" s="3">
        <f>IFERROR(__xludf.DUMMYFUNCTION("""COMPUTED_VALUE"""),5937.1)</f>
        <v>5937.1</v>
      </c>
      <c r="E2535" s="3">
        <f>IFERROR(__xludf.DUMMYFUNCTION("""COMPUTED_VALUE"""),6017.7)</f>
        <v>6017.7</v>
      </c>
      <c r="F2535" s="3">
        <f>IFERROR(__xludf.DUMMYFUNCTION("""COMPUTED_VALUE"""),0.0)</f>
        <v>0</v>
      </c>
    </row>
    <row r="2536">
      <c r="A2536" s="7">
        <f>IFERROR(__xludf.DUMMYFUNCTION("""COMPUTED_VALUE"""),40483.645833333336)</f>
        <v>40483.64583</v>
      </c>
      <c r="B2536" s="3">
        <f>IFERROR(__xludf.DUMMYFUNCTION("""COMPUTED_VALUE"""),6092.3)</f>
        <v>6092.3</v>
      </c>
      <c r="C2536" s="3">
        <f>IFERROR(__xludf.DUMMYFUNCTION("""COMPUTED_VALUE"""),6132.4)</f>
        <v>6132.4</v>
      </c>
      <c r="D2536" s="3">
        <f>IFERROR(__xludf.DUMMYFUNCTION("""COMPUTED_VALUE"""),6084.75)</f>
        <v>6084.75</v>
      </c>
      <c r="E2536" s="3">
        <f>IFERROR(__xludf.DUMMYFUNCTION("""COMPUTED_VALUE"""),6117.55)</f>
        <v>6117.55</v>
      </c>
      <c r="F2536" s="3">
        <f>IFERROR(__xludf.DUMMYFUNCTION("""COMPUTED_VALUE"""),0.0)</f>
        <v>0</v>
      </c>
    </row>
    <row r="2537">
      <c r="A2537" s="7">
        <f>IFERROR(__xludf.DUMMYFUNCTION("""COMPUTED_VALUE"""),40484.645833333336)</f>
        <v>40484.64583</v>
      </c>
      <c r="B2537" s="3">
        <f>IFERROR(__xludf.DUMMYFUNCTION("""COMPUTED_VALUE"""),6127.55)</f>
        <v>6127.55</v>
      </c>
      <c r="C2537" s="3">
        <f>IFERROR(__xludf.DUMMYFUNCTION("""COMPUTED_VALUE"""),6138.1)</f>
        <v>6138.1</v>
      </c>
      <c r="D2537" s="3">
        <f>IFERROR(__xludf.DUMMYFUNCTION("""COMPUTED_VALUE"""),6094.4)</f>
        <v>6094.4</v>
      </c>
      <c r="E2537" s="3">
        <f>IFERROR(__xludf.DUMMYFUNCTION("""COMPUTED_VALUE"""),6119.0)</f>
        <v>6119</v>
      </c>
      <c r="F2537" s="3">
        <f>IFERROR(__xludf.DUMMYFUNCTION("""COMPUTED_VALUE"""),0.0)</f>
        <v>0</v>
      </c>
    </row>
    <row r="2538">
      <c r="A2538" s="7">
        <f>IFERROR(__xludf.DUMMYFUNCTION("""COMPUTED_VALUE"""),40485.645833333336)</f>
        <v>40485.64583</v>
      </c>
      <c r="B2538" s="3">
        <f>IFERROR(__xludf.DUMMYFUNCTION("""COMPUTED_VALUE"""),6150.6)</f>
        <v>6150.6</v>
      </c>
      <c r="C2538" s="3">
        <f>IFERROR(__xludf.DUMMYFUNCTION("""COMPUTED_VALUE"""),6182.5)</f>
        <v>6182.5</v>
      </c>
      <c r="D2538" s="3">
        <f>IFERROR(__xludf.DUMMYFUNCTION("""COMPUTED_VALUE"""),6146.8)</f>
        <v>6146.8</v>
      </c>
      <c r="E2538" s="3">
        <f>IFERROR(__xludf.DUMMYFUNCTION("""COMPUTED_VALUE"""),6160.5)</f>
        <v>6160.5</v>
      </c>
      <c r="F2538" s="3">
        <f>IFERROR(__xludf.DUMMYFUNCTION("""COMPUTED_VALUE"""),0.0)</f>
        <v>0</v>
      </c>
    </row>
    <row r="2539">
      <c r="A2539" s="7">
        <f>IFERROR(__xludf.DUMMYFUNCTION("""COMPUTED_VALUE"""),40486.645833333336)</f>
        <v>40486.64583</v>
      </c>
      <c r="B2539" s="3">
        <f>IFERROR(__xludf.DUMMYFUNCTION("""COMPUTED_VALUE"""),6209.6)</f>
        <v>6209.6</v>
      </c>
      <c r="C2539" s="3">
        <f>IFERROR(__xludf.DUMMYFUNCTION("""COMPUTED_VALUE"""),6290.15)</f>
        <v>6290.15</v>
      </c>
      <c r="D2539" s="3">
        <f>IFERROR(__xludf.DUMMYFUNCTION("""COMPUTED_VALUE"""),6199.35)</f>
        <v>6199.35</v>
      </c>
      <c r="E2539" s="3">
        <f>IFERROR(__xludf.DUMMYFUNCTION("""COMPUTED_VALUE"""),6281.8)</f>
        <v>6281.8</v>
      </c>
      <c r="F2539" s="3">
        <f>IFERROR(__xludf.DUMMYFUNCTION("""COMPUTED_VALUE"""),0.0)</f>
        <v>0</v>
      </c>
    </row>
    <row r="2540">
      <c r="A2540" s="7">
        <f>IFERROR(__xludf.DUMMYFUNCTION("""COMPUTED_VALUE"""),40487.645833333336)</f>
        <v>40487.64583</v>
      </c>
      <c r="B2540" s="3">
        <f>IFERROR(__xludf.DUMMYFUNCTION("""COMPUTED_VALUE"""),6321.85)</f>
        <v>6321.85</v>
      </c>
      <c r="C2540" s="3">
        <f>IFERROR(__xludf.DUMMYFUNCTION("""COMPUTED_VALUE"""),6338.5)</f>
        <v>6338.5</v>
      </c>
      <c r="D2540" s="3">
        <f>IFERROR(__xludf.DUMMYFUNCTION("""COMPUTED_VALUE"""),6303.1)</f>
        <v>6303.1</v>
      </c>
      <c r="E2540" s="3">
        <f>IFERROR(__xludf.DUMMYFUNCTION("""COMPUTED_VALUE"""),6307.25)</f>
        <v>6307.25</v>
      </c>
      <c r="F2540" s="3">
        <f>IFERROR(__xludf.DUMMYFUNCTION("""COMPUTED_VALUE"""),0.0)</f>
        <v>0</v>
      </c>
    </row>
    <row r="2541">
      <c r="A2541" s="7">
        <f>IFERROR(__xludf.DUMMYFUNCTION("""COMPUTED_VALUE"""),40490.645833333336)</f>
        <v>40490.64583</v>
      </c>
      <c r="B2541" s="3">
        <f>IFERROR(__xludf.DUMMYFUNCTION("""COMPUTED_VALUE"""),6335.25)</f>
        <v>6335.25</v>
      </c>
      <c r="C2541" s="3">
        <f>IFERROR(__xludf.DUMMYFUNCTION("""COMPUTED_VALUE"""),6335.9)</f>
        <v>6335.9</v>
      </c>
      <c r="D2541" s="3">
        <f>IFERROR(__xludf.DUMMYFUNCTION("""COMPUTED_VALUE"""),6265.35)</f>
        <v>6265.35</v>
      </c>
      <c r="E2541" s="3">
        <f>IFERROR(__xludf.DUMMYFUNCTION("""COMPUTED_VALUE"""),6273.2)</f>
        <v>6273.2</v>
      </c>
      <c r="F2541" s="3">
        <f>IFERROR(__xludf.DUMMYFUNCTION("""COMPUTED_VALUE"""),0.0)</f>
        <v>0</v>
      </c>
    </row>
    <row r="2542">
      <c r="A2542" s="7">
        <f>IFERROR(__xludf.DUMMYFUNCTION("""COMPUTED_VALUE"""),40491.645833333336)</f>
        <v>40491.64583</v>
      </c>
      <c r="B2542" s="3">
        <f>IFERROR(__xludf.DUMMYFUNCTION("""COMPUTED_VALUE"""),6281.0)</f>
        <v>6281</v>
      </c>
      <c r="C2542" s="3">
        <f>IFERROR(__xludf.DUMMYFUNCTION("""COMPUTED_VALUE"""),6310.9)</f>
        <v>6310.9</v>
      </c>
      <c r="D2542" s="3">
        <f>IFERROR(__xludf.DUMMYFUNCTION("""COMPUTED_VALUE"""),6243.55)</f>
        <v>6243.55</v>
      </c>
      <c r="E2542" s="3">
        <f>IFERROR(__xludf.DUMMYFUNCTION("""COMPUTED_VALUE"""),6301.55)</f>
        <v>6301.55</v>
      </c>
      <c r="F2542" s="3">
        <f>IFERROR(__xludf.DUMMYFUNCTION("""COMPUTED_VALUE"""),0.0)</f>
        <v>0</v>
      </c>
    </row>
    <row r="2543">
      <c r="A2543" s="7">
        <f>IFERROR(__xludf.DUMMYFUNCTION("""COMPUTED_VALUE"""),40492.645833333336)</f>
        <v>40492.64583</v>
      </c>
      <c r="B2543" s="3">
        <f>IFERROR(__xludf.DUMMYFUNCTION("""COMPUTED_VALUE"""),6303.2)</f>
        <v>6303.2</v>
      </c>
      <c r="C2543" s="3">
        <f>IFERROR(__xludf.DUMMYFUNCTION("""COMPUTED_VALUE"""),6307.65)</f>
        <v>6307.65</v>
      </c>
      <c r="D2543" s="3">
        <f>IFERROR(__xludf.DUMMYFUNCTION("""COMPUTED_VALUE"""),6269.25)</f>
        <v>6269.25</v>
      </c>
      <c r="E2543" s="3">
        <f>IFERROR(__xludf.DUMMYFUNCTION("""COMPUTED_VALUE"""),6275.7)</f>
        <v>6275.7</v>
      </c>
      <c r="F2543" s="3">
        <f>IFERROR(__xludf.DUMMYFUNCTION("""COMPUTED_VALUE"""),0.0)</f>
        <v>0</v>
      </c>
    </row>
    <row r="2544">
      <c r="A2544" s="7">
        <f>IFERROR(__xludf.DUMMYFUNCTION("""COMPUTED_VALUE"""),40493.645833333336)</f>
        <v>40493.64583</v>
      </c>
      <c r="B2544" s="3">
        <f>IFERROR(__xludf.DUMMYFUNCTION("""COMPUTED_VALUE"""),6286.35)</f>
        <v>6286.35</v>
      </c>
      <c r="C2544" s="3">
        <f>IFERROR(__xludf.DUMMYFUNCTION("""COMPUTED_VALUE"""),6296.55)</f>
        <v>6296.55</v>
      </c>
      <c r="D2544" s="3">
        <f>IFERROR(__xludf.DUMMYFUNCTION("""COMPUTED_VALUE"""),6179.5)</f>
        <v>6179.5</v>
      </c>
      <c r="E2544" s="3">
        <f>IFERROR(__xludf.DUMMYFUNCTION("""COMPUTED_VALUE"""),6194.25)</f>
        <v>6194.25</v>
      </c>
      <c r="F2544" s="3">
        <f>IFERROR(__xludf.DUMMYFUNCTION("""COMPUTED_VALUE"""),0.0)</f>
        <v>0</v>
      </c>
    </row>
    <row r="2545">
      <c r="A2545" s="7">
        <f>IFERROR(__xludf.DUMMYFUNCTION("""COMPUTED_VALUE"""),40494.645833333336)</f>
        <v>40494.64583</v>
      </c>
      <c r="B2545" s="3">
        <f>IFERROR(__xludf.DUMMYFUNCTION("""COMPUTED_VALUE"""),6182.3)</f>
        <v>6182.3</v>
      </c>
      <c r="C2545" s="3">
        <f>IFERROR(__xludf.DUMMYFUNCTION("""COMPUTED_VALUE"""),6202.5)</f>
        <v>6202.5</v>
      </c>
      <c r="D2545" s="3">
        <f>IFERROR(__xludf.DUMMYFUNCTION("""COMPUTED_VALUE"""),6056.75)</f>
        <v>6056.75</v>
      </c>
      <c r="E2545" s="3">
        <f>IFERROR(__xludf.DUMMYFUNCTION("""COMPUTED_VALUE"""),6071.65)</f>
        <v>6071.65</v>
      </c>
      <c r="F2545" s="3">
        <f>IFERROR(__xludf.DUMMYFUNCTION("""COMPUTED_VALUE"""),0.0)</f>
        <v>0</v>
      </c>
    </row>
    <row r="2546">
      <c r="A2546" s="7">
        <f>IFERROR(__xludf.DUMMYFUNCTION("""COMPUTED_VALUE"""),40497.645833333336)</f>
        <v>40497.64583</v>
      </c>
      <c r="B2546" s="3">
        <f>IFERROR(__xludf.DUMMYFUNCTION("""COMPUTED_VALUE"""),6079.9)</f>
        <v>6079.9</v>
      </c>
      <c r="C2546" s="3">
        <f>IFERROR(__xludf.DUMMYFUNCTION("""COMPUTED_VALUE"""),6128.75)</f>
        <v>6128.75</v>
      </c>
      <c r="D2546" s="3">
        <f>IFERROR(__xludf.DUMMYFUNCTION("""COMPUTED_VALUE"""),6039.4)</f>
        <v>6039.4</v>
      </c>
      <c r="E2546" s="3">
        <f>IFERROR(__xludf.DUMMYFUNCTION("""COMPUTED_VALUE"""),6121.6)</f>
        <v>6121.6</v>
      </c>
      <c r="F2546" s="3">
        <f>IFERROR(__xludf.DUMMYFUNCTION("""COMPUTED_VALUE"""),0.0)</f>
        <v>0</v>
      </c>
    </row>
    <row r="2547">
      <c r="A2547" s="7">
        <f>IFERROR(__xludf.DUMMYFUNCTION("""COMPUTED_VALUE"""),40498.645833333336)</f>
        <v>40498.64583</v>
      </c>
      <c r="B2547" s="3">
        <f>IFERROR(__xludf.DUMMYFUNCTION("""COMPUTED_VALUE"""),6143.45)</f>
        <v>6143.45</v>
      </c>
      <c r="C2547" s="3">
        <f>IFERROR(__xludf.DUMMYFUNCTION("""COMPUTED_VALUE"""),6144.05)</f>
        <v>6144.05</v>
      </c>
      <c r="D2547" s="3">
        <f>IFERROR(__xludf.DUMMYFUNCTION("""COMPUTED_VALUE"""),5970.6)</f>
        <v>5970.6</v>
      </c>
      <c r="E2547" s="3">
        <f>IFERROR(__xludf.DUMMYFUNCTION("""COMPUTED_VALUE"""),5988.7)</f>
        <v>5988.7</v>
      </c>
      <c r="F2547" s="3">
        <f>IFERROR(__xludf.DUMMYFUNCTION("""COMPUTED_VALUE"""),0.0)</f>
        <v>0</v>
      </c>
    </row>
    <row r="2548">
      <c r="A2548" s="7">
        <f>IFERROR(__xludf.DUMMYFUNCTION("""COMPUTED_VALUE"""),40500.645833333336)</f>
        <v>40500.64583</v>
      </c>
      <c r="B2548" s="3">
        <f>IFERROR(__xludf.DUMMYFUNCTION("""COMPUTED_VALUE"""),6075.95)</f>
        <v>6075.95</v>
      </c>
      <c r="C2548" s="3">
        <f>IFERROR(__xludf.DUMMYFUNCTION("""COMPUTED_VALUE"""),6076.2)</f>
        <v>6076.2</v>
      </c>
      <c r="D2548" s="3">
        <f>IFERROR(__xludf.DUMMYFUNCTION("""COMPUTED_VALUE"""),5906.75)</f>
        <v>5906.75</v>
      </c>
      <c r="E2548" s="3">
        <f>IFERROR(__xludf.DUMMYFUNCTION("""COMPUTED_VALUE"""),5998.8)</f>
        <v>5998.8</v>
      </c>
      <c r="F2548" s="3">
        <f>IFERROR(__xludf.DUMMYFUNCTION("""COMPUTED_VALUE"""),0.0)</f>
        <v>0</v>
      </c>
    </row>
    <row r="2549">
      <c r="A2549" s="7">
        <f>IFERROR(__xludf.DUMMYFUNCTION("""COMPUTED_VALUE"""),40501.645833333336)</f>
        <v>40501.64583</v>
      </c>
      <c r="B2549" s="3">
        <f>IFERROR(__xludf.DUMMYFUNCTION("""COMPUTED_VALUE"""),6011.3)</f>
        <v>6011.3</v>
      </c>
      <c r="C2549" s="3">
        <f>IFERROR(__xludf.DUMMYFUNCTION("""COMPUTED_VALUE"""),6013.25)</f>
        <v>6013.25</v>
      </c>
      <c r="D2549" s="3">
        <f>IFERROR(__xludf.DUMMYFUNCTION("""COMPUTED_VALUE"""),5863.95)</f>
        <v>5863.95</v>
      </c>
      <c r="E2549" s="3">
        <f>IFERROR(__xludf.DUMMYFUNCTION("""COMPUTED_VALUE"""),5890.3)</f>
        <v>5890.3</v>
      </c>
      <c r="F2549" s="3">
        <f>IFERROR(__xludf.DUMMYFUNCTION("""COMPUTED_VALUE"""),0.0)</f>
        <v>0</v>
      </c>
    </row>
    <row r="2550">
      <c r="A2550" s="7">
        <f>IFERROR(__xludf.DUMMYFUNCTION("""COMPUTED_VALUE"""),40504.645833333336)</f>
        <v>40504.64583</v>
      </c>
      <c r="B2550" s="3">
        <f>IFERROR(__xludf.DUMMYFUNCTION("""COMPUTED_VALUE"""),5920.9)</f>
        <v>5920.9</v>
      </c>
      <c r="C2550" s="3">
        <f>IFERROR(__xludf.DUMMYFUNCTION("""COMPUTED_VALUE"""),6020.25)</f>
        <v>6020.25</v>
      </c>
      <c r="D2550" s="3">
        <f>IFERROR(__xludf.DUMMYFUNCTION("""COMPUTED_VALUE"""),5905.15)</f>
        <v>5905.15</v>
      </c>
      <c r="E2550" s="3">
        <f>IFERROR(__xludf.DUMMYFUNCTION("""COMPUTED_VALUE"""),6010.0)</f>
        <v>6010</v>
      </c>
      <c r="F2550" s="3">
        <f>IFERROR(__xludf.DUMMYFUNCTION("""COMPUTED_VALUE"""),0.0)</f>
        <v>0</v>
      </c>
    </row>
    <row r="2551">
      <c r="A2551" s="7">
        <f>IFERROR(__xludf.DUMMYFUNCTION("""COMPUTED_VALUE"""),40505.645833333336)</f>
        <v>40505.64583</v>
      </c>
      <c r="B2551" s="3">
        <f>IFERROR(__xludf.DUMMYFUNCTION("""COMPUTED_VALUE"""),5971.55)</f>
        <v>5971.55</v>
      </c>
      <c r="C2551" s="3">
        <f>IFERROR(__xludf.DUMMYFUNCTION("""COMPUTED_VALUE"""),5973.35)</f>
        <v>5973.35</v>
      </c>
      <c r="D2551" s="3">
        <f>IFERROR(__xludf.DUMMYFUNCTION("""COMPUTED_VALUE"""),5824.95)</f>
        <v>5824.95</v>
      </c>
      <c r="E2551" s="3">
        <f>IFERROR(__xludf.DUMMYFUNCTION("""COMPUTED_VALUE"""),5934.75)</f>
        <v>5934.75</v>
      </c>
      <c r="F2551" s="3">
        <f>IFERROR(__xludf.DUMMYFUNCTION("""COMPUTED_VALUE"""),0.0)</f>
        <v>0</v>
      </c>
    </row>
    <row r="2552">
      <c r="A2552" s="7">
        <f>IFERROR(__xludf.DUMMYFUNCTION("""COMPUTED_VALUE"""),40506.645833333336)</f>
        <v>40506.64583</v>
      </c>
      <c r="B2552" s="3">
        <f>IFERROR(__xludf.DUMMYFUNCTION("""COMPUTED_VALUE"""),5946.8)</f>
        <v>5946.8</v>
      </c>
      <c r="C2552" s="3">
        <f>IFERROR(__xludf.DUMMYFUNCTION("""COMPUTED_VALUE"""),5976.65)</f>
        <v>5976.65</v>
      </c>
      <c r="D2552" s="3">
        <f>IFERROR(__xludf.DUMMYFUNCTION("""COMPUTED_VALUE"""),5833.6)</f>
        <v>5833.6</v>
      </c>
      <c r="E2552" s="3">
        <f>IFERROR(__xludf.DUMMYFUNCTION("""COMPUTED_VALUE"""),5865.75)</f>
        <v>5865.75</v>
      </c>
      <c r="F2552" s="3">
        <f>IFERROR(__xludf.DUMMYFUNCTION("""COMPUTED_VALUE"""),0.0)</f>
        <v>0</v>
      </c>
    </row>
    <row r="2553">
      <c r="A2553" s="7">
        <f>IFERROR(__xludf.DUMMYFUNCTION("""COMPUTED_VALUE"""),40507.645833333336)</f>
        <v>40507.64583</v>
      </c>
      <c r="B2553" s="3">
        <f>IFERROR(__xludf.DUMMYFUNCTION("""COMPUTED_VALUE"""),5883.95)</f>
        <v>5883.95</v>
      </c>
      <c r="C2553" s="3">
        <f>IFERROR(__xludf.DUMMYFUNCTION("""COMPUTED_VALUE"""),5907.1)</f>
        <v>5907.1</v>
      </c>
      <c r="D2553" s="3">
        <f>IFERROR(__xludf.DUMMYFUNCTION("""COMPUTED_VALUE"""),5780.35)</f>
        <v>5780.35</v>
      </c>
      <c r="E2553" s="3">
        <f>IFERROR(__xludf.DUMMYFUNCTION("""COMPUTED_VALUE"""),5799.75)</f>
        <v>5799.75</v>
      </c>
      <c r="F2553" s="3">
        <f>IFERROR(__xludf.DUMMYFUNCTION("""COMPUTED_VALUE"""),0.0)</f>
        <v>0</v>
      </c>
    </row>
    <row r="2554">
      <c r="A2554" s="7">
        <f>IFERROR(__xludf.DUMMYFUNCTION("""COMPUTED_VALUE"""),40508.645833333336)</f>
        <v>40508.64583</v>
      </c>
      <c r="B2554" s="3">
        <f>IFERROR(__xludf.DUMMYFUNCTION("""COMPUTED_VALUE"""),5828.55)</f>
        <v>5828.55</v>
      </c>
      <c r="C2554" s="3">
        <f>IFERROR(__xludf.DUMMYFUNCTION("""COMPUTED_VALUE"""),5838.5)</f>
        <v>5838.5</v>
      </c>
      <c r="D2554" s="3">
        <f>IFERROR(__xludf.DUMMYFUNCTION("""COMPUTED_VALUE"""),5690.35)</f>
        <v>5690.35</v>
      </c>
      <c r="E2554" s="3">
        <f>IFERROR(__xludf.DUMMYFUNCTION("""COMPUTED_VALUE"""),5751.95)</f>
        <v>5751.95</v>
      </c>
      <c r="F2554" s="3">
        <f>IFERROR(__xludf.DUMMYFUNCTION("""COMPUTED_VALUE"""),0.0)</f>
        <v>0</v>
      </c>
    </row>
    <row r="2555">
      <c r="A2555" s="7">
        <f>IFERROR(__xludf.DUMMYFUNCTION("""COMPUTED_VALUE"""),40511.645833333336)</f>
        <v>40511.64583</v>
      </c>
      <c r="B2555" s="3">
        <f>IFERROR(__xludf.DUMMYFUNCTION("""COMPUTED_VALUE"""),5789.95)</f>
        <v>5789.95</v>
      </c>
      <c r="C2555" s="3">
        <f>IFERROR(__xludf.DUMMYFUNCTION("""COMPUTED_VALUE"""),5843.15)</f>
        <v>5843.15</v>
      </c>
      <c r="D2555" s="3">
        <f>IFERROR(__xludf.DUMMYFUNCTION("""COMPUTED_VALUE"""),5754.7)</f>
        <v>5754.7</v>
      </c>
      <c r="E2555" s="3">
        <f>IFERROR(__xludf.DUMMYFUNCTION("""COMPUTED_VALUE"""),5830.0)</f>
        <v>5830</v>
      </c>
      <c r="F2555" s="3">
        <f>IFERROR(__xludf.DUMMYFUNCTION("""COMPUTED_VALUE"""),0.0)</f>
        <v>0</v>
      </c>
    </row>
    <row r="2556">
      <c r="A2556" s="7">
        <f>IFERROR(__xludf.DUMMYFUNCTION("""COMPUTED_VALUE"""),40512.645833333336)</f>
        <v>40512.64583</v>
      </c>
      <c r="B2556" s="3">
        <f>IFERROR(__xludf.DUMMYFUNCTION("""COMPUTED_VALUE"""),5811.6)</f>
        <v>5811.6</v>
      </c>
      <c r="C2556" s="3">
        <f>IFERROR(__xludf.DUMMYFUNCTION("""COMPUTED_VALUE"""),5892.25)</f>
        <v>5892.25</v>
      </c>
      <c r="D2556" s="3">
        <f>IFERROR(__xludf.DUMMYFUNCTION("""COMPUTED_VALUE"""),5768.35)</f>
        <v>5768.35</v>
      </c>
      <c r="E2556" s="3">
        <f>IFERROR(__xludf.DUMMYFUNCTION("""COMPUTED_VALUE"""),5862.7)</f>
        <v>5862.7</v>
      </c>
      <c r="F2556" s="3">
        <f>IFERROR(__xludf.DUMMYFUNCTION("""COMPUTED_VALUE"""),0.0)</f>
        <v>0</v>
      </c>
    </row>
    <row r="2557">
      <c r="A2557" s="7">
        <f>IFERROR(__xludf.DUMMYFUNCTION("""COMPUTED_VALUE"""),40513.645833333336)</f>
        <v>40513.64583</v>
      </c>
      <c r="B2557" s="3">
        <f>IFERROR(__xludf.DUMMYFUNCTION("""COMPUTED_VALUE"""),5871.0)</f>
        <v>5871</v>
      </c>
      <c r="C2557" s="3">
        <f>IFERROR(__xludf.DUMMYFUNCTION("""COMPUTED_VALUE"""),5971.0)</f>
        <v>5971</v>
      </c>
      <c r="D2557" s="3">
        <f>IFERROR(__xludf.DUMMYFUNCTION("""COMPUTED_VALUE"""),5865.55)</f>
        <v>5865.55</v>
      </c>
      <c r="E2557" s="3">
        <f>IFERROR(__xludf.DUMMYFUNCTION("""COMPUTED_VALUE"""),5960.9)</f>
        <v>5960.9</v>
      </c>
      <c r="F2557" s="3">
        <f>IFERROR(__xludf.DUMMYFUNCTION("""COMPUTED_VALUE"""),0.0)</f>
        <v>0</v>
      </c>
    </row>
    <row r="2558">
      <c r="A2558" s="7">
        <f>IFERROR(__xludf.DUMMYFUNCTION("""COMPUTED_VALUE"""),40514.645833333336)</f>
        <v>40514.64583</v>
      </c>
      <c r="B2558" s="3">
        <f>IFERROR(__xludf.DUMMYFUNCTION("""COMPUTED_VALUE"""),6023.05)</f>
        <v>6023.05</v>
      </c>
      <c r="C2558" s="3">
        <f>IFERROR(__xludf.DUMMYFUNCTION("""COMPUTED_VALUE"""),6029.5)</f>
        <v>6029.5</v>
      </c>
      <c r="D2558" s="3">
        <f>IFERROR(__xludf.DUMMYFUNCTION("""COMPUTED_VALUE"""),5980.6)</f>
        <v>5980.6</v>
      </c>
      <c r="E2558" s="3">
        <f>IFERROR(__xludf.DUMMYFUNCTION("""COMPUTED_VALUE"""),6011.7)</f>
        <v>6011.7</v>
      </c>
      <c r="F2558" s="3">
        <f>IFERROR(__xludf.DUMMYFUNCTION("""COMPUTED_VALUE"""),0.0)</f>
        <v>0</v>
      </c>
    </row>
    <row r="2559">
      <c r="A2559" s="7">
        <f>IFERROR(__xludf.DUMMYFUNCTION("""COMPUTED_VALUE"""),40515.645833333336)</f>
        <v>40515.64583</v>
      </c>
      <c r="B2559" s="3">
        <f>IFERROR(__xludf.DUMMYFUNCTION("""COMPUTED_VALUE"""),6013.35)</f>
        <v>6013.35</v>
      </c>
      <c r="C2559" s="3">
        <f>IFERROR(__xludf.DUMMYFUNCTION("""COMPUTED_VALUE"""),6025.4)</f>
        <v>6025.4</v>
      </c>
      <c r="D2559" s="3">
        <f>IFERROR(__xludf.DUMMYFUNCTION("""COMPUTED_VALUE"""),5964.25)</f>
        <v>5964.25</v>
      </c>
      <c r="E2559" s="3">
        <f>IFERROR(__xludf.DUMMYFUNCTION("""COMPUTED_VALUE"""),5992.8)</f>
        <v>5992.8</v>
      </c>
      <c r="F2559" s="3">
        <f>IFERROR(__xludf.DUMMYFUNCTION("""COMPUTED_VALUE"""),0.0)</f>
        <v>0</v>
      </c>
    </row>
    <row r="2560">
      <c r="A2560" s="7">
        <f>IFERROR(__xludf.DUMMYFUNCTION("""COMPUTED_VALUE"""),40518.645833333336)</f>
        <v>40518.64583</v>
      </c>
      <c r="B2560" s="3">
        <f>IFERROR(__xludf.DUMMYFUNCTION("""COMPUTED_VALUE"""),6033.65)</f>
        <v>6033.65</v>
      </c>
      <c r="C2560" s="3">
        <f>IFERROR(__xludf.DUMMYFUNCTION("""COMPUTED_VALUE"""),6069.45)</f>
        <v>6069.45</v>
      </c>
      <c r="D2560" s="3">
        <f>IFERROR(__xludf.DUMMYFUNCTION("""COMPUTED_VALUE"""),5981.7)</f>
        <v>5981.7</v>
      </c>
      <c r="E2560" s="3">
        <f>IFERROR(__xludf.DUMMYFUNCTION("""COMPUTED_VALUE"""),5992.25)</f>
        <v>5992.25</v>
      </c>
      <c r="F2560" s="3">
        <f>IFERROR(__xludf.DUMMYFUNCTION("""COMPUTED_VALUE"""),0.0)</f>
        <v>0</v>
      </c>
    </row>
    <row r="2561">
      <c r="A2561" s="7">
        <f>IFERROR(__xludf.DUMMYFUNCTION("""COMPUTED_VALUE"""),40519.645833333336)</f>
        <v>40519.64583</v>
      </c>
      <c r="B2561" s="3">
        <f>IFERROR(__xludf.DUMMYFUNCTION("""COMPUTED_VALUE"""),5995.05)</f>
        <v>5995.05</v>
      </c>
      <c r="C2561" s="3">
        <f>IFERROR(__xludf.DUMMYFUNCTION("""COMPUTED_VALUE"""),6001.0)</f>
        <v>6001</v>
      </c>
      <c r="D2561" s="3">
        <f>IFERROR(__xludf.DUMMYFUNCTION("""COMPUTED_VALUE"""),5939.7)</f>
        <v>5939.7</v>
      </c>
      <c r="E2561" s="3">
        <f>IFERROR(__xludf.DUMMYFUNCTION("""COMPUTED_VALUE"""),5976.55)</f>
        <v>5976.55</v>
      </c>
      <c r="F2561" s="3">
        <f>IFERROR(__xludf.DUMMYFUNCTION("""COMPUTED_VALUE"""),0.0)</f>
        <v>0</v>
      </c>
    </row>
    <row r="2562">
      <c r="A2562" s="7">
        <f>IFERROR(__xludf.DUMMYFUNCTION("""COMPUTED_VALUE"""),40520.645833333336)</f>
        <v>40520.64583</v>
      </c>
      <c r="B2562" s="3">
        <f>IFERROR(__xludf.DUMMYFUNCTION("""COMPUTED_VALUE"""),5954.4)</f>
        <v>5954.4</v>
      </c>
      <c r="C2562" s="3">
        <f>IFERROR(__xludf.DUMMYFUNCTION("""COMPUTED_VALUE"""),5960.0)</f>
        <v>5960</v>
      </c>
      <c r="D2562" s="3">
        <f>IFERROR(__xludf.DUMMYFUNCTION("""COMPUTED_VALUE"""),5878.6)</f>
        <v>5878.6</v>
      </c>
      <c r="E2562" s="3">
        <f>IFERROR(__xludf.DUMMYFUNCTION("""COMPUTED_VALUE"""),5903.7)</f>
        <v>5903.7</v>
      </c>
      <c r="F2562" s="3">
        <f>IFERROR(__xludf.DUMMYFUNCTION("""COMPUTED_VALUE"""),0.0)</f>
        <v>0</v>
      </c>
    </row>
    <row r="2563">
      <c r="A2563" s="7">
        <f>IFERROR(__xludf.DUMMYFUNCTION("""COMPUTED_VALUE"""),40521.645833333336)</f>
        <v>40521.64583</v>
      </c>
      <c r="B2563" s="3">
        <f>IFERROR(__xludf.DUMMYFUNCTION("""COMPUTED_VALUE"""),5924.25)</f>
        <v>5924.25</v>
      </c>
      <c r="C2563" s="3">
        <f>IFERROR(__xludf.DUMMYFUNCTION("""COMPUTED_VALUE"""),5927.3)</f>
        <v>5927.3</v>
      </c>
      <c r="D2563" s="3">
        <f>IFERROR(__xludf.DUMMYFUNCTION("""COMPUTED_VALUE"""),5742.3)</f>
        <v>5742.3</v>
      </c>
      <c r="E2563" s="3">
        <f>IFERROR(__xludf.DUMMYFUNCTION("""COMPUTED_VALUE"""),5766.5)</f>
        <v>5766.5</v>
      </c>
      <c r="F2563" s="3">
        <f>IFERROR(__xludf.DUMMYFUNCTION("""COMPUTED_VALUE"""),0.0)</f>
        <v>0</v>
      </c>
    </row>
    <row r="2564">
      <c r="A2564" s="7">
        <f>IFERROR(__xludf.DUMMYFUNCTION("""COMPUTED_VALUE"""),40522.645833333336)</f>
        <v>40522.64583</v>
      </c>
      <c r="B2564" s="3">
        <f>IFERROR(__xludf.DUMMYFUNCTION("""COMPUTED_VALUE"""),5761.0)</f>
        <v>5761</v>
      </c>
      <c r="C2564" s="3">
        <f>IFERROR(__xludf.DUMMYFUNCTION("""COMPUTED_VALUE"""),5865.5)</f>
        <v>5865.5</v>
      </c>
      <c r="D2564" s="3">
        <f>IFERROR(__xludf.DUMMYFUNCTION("""COMPUTED_VALUE"""),5721.15)</f>
        <v>5721.15</v>
      </c>
      <c r="E2564" s="3">
        <f>IFERROR(__xludf.DUMMYFUNCTION("""COMPUTED_VALUE"""),5857.35)</f>
        <v>5857.35</v>
      </c>
      <c r="F2564" s="3">
        <f>IFERROR(__xludf.DUMMYFUNCTION("""COMPUTED_VALUE"""),0.0)</f>
        <v>0</v>
      </c>
    </row>
    <row r="2565">
      <c r="A2565" s="7">
        <f>IFERROR(__xludf.DUMMYFUNCTION("""COMPUTED_VALUE"""),40525.645833333336)</f>
        <v>40525.64583</v>
      </c>
      <c r="B2565" s="3">
        <f>IFERROR(__xludf.DUMMYFUNCTION("""COMPUTED_VALUE"""),5882.65)</f>
        <v>5882.65</v>
      </c>
      <c r="C2565" s="3">
        <f>IFERROR(__xludf.DUMMYFUNCTION("""COMPUTED_VALUE"""),5913.8)</f>
        <v>5913.8</v>
      </c>
      <c r="D2565" s="3">
        <f>IFERROR(__xludf.DUMMYFUNCTION("""COMPUTED_VALUE"""),5795.9)</f>
        <v>5795.9</v>
      </c>
      <c r="E2565" s="3">
        <f>IFERROR(__xludf.DUMMYFUNCTION("""COMPUTED_VALUE"""),5907.65)</f>
        <v>5907.65</v>
      </c>
      <c r="F2565" s="3">
        <f>IFERROR(__xludf.DUMMYFUNCTION("""COMPUTED_VALUE"""),0.0)</f>
        <v>0</v>
      </c>
    </row>
    <row r="2566">
      <c r="A2566" s="7">
        <f>IFERROR(__xludf.DUMMYFUNCTION("""COMPUTED_VALUE"""),40526.645833333336)</f>
        <v>40526.64583</v>
      </c>
      <c r="B2566" s="3">
        <f>IFERROR(__xludf.DUMMYFUNCTION("""COMPUTED_VALUE"""),5928.7)</f>
        <v>5928.7</v>
      </c>
      <c r="C2566" s="3">
        <f>IFERROR(__xludf.DUMMYFUNCTION("""COMPUTED_VALUE"""),5953.95)</f>
        <v>5953.95</v>
      </c>
      <c r="D2566" s="3">
        <f>IFERROR(__xludf.DUMMYFUNCTION("""COMPUTED_VALUE"""),5888.75)</f>
        <v>5888.75</v>
      </c>
      <c r="E2566" s="3">
        <f>IFERROR(__xludf.DUMMYFUNCTION("""COMPUTED_VALUE"""),5944.1)</f>
        <v>5944.1</v>
      </c>
      <c r="F2566" s="3">
        <f>IFERROR(__xludf.DUMMYFUNCTION("""COMPUTED_VALUE"""),0.0)</f>
        <v>0</v>
      </c>
    </row>
    <row r="2567">
      <c r="A2567" s="7">
        <f>IFERROR(__xludf.DUMMYFUNCTION("""COMPUTED_VALUE"""),40527.645833333336)</f>
        <v>40527.64583</v>
      </c>
      <c r="B2567" s="3">
        <f>IFERROR(__xludf.DUMMYFUNCTION("""COMPUTED_VALUE"""),5931.15)</f>
        <v>5931.15</v>
      </c>
      <c r="C2567" s="3">
        <f>IFERROR(__xludf.DUMMYFUNCTION("""COMPUTED_VALUE"""),5942.75)</f>
        <v>5942.75</v>
      </c>
      <c r="D2567" s="3">
        <f>IFERROR(__xludf.DUMMYFUNCTION("""COMPUTED_VALUE"""),5865.8)</f>
        <v>5865.8</v>
      </c>
      <c r="E2567" s="3">
        <f>IFERROR(__xludf.DUMMYFUNCTION("""COMPUTED_VALUE"""),5892.3)</f>
        <v>5892.3</v>
      </c>
      <c r="F2567" s="3">
        <f>IFERROR(__xludf.DUMMYFUNCTION("""COMPUTED_VALUE"""),0.0)</f>
        <v>0</v>
      </c>
    </row>
    <row r="2568">
      <c r="A2568" s="7">
        <f>IFERROR(__xludf.DUMMYFUNCTION("""COMPUTED_VALUE"""),40528.645833333336)</f>
        <v>40528.64583</v>
      </c>
      <c r="B2568" s="3">
        <f>IFERROR(__xludf.DUMMYFUNCTION("""COMPUTED_VALUE"""),5910.55)</f>
        <v>5910.55</v>
      </c>
      <c r="C2568" s="3">
        <f>IFERROR(__xludf.DUMMYFUNCTION("""COMPUTED_VALUE"""),5956.15)</f>
        <v>5956.15</v>
      </c>
      <c r="D2568" s="3">
        <f>IFERROR(__xludf.DUMMYFUNCTION("""COMPUTED_VALUE"""),5855.05)</f>
        <v>5855.05</v>
      </c>
      <c r="E2568" s="3">
        <f>IFERROR(__xludf.DUMMYFUNCTION("""COMPUTED_VALUE"""),5948.75)</f>
        <v>5948.75</v>
      </c>
      <c r="F2568" s="3">
        <f>IFERROR(__xludf.DUMMYFUNCTION("""COMPUTED_VALUE"""),0.0)</f>
        <v>0</v>
      </c>
    </row>
    <row r="2569">
      <c r="A2569" s="7">
        <f>IFERROR(__xludf.DUMMYFUNCTION("""COMPUTED_VALUE"""),40532.645833333336)</f>
        <v>40532.64583</v>
      </c>
      <c r="B2569" s="3">
        <f>IFERROR(__xludf.DUMMYFUNCTION("""COMPUTED_VALUE"""),5926.85)</f>
        <v>5926.85</v>
      </c>
      <c r="C2569" s="3">
        <f>IFERROR(__xludf.DUMMYFUNCTION("""COMPUTED_VALUE"""),5985.0)</f>
        <v>5985</v>
      </c>
      <c r="D2569" s="3">
        <f>IFERROR(__xludf.DUMMYFUNCTION("""COMPUTED_VALUE"""),5900.25)</f>
        <v>5900.25</v>
      </c>
      <c r="E2569" s="3">
        <f>IFERROR(__xludf.DUMMYFUNCTION("""COMPUTED_VALUE"""),5947.05)</f>
        <v>5947.05</v>
      </c>
      <c r="F2569" s="3">
        <f>IFERROR(__xludf.DUMMYFUNCTION("""COMPUTED_VALUE"""),0.0)</f>
        <v>0</v>
      </c>
    </row>
    <row r="2570">
      <c r="A2570" s="7">
        <f>IFERROR(__xludf.DUMMYFUNCTION("""COMPUTED_VALUE"""),40533.645833333336)</f>
        <v>40533.64583</v>
      </c>
      <c r="B2570" s="3">
        <f>IFERROR(__xludf.DUMMYFUNCTION("""COMPUTED_VALUE"""),5960.4)</f>
        <v>5960.4</v>
      </c>
      <c r="C2570" s="3">
        <f>IFERROR(__xludf.DUMMYFUNCTION("""COMPUTED_VALUE"""),6007.45)</f>
        <v>6007.45</v>
      </c>
      <c r="D2570" s="3">
        <f>IFERROR(__xludf.DUMMYFUNCTION("""COMPUTED_VALUE"""),5960.05)</f>
        <v>5960.05</v>
      </c>
      <c r="E2570" s="3">
        <f>IFERROR(__xludf.DUMMYFUNCTION("""COMPUTED_VALUE"""),6000.65)</f>
        <v>6000.65</v>
      </c>
      <c r="F2570" s="3">
        <f>IFERROR(__xludf.DUMMYFUNCTION("""COMPUTED_VALUE"""),0.0)</f>
        <v>0</v>
      </c>
    </row>
    <row r="2571">
      <c r="A2571" s="7">
        <f>IFERROR(__xludf.DUMMYFUNCTION("""COMPUTED_VALUE"""),40534.645833333336)</f>
        <v>40534.64583</v>
      </c>
      <c r="B2571" s="3">
        <f>IFERROR(__xludf.DUMMYFUNCTION("""COMPUTED_VALUE"""),6019.0)</f>
        <v>6019</v>
      </c>
      <c r="C2571" s="3">
        <f>IFERROR(__xludf.DUMMYFUNCTION("""COMPUTED_VALUE"""),6023.8)</f>
        <v>6023.8</v>
      </c>
      <c r="D2571" s="3">
        <f>IFERROR(__xludf.DUMMYFUNCTION("""COMPUTED_VALUE"""),5958.0)</f>
        <v>5958</v>
      </c>
      <c r="E2571" s="3">
        <f>IFERROR(__xludf.DUMMYFUNCTION("""COMPUTED_VALUE"""),5984.4)</f>
        <v>5984.4</v>
      </c>
      <c r="F2571" s="3">
        <f>IFERROR(__xludf.DUMMYFUNCTION("""COMPUTED_VALUE"""),0.0)</f>
        <v>0</v>
      </c>
    </row>
    <row r="2572">
      <c r="A2572" s="7">
        <f>IFERROR(__xludf.DUMMYFUNCTION("""COMPUTED_VALUE"""),40535.645833333336)</f>
        <v>40535.64583</v>
      </c>
      <c r="B2572" s="3">
        <f>IFERROR(__xludf.DUMMYFUNCTION("""COMPUTED_VALUE"""),6005.9)</f>
        <v>6005.9</v>
      </c>
      <c r="C2572" s="3">
        <f>IFERROR(__xludf.DUMMYFUNCTION("""COMPUTED_VALUE"""),6006.45)</f>
        <v>6006.45</v>
      </c>
      <c r="D2572" s="3">
        <f>IFERROR(__xludf.DUMMYFUNCTION("""COMPUTED_VALUE"""),5964.6)</f>
        <v>5964.6</v>
      </c>
      <c r="E2572" s="3">
        <f>IFERROR(__xludf.DUMMYFUNCTION("""COMPUTED_VALUE"""),5980.0)</f>
        <v>5980</v>
      </c>
      <c r="F2572" s="3">
        <f>IFERROR(__xludf.DUMMYFUNCTION("""COMPUTED_VALUE"""),0.0)</f>
        <v>0</v>
      </c>
    </row>
    <row r="2573">
      <c r="A2573" s="7">
        <f>IFERROR(__xludf.DUMMYFUNCTION("""COMPUTED_VALUE"""),40536.645833333336)</f>
        <v>40536.64583</v>
      </c>
      <c r="B2573" s="3">
        <f>IFERROR(__xludf.DUMMYFUNCTION("""COMPUTED_VALUE"""),5940.25)</f>
        <v>5940.25</v>
      </c>
      <c r="C2573" s="3">
        <f>IFERROR(__xludf.DUMMYFUNCTION("""COMPUTED_VALUE"""),6017.35)</f>
        <v>6017.35</v>
      </c>
      <c r="D2573" s="3">
        <f>IFERROR(__xludf.DUMMYFUNCTION("""COMPUTED_VALUE"""),5940.25)</f>
        <v>5940.25</v>
      </c>
      <c r="E2573" s="3">
        <f>IFERROR(__xludf.DUMMYFUNCTION("""COMPUTED_VALUE"""),6011.6)</f>
        <v>6011.6</v>
      </c>
      <c r="F2573" s="3">
        <f>IFERROR(__xludf.DUMMYFUNCTION("""COMPUTED_VALUE"""),0.0)</f>
        <v>0</v>
      </c>
    </row>
    <row r="2574">
      <c r="A2574" s="7">
        <f>IFERROR(__xludf.DUMMYFUNCTION("""COMPUTED_VALUE"""),40539.645833333336)</f>
        <v>40539.64583</v>
      </c>
      <c r="B2574" s="3">
        <f>IFERROR(__xludf.DUMMYFUNCTION("""COMPUTED_VALUE"""),6013.3)</f>
        <v>6013.3</v>
      </c>
      <c r="C2574" s="3">
        <f>IFERROR(__xludf.DUMMYFUNCTION("""COMPUTED_VALUE"""),6045.75)</f>
        <v>6045.75</v>
      </c>
      <c r="D2574" s="3">
        <f>IFERROR(__xludf.DUMMYFUNCTION("""COMPUTED_VALUE"""),5991.1)</f>
        <v>5991.1</v>
      </c>
      <c r="E2574" s="3">
        <f>IFERROR(__xludf.DUMMYFUNCTION("""COMPUTED_VALUE"""),5998.1)</f>
        <v>5998.1</v>
      </c>
      <c r="F2574" s="3">
        <f>IFERROR(__xludf.DUMMYFUNCTION("""COMPUTED_VALUE"""),0.0)</f>
        <v>0</v>
      </c>
    </row>
    <row r="2575">
      <c r="A2575" s="7">
        <f>IFERROR(__xludf.DUMMYFUNCTION("""COMPUTED_VALUE"""),40540.645833333336)</f>
        <v>40540.64583</v>
      </c>
      <c r="B2575" s="3">
        <f>IFERROR(__xludf.DUMMYFUNCTION("""COMPUTED_VALUE"""),6005.35)</f>
        <v>6005.35</v>
      </c>
      <c r="C2575" s="3">
        <f>IFERROR(__xludf.DUMMYFUNCTION("""COMPUTED_VALUE"""),6010.9)</f>
        <v>6010.9</v>
      </c>
      <c r="D2575" s="3">
        <f>IFERROR(__xludf.DUMMYFUNCTION("""COMPUTED_VALUE"""),5982.25)</f>
        <v>5982.25</v>
      </c>
      <c r="E2575" s="3">
        <f>IFERROR(__xludf.DUMMYFUNCTION("""COMPUTED_VALUE"""),5996.0)</f>
        <v>5996</v>
      </c>
      <c r="F2575" s="3">
        <f>IFERROR(__xludf.DUMMYFUNCTION("""COMPUTED_VALUE"""),0.0)</f>
        <v>0</v>
      </c>
    </row>
    <row r="2576">
      <c r="A2576" s="7">
        <f>IFERROR(__xludf.DUMMYFUNCTION("""COMPUTED_VALUE"""),40541.645833333336)</f>
        <v>40541.64583</v>
      </c>
      <c r="B2576" s="3">
        <f>IFERROR(__xludf.DUMMYFUNCTION("""COMPUTED_VALUE"""),6005.15)</f>
        <v>6005.15</v>
      </c>
      <c r="C2576" s="3">
        <f>IFERROR(__xludf.DUMMYFUNCTION("""COMPUTED_VALUE"""),6067.55)</f>
        <v>6067.55</v>
      </c>
      <c r="D2576" s="3">
        <f>IFERROR(__xludf.DUMMYFUNCTION("""COMPUTED_VALUE"""),6002.85)</f>
        <v>6002.85</v>
      </c>
      <c r="E2576" s="3">
        <f>IFERROR(__xludf.DUMMYFUNCTION("""COMPUTED_VALUE"""),6060.35)</f>
        <v>6060.35</v>
      </c>
      <c r="F2576" s="3">
        <f>IFERROR(__xludf.DUMMYFUNCTION("""COMPUTED_VALUE"""),0.0)</f>
        <v>0</v>
      </c>
    </row>
    <row r="2577">
      <c r="A2577" s="7">
        <f>IFERROR(__xludf.DUMMYFUNCTION("""COMPUTED_VALUE"""),40542.645833333336)</f>
        <v>40542.64583</v>
      </c>
      <c r="B2577" s="3">
        <f>IFERROR(__xludf.DUMMYFUNCTION("""COMPUTED_VALUE"""),6062.35)</f>
        <v>6062.35</v>
      </c>
      <c r="C2577" s="3">
        <f>IFERROR(__xludf.DUMMYFUNCTION("""COMPUTED_VALUE"""),6106.4)</f>
        <v>6106.4</v>
      </c>
      <c r="D2577" s="3">
        <f>IFERROR(__xludf.DUMMYFUNCTION("""COMPUTED_VALUE"""),6062.35)</f>
        <v>6062.35</v>
      </c>
      <c r="E2577" s="3">
        <f>IFERROR(__xludf.DUMMYFUNCTION("""COMPUTED_VALUE"""),6101.85)</f>
        <v>6101.85</v>
      </c>
      <c r="F2577" s="3">
        <f>IFERROR(__xludf.DUMMYFUNCTION("""COMPUTED_VALUE"""),0.0)</f>
        <v>0</v>
      </c>
    </row>
    <row r="2578">
      <c r="A2578" s="7">
        <f>IFERROR(__xludf.DUMMYFUNCTION("""COMPUTED_VALUE"""),40543.645833333336)</f>
        <v>40543.64583</v>
      </c>
      <c r="B2578" s="3">
        <f>IFERROR(__xludf.DUMMYFUNCTION("""COMPUTED_VALUE"""),6105.1)</f>
        <v>6105.1</v>
      </c>
      <c r="C2578" s="3">
        <f>IFERROR(__xludf.DUMMYFUNCTION("""COMPUTED_VALUE"""),6147.3)</f>
        <v>6147.3</v>
      </c>
      <c r="D2578" s="3">
        <f>IFERROR(__xludf.DUMMYFUNCTION("""COMPUTED_VALUE"""),6103.55)</f>
        <v>6103.55</v>
      </c>
      <c r="E2578" s="3">
        <f>IFERROR(__xludf.DUMMYFUNCTION("""COMPUTED_VALUE"""),6134.5)</f>
        <v>6134.5</v>
      </c>
      <c r="F2578" s="3">
        <f>IFERROR(__xludf.DUMMYFUNCTION("""COMPUTED_VALUE"""),0.0)</f>
        <v>0</v>
      </c>
    </row>
    <row r="2579">
      <c r="A2579" s="7">
        <f>IFERROR(__xludf.DUMMYFUNCTION("""COMPUTED_VALUE"""),40546.645833333336)</f>
        <v>40546.64583</v>
      </c>
      <c r="B2579" s="3">
        <f>IFERROR(__xludf.DUMMYFUNCTION("""COMPUTED_VALUE"""),6177.45)</f>
        <v>6177.45</v>
      </c>
      <c r="C2579" s="3">
        <f>IFERROR(__xludf.DUMMYFUNCTION("""COMPUTED_VALUE"""),6178.55)</f>
        <v>6178.55</v>
      </c>
      <c r="D2579" s="3">
        <f>IFERROR(__xludf.DUMMYFUNCTION("""COMPUTED_VALUE"""),6147.2)</f>
        <v>6147.2</v>
      </c>
      <c r="E2579" s="3">
        <f>IFERROR(__xludf.DUMMYFUNCTION("""COMPUTED_VALUE"""),6157.6)</f>
        <v>6157.6</v>
      </c>
      <c r="F2579" s="3">
        <f>IFERROR(__xludf.DUMMYFUNCTION("""COMPUTED_VALUE"""),0.0)</f>
        <v>0</v>
      </c>
    </row>
    <row r="2580">
      <c r="A2580" s="7">
        <f>IFERROR(__xludf.DUMMYFUNCTION("""COMPUTED_VALUE"""),40547.645833333336)</f>
        <v>40547.64583</v>
      </c>
      <c r="B2580" s="3">
        <f>IFERROR(__xludf.DUMMYFUNCTION("""COMPUTED_VALUE"""),6172.75)</f>
        <v>6172.75</v>
      </c>
      <c r="C2580" s="3">
        <f>IFERROR(__xludf.DUMMYFUNCTION("""COMPUTED_VALUE"""),6181.05)</f>
        <v>6181.05</v>
      </c>
      <c r="D2580" s="3">
        <f>IFERROR(__xludf.DUMMYFUNCTION("""COMPUTED_VALUE"""),6124.4)</f>
        <v>6124.4</v>
      </c>
      <c r="E2580" s="3">
        <f>IFERROR(__xludf.DUMMYFUNCTION("""COMPUTED_VALUE"""),6146.35)</f>
        <v>6146.35</v>
      </c>
      <c r="F2580" s="3">
        <f>IFERROR(__xludf.DUMMYFUNCTION("""COMPUTED_VALUE"""),0.0)</f>
        <v>0</v>
      </c>
    </row>
    <row r="2581">
      <c r="A2581" s="7">
        <f>IFERROR(__xludf.DUMMYFUNCTION("""COMPUTED_VALUE"""),40548.645833333336)</f>
        <v>40548.64583</v>
      </c>
      <c r="B2581" s="3">
        <f>IFERROR(__xludf.DUMMYFUNCTION("""COMPUTED_VALUE"""),6141.35)</f>
        <v>6141.35</v>
      </c>
      <c r="C2581" s="3">
        <f>IFERROR(__xludf.DUMMYFUNCTION("""COMPUTED_VALUE"""),6141.35)</f>
        <v>6141.35</v>
      </c>
      <c r="D2581" s="3">
        <f>IFERROR(__xludf.DUMMYFUNCTION("""COMPUTED_VALUE"""),6062.35)</f>
        <v>6062.35</v>
      </c>
      <c r="E2581" s="3">
        <f>IFERROR(__xludf.DUMMYFUNCTION("""COMPUTED_VALUE"""),6079.8)</f>
        <v>6079.8</v>
      </c>
      <c r="F2581" s="3">
        <f>IFERROR(__xludf.DUMMYFUNCTION("""COMPUTED_VALUE"""),0.0)</f>
        <v>0</v>
      </c>
    </row>
    <row r="2582">
      <c r="A2582" s="7">
        <f>IFERROR(__xludf.DUMMYFUNCTION("""COMPUTED_VALUE"""),40549.645833333336)</f>
        <v>40549.64583</v>
      </c>
      <c r="B2582" s="3">
        <f>IFERROR(__xludf.DUMMYFUNCTION("""COMPUTED_VALUE"""),6107.0)</f>
        <v>6107</v>
      </c>
      <c r="C2582" s="3">
        <f>IFERROR(__xludf.DUMMYFUNCTION("""COMPUTED_VALUE"""),6116.15)</f>
        <v>6116.15</v>
      </c>
      <c r="D2582" s="3">
        <f>IFERROR(__xludf.DUMMYFUNCTION("""COMPUTED_VALUE"""),6022.3)</f>
        <v>6022.3</v>
      </c>
      <c r="E2582" s="3">
        <f>IFERROR(__xludf.DUMMYFUNCTION("""COMPUTED_VALUE"""),6048.25)</f>
        <v>6048.25</v>
      </c>
      <c r="F2582" s="3">
        <f>IFERROR(__xludf.DUMMYFUNCTION("""COMPUTED_VALUE"""),0.0)</f>
        <v>0</v>
      </c>
    </row>
    <row r="2583">
      <c r="A2583" s="7">
        <f>IFERROR(__xludf.DUMMYFUNCTION("""COMPUTED_VALUE"""),40550.645833333336)</f>
        <v>40550.64583</v>
      </c>
      <c r="B2583" s="3">
        <f>IFERROR(__xludf.DUMMYFUNCTION("""COMPUTED_VALUE"""),6030.9)</f>
        <v>6030.9</v>
      </c>
      <c r="C2583" s="3">
        <f>IFERROR(__xludf.DUMMYFUNCTION("""COMPUTED_VALUE"""),6051.2)</f>
        <v>6051.2</v>
      </c>
      <c r="D2583" s="3">
        <f>IFERROR(__xludf.DUMMYFUNCTION("""COMPUTED_VALUE"""),5883.6)</f>
        <v>5883.6</v>
      </c>
      <c r="E2583" s="3">
        <f>IFERROR(__xludf.DUMMYFUNCTION("""COMPUTED_VALUE"""),5904.6)</f>
        <v>5904.6</v>
      </c>
      <c r="F2583" s="3">
        <f>IFERROR(__xludf.DUMMYFUNCTION("""COMPUTED_VALUE"""),0.0)</f>
        <v>0</v>
      </c>
    </row>
    <row r="2584">
      <c r="A2584" s="7">
        <f>IFERROR(__xludf.DUMMYFUNCTION("""COMPUTED_VALUE"""),40553.645833333336)</f>
        <v>40553.64583</v>
      </c>
      <c r="B2584" s="3">
        <f>IFERROR(__xludf.DUMMYFUNCTION("""COMPUTED_VALUE"""),5901.3)</f>
        <v>5901.3</v>
      </c>
      <c r="C2584" s="3">
        <f>IFERROR(__xludf.DUMMYFUNCTION("""COMPUTED_VALUE"""),5907.25)</f>
        <v>5907.25</v>
      </c>
      <c r="D2584" s="3">
        <f>IFERROR(__xludf.DUMMYFUNCTION("""COMPUTED_VALUE"""),5740.95)</f>
        <v>5740.95</v>
      </c>
      <c r="E2584" s="3">
        <f>IFERROR(__xludf.DUMMYFUNCTION("""COMPUTED_VALUE"""),5762.85)</f>
        <v>5762.85</v>
      </c>
      <c r="F2584" s="3">
        <f>IFERROR(__xludf.DUMMYFUNCTION("""COMPUTED_VALUE"""),0.0)</f>
        <v>0</v>
      </c>
    </row>
    <row r="2585">
      <c r="A2585" s="7">
        <f>IFERROR(__xludf.DUMMYFUNCTION("""COMPUTED_VALUE"""),40554.645833333336)</f>
        <v>40554.64583</v>
      </c>
      <c r="B2585" s="3">
        <f>IFERROR(__xludf.DUMMYFUNCTION("""COMPUTED_VALUE"""),5767.95)</f>
        <v>5767.95</v>
      </c>
      <c r="C2585" s="3">
        <f>IFERROR(__xludf.DUMMYFUNCTION("""COMPUTED_VALUE"""),5842.6)</f>
        <v>5842.6</v>
      </c>
      <c r="D2585" s="3">
        <f>IFERROR(__xludf.DUMMYFUNCTION("""COMPUTED_VALUE"""),5698.2)</f>
        <v>5698.2</v>
      </c>
      <c r="E2585" s="3">
        <f>IFERROR(__xludf.DUMMYFUNCTION("""COMPUTED_VALUE"""),5754.1)</f>
        <v>5754.1</v>
      </c>
      <c r="F2585" s="3">
        <f>IFERROR(__xludf.DUMMYFUNCTION("""COMPUTED_VALUE"""),0.0)</f>
        <v>0</v>
      </c>
    </row>
    <row r="2586">
      <c r="A2586" s="7">
        <f>IFERROR(__xludf.DUMMYFUNCTION("""COMPUTED_VALUE"""),40555.645833333336)</f>
        <v>40555.64583</v>
      </c>
      <c r="B2586" s="3">
        <f>IFERROR(__xludf.DUMMYFUNCTION("""COMPUTED_VALUE"""),5800.05)</f>
        <v>5800.05</v>
      </c>
      <c r="C2586" s="3">
        <f>IFERROR(__xludf.DUMMYFUNCTION("""COMPUTED_VALUE"""),5874.2)</f>
        <v>5874.2</v>
      </c>
      <c r="D2586" s="3">
        <f>IFERROR(__xludf.DUMMYFUNCTION("""COMPUTED_VALUE"""),5711.3)</f>
        <v>5711.3</v>
      </c>
      <c r="E2586" s="3">
        <f>IFERROR(__xludf.DUMMYFUNCTION("""COMPUTED_VALUE"""),5863.25)</f>
        <v>5863.25</v>
      </c>
      <c r="F2586" s="3">
        <f>IFERROR(__xludf.DUMMYFUNCTION("""COMPUTED_VALUE"""),0.0)</f>
        <v>0</v>
      </c>
    </row>
    <row r="2587">
      <c r="A2587" s="7">
        <f>IFERROR(__xludf.DUMMYFUNCTION("""COMPUTED_VALUE"""),40556.645833333336)</f>
        <v>40556.64583</v>
      </c>
      <c r="B2587" s="3">
        <f>IFERROR(__xludf.DUMMYFUNCTION("""COMPUTED_VALUE"""),5850.75)</f>
        <v>5850.75</v>
      </c>
      <c r="C2587" s="3">
        <f>IFERROR(__xludf.DUMMYFUNCTION("""COMPUTED_VALUE"""),5857.75)</f>
        <v>5857.75</v>
      </c>
      <c r="D2587" s="3">
        <f>IFERROR(__xludf.DUMMYFUNCTION("""COMPUTED_VALUE"""),5736.7)</f>
        <v>5736.7</v>
      </c>
      <c r="E2587" s="3">
        <f>IFERROR(__xludf.DUMMYFUNCTION("""COMPUTED_VALUE"""),5751.9)</f>
        <v>5751.9</v>
      </c>
      <c r="F2587" s="3">
        <f>IFERROR(__xludf.DUMMYFUNCTION("""COMPUTED_VALUE"""),0.0)</f>
        <v>0</v>
      </c>
    </row>
    <row r="2588">
      <c r="A2588" s="7">
        <f>IFERROR(__xludf.DUMMYFUNCTION("""COMPUTED_VALUE"""),40557.645833333336)</f>
        <v>40557.64583</v>
      </c>
      <c r="B2588" s="3">
        <f>IFERROR(__xludf.DUMMYFUNCTION("""COMPUTED_VALUE"""),5752.1)</f>
        <v>5752.1</v>
      </c>
      <c r="C2588" s="3">
        <f>IFERROR(__xludf.DUMMYFUNCTION("""COMPUTED_VALUE"""),5833.65)</f>
        <v>5833.65</v>
      </c>
      <c r="D2588" s="3">
        <f>IFERROR(__xludf.DUMMYFUNCTION("""COMPUTED_VALUE"""),5639.65)</f>
        <v>5639.65</v>
      </c>
      <c r="E2588" s="3">
        <f>IFERROR(__xludf.DUMMYFUNCTION("""COMPUTED_VALUE"""),5654.55)</f>
        <v>5654.55</v>
      </c>
      <c r="F2588" s="3">
        <f>IFERROR(__xludf.DUMMYFUNCTION("""COMPUTED_VALUE"""),0.0)</f>
        <v>0</v>
      </c>
    </row>
    <row r="2589">
      <c r="A2589" s="7">
        <f>IFERROR(__xludf.DUMMYFUNCTION("""COMPUTED_VALUE"""),40560.645833333336)</f>
        <v>40560.64583</v>
      </c>
      <c r="B2589" s="3">
        <f>IFERROR(__xludf.DUMMYFUNCTION("""COMPUTED_VALUE"""),5648.8)</f>
        <v>5648.8</v>
      </c>
      <c r="C2589" s="3">
        <f>IFERROR(__xludf.DUMMYFUNCTION("""COMPUTED_VALUE"""),5696.15)</f>
        <v>5696.15</v>
      </c>
      <c r="D2589" s="3">
        <f>IFERROR(__xludf.DUMMYFUNCTION("""COMPUTED_VALUE"""),5624.15)</f>
        <v>5624.15</v>
      </c>
      <c r="E2589" s="3">
        <f>IFERROR(__xludf.DUMMYFUNCTION("""COMPUTED_VALUE"""),5654.75)</f>
        <v>5654.75</v>
      </c>
      <c r="F2589" s="3">
        <f>IFERROR(__xludf.DUMMYFUNCTION("""COMPUTED_VALUE"""),0.0)</f>
        <v>0</v>
      </c>
    </row>
    <row r="2590">
      <c r="A2590" s="7">
        <f>IFERROR(__xludf.DUMMYFUNCTION("""COMPUTED_VALUE"""),40561.645833333336)</f>
        <v>40561.64583</v>
      </c>
      <c r="B2590" s="3">
        <f>IFERROR(__xludf.DUMMYFUNCTION("""COMPUTED_VALUE"""),5682.55)</f>
        <v>5682.55</v>
      </c>
      <c r="C2590" s="3">
        <f>IFERROR(__xludf.DUMMYFUNCTION("""COMPUTED_VALUE"""),5730.5)</f>
        <v>5730.5</v>
      </c>
      <c r="D2590" s="3">
        <f>IFERROR(__xludf.DUMMYFUNCTION("""COMPUTED_VALUE"""),5671.25)</f>
        <v>5671.25</v>
      </c>
      <c r="E2590" s="3">
        <f>IFERROR(__xludf.DUMMYFUNCTION("""COMPUTED_VALUE"""),5724.05)</f>
        <v>5724.05</v>
      </c>
      <c r="F2590" s="3">
        <f>IFERROR(__xludf.DUMMYFUNCTION("""COMPUTED_VALUE"""),0.0)</f>
        <v>0</v>
      </c>
    </row>
    <row r="2591">
      <c r="A2591" s="7">
        <f>IFERROR(__xludf.DUMMYFUNCTION("""COMPUTED_VALUE"""),40562.645833333336)</f>
        <v>40562.64583</v>
      </c>
      <c r="B2591" s="3">
        <f>IFERROR(__xludf.DUMMYFUNCTION("""COMPUTED_VALUE"""),5737.35)</f>
        <v>5737.35</v>
      </c>
      <c r="C2591" s="3">
        <f>IFERROR(__xludf.DUMMYFUNCTION("""COMPUTED_VALUE"""),5747.65)</f>
        <v>5747.65</v>
      </c>
      <c r="D2591" s="3">
        <f>IFERROR(__xludf.DUMMYFUNCTION("""COMPUTED_VALUE"""),5662.55)</f>
        <v>5662.55</v>
      </c>
      <c r="E2591" s="3">
        <f>IFERROR(__xludf.DUMMYFUNCTION("""COMPUTED_VALUE"""),5691.05)</f>
        <v>5691.05</v>
      </c>
      <c r="F2591" s="3">
        <f>IFERROR(__xludf.DUMMYFUNCTION("""COMPUTED_VALUE"""),0.0)</f>
        <v>0</v>
      </c>
    </row>
    <row r="2592">
      <c r="A2592" s="7">
        <f>IFERROR(__xludf.DUMMYFUNCTION("""COMPUTED_VALUE"""),40563.645833333336)</f>
        <v>40563.64583</v>
      </c>
      <c r="B2592" s="3">
        <f>IFERROR(__xludf.DUMMYFUNCTION("""COMPUTED_VALUE"""),5656.0)</f>
        <v>5656</v>
      </c>
      <c r="C2592" s="3">
        <f>IFERROR(__xludf.DUMMYFUNCTION("""COMPUTED_VALUE"""),5729.45)</f>
        <v>5729.45</v>
      </c>
      <c r="D2592" s="3">
        <f>IFERROR(__xludf.DUMMYFUNCTION("""COMPUTED_VALUE"""),5634.5)</f>
        <v>5634.5</v>
      </c>
      <c r="E2592" s="3">
        <f>IFERROR(__xludf.DUMMYFUNCTION("""COMPUTED_VALUE"""),5711.6)</f>
        <v>5711.6</v>
      </c>
      <c r="F2592" s="3">
        <f>IFERROR(__xludf.DUMMYFUNCTION("""COMPUTED_VALUE"""),0.0)</f>
        <v>0</v>
      </c>
    </row>
    <row r="2593">
      <c r="A2593" s="7">
        <f>IFERROR(__xludf.DUMMYFUNCTION("""COMPUTED_VALUE"""),40564.645833333336)</f>
        <v>40564.64583</v>
      </c>
      <c r="B2593" s="3">
        <f>IFERROR(__xludf.DUMMYFUNCTION("""COMPUTED_VALUE"""),5692.05)</f>
        <v>5692.05</v>
      </c>
      <c r="C2593" s="3">
        <f>IFERROR(__xludf.DUMMYFUNCTION("""COMPUTED_VALUE"""),5717.55)</f>
        <v>5717.55</v>
      </c>
      <c r="D2593" s="3">
        <f>IFERROR(__xludf.DUMMYFUNCTION("""COMPUTED_VALUE"""),5674.5)</f>
        <v>5674.5</v>
      </c>
      <c r="E2593" s="3">
        <f>IFERROR(__xludf.DUMMYFUNCTION("""COMPUTED_VALUE"""),5696.5)</f>
        <v>5696.5</v>
      </c>
      <c r="F2593" s="3">
        <f>IFERROR(__xludf.DUMMYFUNCTION("""COMPUTED_VALUE"""),0.0)</f>
        <v>0</v>
      </c>
    </row>
    <row r="2594">
      <c r="A2594" s="7">
        <f>IFERROR(__xludf.DUMMYFUNCTION("""COMPUTED_VALUE"""),40567.645833333336)</f>
        <v>40567.64583</v>
      </c>
      <c r="B2594" s="3">
        <f>IFERROR(__xludf.DUMMYFUNCTION("""COMPUTED_VALUE"""),5717.1)</f>
        <v>5717.1</v>
      </c>
      <c r="C2594" s="3">
        <f>IFERROR(__xludf.DUMMYFUNCTION("""COMPUTED_VALUE"""),5756.0)</f>
        <v>5756</v>
      </c>
      <c r="D2594" s="3">
        <f>IFERROR(__xludf.DUMMYFUNCTION("""COMPUTED_VALUE"""),5697.75)</f>
        <v>5697.75</v>
      </c>
      <c r="E2594" s="3">
        <f>IFERROR(__xludf.DUMMYFUNCTION("""COMPUTED_VALUE"""),5743.25)</f>
        <v>5743.25</v>
      </c>
      <c r="F2594" s="3">
        <f>IFERROR(__xludf.DUMMYFUNCTION("""COMPUTED_VALUE"""),0.0)</f>
        <v>0</v>
      </c>
    </row>
    <row r="2595">
      <c r="A2595" s="7">
        <f>IFERROR(__xludf.DUMMYFUNCTION("""COMPUTED_VALUE"""),40568.645833333336)</f>
        <v>40568.64583</v>
      </c>
      <c r="B2595" s="3">
        <f>IFERROR(__xludf.DUMMYFUNCTION("""COMPUTED_VALUE"""),5763.3)</f>
        <v>5763.3</v>
      </c>
      <c r="C2595" s="3">
        <f>IFERROR(__xludf.DUMMYFUNCTION("""COMPUTED_VALUE"""),5801.55)</f>
        <v>5801.55</v>
      </c>
      <c r="D2595" s="3">
        <f>IFERROR(__xludf.DUMMYFUNCTION("""COMPUTED_VALUE"""),5680.65)</f>
        <v>5680.65</v>
      </c>
      <c r="E2595" s="3">
        <f>IFERROR(__xludf.DUMMYFUNCTION("""COMPUTED_VALUE"""),5687.4)</f>
        <v>5687.4</v>
      </c>
      <c r="F2595" s="3">
        <f>IFERROR(__xludf.DUMMYFUNCTION("""COMPUTED_VALUE"""),0.0)</f>
        <v>0</v>
      </c>
    </row>
    <row r="2596">
      <c r="A2596" s="7">
        <f>IFERROR(__xludf.DUMMYFUNCTION("""COMPUTED_VALUE"""),40570.645833333336)</f>
        <v>40570.64583</v>
      </c>
      <c r="B2596" s="3">
        <f>IFERROR(__xludf.DUMMYFUNCTION("""COMPUTED_VALUE"""),5725.3)</f>
        <v>5725.3</v>
      </c>
      <c r="C2596" s="3">
        <f>IFERROR(__xludf.DUMMYFUNCTION("""COMPUTED_VALUE"""),5726.1)</f>
        <v>5726.1</v>
      </c>
      <c r="D2596" s="3">
        <f>IFERROR(__xludf.DUMMYFUNCTION("""COMPUTED_VALUE"""),5594.95)</f>
        <v>5594.95</v>
      </c>
      <c r="E2596" s="3">
        <f>IFERROR(__xludf.DUMMYFUNCTION("""COMPUTED_VALUE"""),5604.3)</f>
        <v>5604.3</v>
      </c>
      <c r="F2596" s="3">
        <f>IFERROR(__xludf.DUMMYFUNCTION("""COMPUTED_VALUE"""),0.0)</f>
        <v>0</v>
      </c>
    </row>
    <row r="2597">
      <c r="A2597" s="7">
        <f>IFERROR(__xludf.DUMMYFUNCTION("""COMPUTED_VALUE"""),40571.645833333336)</f>
        <v>40571.64583</v>
      </c>
      <c r="B2597" s="3">
        <f>IFERROR(__xludf.DUMMYFUNCTION("""COMPUTED_VALUE"""),5614.0)</f>
        <v>5614</v>
      </c>
      <c r="C2597" s="3">
        <f>IFERROR(__xludf.DUMMYFUNCTION("""COMPUTED_VALUE"""),5614.4)</f>
        <v>5614.4</v>
      </c>
      <c r="D2597" s="3">
        <f>IFERROR(__xludf.DUMMYFUNCTION("""COMPUTED_VALUE"""),5459.55)</f>
        <v>5459.55</v>
      </c>
      <c r="E2597" s="3">
        <f>IFERROR(__xludf.DUMMYFUNCTION("""COMPUTED_VALUE"""),5512.15)</f>
        <v>5512.15</v>
      </c>
      <c r="F2597" s="3">
        <f>IFERROR(__xludf.DUMMYFUNCTION("""COMPUTED_VALUE"""),0.0)</f>
        <v>0</v>
      </c>
    </row>
    <row r="2598">
      <c r="A2598" s="7">
        <f>IFERROR(__xludf.DUMMYFUNCTION("""COMPUTED_VALUE"""),40574.645833333336)</f>
        <v>40574.64583</v>
      </c>
      <c r="B2598" s="3">
        <f>IFERROR(__xludf.DUMMYFUNCTION("""COMPUTED_VALUE"""),5452.55)</f>
        <v>5452.55</v>
      </c>
      <c r="C2598" s="3">
        <f>IFERROR(__xludf.DUMMYFUNCTION("""COMPUTED_VALUE"""),5526.85)</f>
        <v>5526.85</v>
      </c>
      <c r="D2598" s="3">
        <f>IFERROR(__xludf.DUMMYFUNCTION("""COMPUTED_VALUE"""),5416.65)</f>
        <v>5416.65</v>
      </c>
      <c r="E2598" s="3">
        <f>IFERROR(__xludf.DUMMYFUNCTION("""COMPUTED_VALUE"""),5505.9)</f>
        <v>5505.9</v>
      </c>
      <c r="F2598" s="3">
        <f>IFERROR(__xludf.DUMMYFUNCTION("""COMPUTED_VALUE"""),0.0)</f>
        <v>0</v>
      </c>
    </row>
    <row r="2599">
      <c r="A2599" s="7">
        <f>IFERROR(__xludf.DUMMYFUNCTION("""COMPUTED_VALUE"""),40575.645833333336)</f>
        <v>40575.64583</v>
      </c>
      <c r="B2599" s="3">
        <f>IFERROR(__xludf.DUMMYFUNCTION("""COMPUTED_VALUE"""),5537.3)</f>
        <v>5537.3</v>
      </c>
      <c r="C2599" s="3">
        <f>IFERROR(__xludf.DUMMYFUNCTION("""COMPUTED_VALUE"""),5539.15)</f>
        <v>5539.15</v>
      </c>
      <c r="D2599" s="3">
        <f>IFERROR(__xludf.DUMMYFUNCTION("""COMPUTED_VALUE"""),5402.0)</f>
        <v>5402</v>
      </c>
      <c r="E2599" s="3">
        <f>IFERROR(__xludf.DUMMYFUNCTION("""COMPUTED_VALUE"""),5417.2)</f>
        <v>5417.2</v>
      </c>
      <c r="F2599" s="3">
        <f>IFERROR(__xludf.DUMMYFUNCTION("""COMPUTED_VALUE"""),0.0)</f>
        <v>0</v>
      </c>
    </row>
    <row r="2600">
      <c r="A2600" s="7">
        <f>IFERROR(__xludf.DUMMYFUNCTION("""COMPUTED_VALUE"""),40576.645833333336)</f>
        <v>40576.64583</v>
      </c>
      <c r="B2600" s="3">
        <f>IFERROR(__xludf.DUMMYFUNCTION("""COMPUTED_VALUE"""),5469.55)</f>
        <v>5469.55</v>
      </c>
      <c r="C2600" s="3">
        <f>IFERROR(__xludf.DUMMYFUNCTION("""COMPUTED_VALUE"""),5490.6)</f>
        <v>5490.6</v>
      </c>
      <c r="D2600" s="3">
        <f>IFERROR(__xludf.DUMMYFUNCTION("""COMPUTED_VALUE"""),5415.65)</f>
        <v>5415.65</v>
      </c>
      <c r="E2600" s="3">
        <f>IFERROR(__xludf.DUMMYFUNCTION("""COMPUTED_VALUE"""),5432.0)</f>
        <v>5432</v>
      </c>
      <c r="F2600" s="3">
        <f>IFERROR(__xludf.DUMMYFUNCTION("""COMPUTED_VALUE"""),0.0)</f>
        <v>0</v>
      </c>
    </row>
    <row r="2601">
      <c r="A2601" s="7">
        <f>IFERROR(__xludf.DUMMYFUNCTION("""COMPUTED_VALUE"""),40577.645833333336)</f>
        <v>40577.64583</v>
      </c>
      <c r="B2601" s="3">
        <f>IFERROR(__xludf.DUMMYFUNCTION("""COMPUTED_VALUE"""),5430.45)</f>
        <v>5430.45</v>
      </c>
      <c r="C2601" s="3">
        <f>IFERROR(__xludf.DUMMYFUNCTION("""COMPUTED_VALUE"""),5532.65)</f>
        <v>5532.65</v>
      </c>
      <c r="D2601" s="3">
        <f>IFERROR(__xludf.DUMMYFUNCTION("""COMPUTED_VALUE"""),5418.0)</f>
        <v>5418</v>
      </c>
      <c r="E2601" s="3">
        <f>IFERROR(__xludf.DUMMYFUNCTION("""COMPUTED_VALUE"""),5526.75)</f>
        <v>5526.75</v>
      </c>
      <c r="F2601" s="3">
        <f>IFERROR(__xludf.DUMMYFUNCTION("""COMPUTED_VALUE"""),0.0)</f>
        <v>0</v>
      </c>
    </row>
    <row r="2602">
      <c r="A2602" s="7">
        <f>IFERROR(__xludf.DUMMYFUNCTION("""COMPUTED_VALUE"""),40578.645833333336)</f>
        <v>40578.64583</v>
      </c>
      <c r="B2602" s="3">
        <f>IFERROR(__xludf.DUMMYFUNCTION("""COMPUTED_VALUE"""),5519.9)</f>
        <v>5519.9</v>
      </c>
      <c r="C2602" s="3">
        <f>IFERROR(__xludf.DUMMYFUNCTION("""COMPUTED_VALUE"""),5556.3)</f>
        <v>5556.3</v>
      </c>
      <c r="D2602" s="3">
        <f>IFERROR(__xludf.DUMMYFUNCTION("""COMPUTED_VALUE"""),5369.05)</f>
        <v>5369.05</v>
      </c>
      <c r="E2602" s="3">
        <f>IFERROR(__xludf.DUMMYFUNCTION("""COMPUTED_VALUE"""),5395.75)</f>
        <v>5395.75</v>
      </c>
      <c r="F2602" s="3">
        <f>IFERROR(__xludf.DUMMYFUNCTION("""COMPUTED_VALUE"""),0.0)</f>
        <v>0</v>
      </c>
    </row>
    <row r="2603">
      <c r="A2603" s="7">
        <f>IFERROR(__xludf.DUMMYFUNCTION("""COMPUTED_VALUE"""),40581.645833333336)</f>
        <v>40581.64583</v>
      </c>
      <c r="B2603" s="3">
        <f>IFERROR(__xludf.DUMMYFUNCTION("""COMPUTED_VALUE"""),5430.15)</f>
        <v>5430.15</v>
      </c>
      <c r="C2603" s="3">
        <f>IFERROR(__xludf.DUMMYFUNCTION("""COMPUTED_VALUE"""),5440.35)</f>
        <v>5440.35</v>
      </c>
      <c r="D2603" s="3">
        <f>IFERROR(__xludf.DUMMYFUNCTION("""COMPUTED_VALUE"""),5376.95)</f>
        <v>5376.95</v>
      </c>
      <c r="E2603" s="3">
        <f>IFERROR(__xludf.DUMMYFUNCTION("""COMPUTED_VALUE"""),5396.0)</f>
        <v>5396</v>
      </c>
      <c r="F2603" s="3">
        <f>IFERROR(__xludf.DUMMYFUNCTION("""COMPUTED_VALUE"""),0.0)</f>
        <v>0</v>
      </c>
    </row>
    <row r="2604">
      <c r="A2604" s="7">
        <f>IFERROR(__xludf.DUMMYFUNCTION("""COMPUTED_VALUE"""),40582.645833333336)</f>
        <v>40582.64583</v>
      </c>
      <c r="B2604" s="3">
        <f>IFERROR(__xludf.DUMMYFUNCTION("""COMPUTED_VALUE"""),5432.35)</f>
        <v>5432.35</v>
      </c>
      <c r="C2604" s="3">
        <f>IFERROR(__xludf.DUMMYFUNCTION("""COMPUTED_VALUE"""),5432.35)</f>
        <v>5432.35</v>
      </c>
      <c r="D2604" s="3">
        <f>IFERROR(__xludf.DUMMYFUNCTION("""COMPUTED_VALUE"""),5303.4)</f>
        <v>5303.4</v>
      </c>
      <c r="E2604" s="3">
        <f>IFERROR(__xludf.DUMMYFUNCTION("""COMPUTED_VALUE"""),5312.55)</f>
        <v>5312.55</v>
      </c>
      <c r="F2604" s="3">
        <f>IFERROR(__xludf.DUMMYFUNCTION("""COMPUTED_VALUE"""),0.0)</f>
        <v>0</v>
      </c>
    </row>
    <row r="2605">
      <c r="A2605" s="7">
        <f>IFERROR(__xludf.DUMMYFUNCTION("""COMPUTED_VALUE"""),40583.645833333336)</f>
        <v>40583.64583</v>
      </c>
      <c r="B2605" s="3">
        <f>IFERROR(__xludf.DUMMYFUNCTION("""COMPUTED_VALUE"""),5293.05)</f>
        <v>5293.05</v>
      </c>
      <c r="C2605" s="3">
        <f>IFERROR(__xludf.DUMMYFUNCTION("""COMPUTED_VALUE"""),5339.45)</f>
        <v>5339.45</v>
      </c>
      <c r="D2605" s="3">
        <f>IFERROR(__xludf.DUMMYFUNCTION("""COMPUTED_VALUE"""),5225.65)</f>
        <v>5225.65</v>
      </c>
      <c r="E2605" s="3">
        <f>IFERROR(__xludf.DUMMYFUNCTION("""COMPUTED_VALUE"""),5253.55)</f>
        <v>5253.55</v>
      </c>
      <c r="F2605" s="3">
        <f>IFERROR(__xludf.DUMMYFUNCTION("""COMPUTED_VALUE"""),0.0)</f>
        <v>0</v>
      </c>
    </row>
    <row r="2606">
      <c r="A2606" s="7">
        <f>IFERROR(__xludf.DUMMYFUNCTION("""COMPUTED_VALUE"""),40584.645833333336)</f>
        <v>40584.64583</v>
      </c>
      <c r="B2606" s="3">
        <f>IFERROR(__xludf.DUMMYFUNCTION("""COMPUTED_VALUE"""),5246.05)</f>
        <v>5246.05</v>
      </c>
      <c r="C2606" s="3">
        <f>IFERROR(__xludf.DUMMYFUNCTION("""COMPUTED_VALUE"""),5272.6)</f>
        <v>5272.6</v>
      </c>
      <c r="D2606" s="3">
        <f>IFERROR(__xludf.DUMMYFUNCTION("""COMPUTED_VALUE"""),5196.8)</f>
        <v>5196.8</v>
      </c>
      <c r="E2606" s="3">
        <f>IFERROR(__xludf.DUMMYFUNCTION("""COMPUTED_VALUE"""),5225.8)</f>
        <v>5225.8</v>
      </c>
      <c r="F2606" s="3">
        <f>IFERROR(__xludf.DUMMYFUNCTION("""COMPUTED_VALUE"""),0.0)</f>
        <v>0</v>
      </c>
    </row>
    <row r="2607">
      <c r="A2607" s="7">
        <f>IFERROR(__xludf.DUMMYFUNCTION("""COMPUTED_VALUE"""),40585.645833333336)</f>
        <v>40585.64583</v>
      </c>
      <c r="B2607" s="3">
        <f>IFERROR(__xludf.DUMMYFUNCTION("""COMPUTED_VALUE"""),5219.65)</f>
        <v>5219.65</v>
      </c>
      <c r="C2607" s="3">
        <f>IFERROR(__xludf.DUMMYFUNCTION("""COMPUTED_VALUE"""),5319.45)</f>
        <v>5319.45</v>
      </c>
      <c r="D2607" s="3">
        <f>IFERROR(__xludf.DUMMYFUNCTION("""COMPUTED_VALUE"""),5177.7)</f>
        <v>5177.7</v>
      </c>
      <c r="E2607" s="3">
        <f>IFERROR(__xludf.DUMMYFUNCTION("""COMPUTED_VALUE"""),5310.0)</f>
        <v>5310</v>
      </c>
      <c r="F2607" s="3">
        <f>IFERROR(__xludf.DUMMYFUNCTION("""COMPUTED_VALUE"""),0.0)</f>
        <v>0</v>
      </c>
    </row>
    <row r="2608">
      <c r="A2608" s="7">
        <f>IFERROR(__xludf.DUMMYFUNCTION("""COMPUTED_VALUE"""),40588.645833333336)</f>
        <v>40588.64583</v>
      </c>
      <c r="B2608" s="3">
        <f>IFERROR(__xludf.DUMMYFUNCTION("""COMPUTED_VALUE"""),5340.25)</f>
        <v>5340.25</v>
      </c>
      <c r="C2608" s="3">
        <f>IFERROR(__xludf.DUMMYFUNCTION("""COMPUTED_VALUE"""),5463.8)</f>
        <v>5463.8</v>
      </c>
      <c r="D2608" s="3">
        <f>IFERROR(__xludf.DUMMYFUNCTION("""COMPUTED_VALUE"""),5340.25)</f>
        <v>5340.25</v>
      </c>
      <c r="E2608" s="3">
        <f>IFERROR(__xludf.DUMMYFUNCTION("""COMPUTED_VALUE"""),5456.0)</f>
        <v>5456</v>
      </c>
      <c r="F2608" s="3">
        <f>IFERROR(__xludf.DUMMYFUNCTION("""COMPUTED_VALUE"""),0.0)</f>
        <v>0</v>
      </c>
    </row>
    <row r="2609">
      <c r="A2609" s="7">
        <f>IFERROR(__xludf.DUMMYFUNCTION("""COMPUTED_VALUE"""),40589.645833333336)</f>
        <v>40589.64583</v>
      </c>
      <c r="B2609" s="3">
        <f>IFERROR(__xludf.DUMMYFUNCTION("""COMPUTED_VALUE"""),5467.75)</f>
        <v>5467.75</v>
      </c>
      <c r="C2609" s="3">
        <f>IFERROR(__xludf.DUMMYFUNCTION("""COMPUTED_VALUE"""),5506.5)</f>
        <v>5506.5</v>
      </c>
      <c r="D2609" s="3">
        <f>IFERROR(__xludf.DUMMYFUNCTION("""COMPUTED_VALUE"""),5408.35)</f>
        <v>5408.35</v>
      </c>
      <c r="E2609" s="3">
        <f>IFERROR(__xludf.DUMMYFUNCTION("""COMPUTED_VALUE"""),5481.0)</f>
        <v>5481</v>
      </c>
      <c r="F2609" s="3">
        <f>IFERROR(__xludf.DUMMYFUNCTION("""COMPUTED_VALUE"""),0.0)</f>
        <v>0</v>
      </c>
    </row>
    <row r="2610">
      <c r="A2610" s="7">
        <f>IFERROR(__xludf.DUMMYFUNCTION("""COMPUTED_VALUE"""),40590.645833333336)</f>
        <v>40590.64583</v>
      </c>
      <c r="B2610" s="3">
        <f>IFERROR(__xludf.DUMMYFUNCTION("""COMPUTED_VALUE"""),5467.6)</f>
        <v>5467.6</v>
      </c>
      <c r="C2610" s="3">
        <f>IFERROR(__xludf.DUMMYFUNCTION("""COMPUTED_VALUE"""),5504.8)</f>
        <v>5504.8</v>
      </c>
      <c r="D2610" s="3">
        <f>IFERROR(__xludf.DUMMYFUNCTION("""COMPUTED_VALUE"""),5460.35)</f>
        <v>5460.35</v>
      </c>
      <c r="E2610" s="3">
        <f>IFERROR(__xludf.DUMMYFUNCTION("""COMPUTED_VALUE"""),5481.7)</f>
        <v>5481.7</v>
      </c>
      <c r="F2610" s="3">
        <f>IFERROR(__xludf.DUMMYFUNCTION("""COMPUTED_VALUE"""),0.0)</f>
        <v>0</v>
      </c>
    </row>
    <row r="2611">
      <c r="A2611" s="7">
        <f>IFERROR(__xludf.DUMMYFUNCTION("""COMPUTED_VALUE"""),40591.645833333336)</f>
        <v>40591.64583</v>
      </c>
      <c r="B2611" s="3">
        <f>IFERROR(__xludf.DUMMYFUNCTION("""COMPUTED_VALUE"""),5501.7)</f>
        <v>5501.7</v>
      </c>
      <c r="C2611" s="3">
        <f>IFERROR(__xludf.DUMMYFUNCTION("""COMPUTED_VALUE"""),5553.0)</f>
        <v>5553</v>
      </c>
      <c r="D2611" s="3">
        <f>IFERROR(__xludf.DUMMYFUNCTION("""COMPUTED_VALUE"""),5463.4)</f>
        <v>5463.4</v>
      </c>
      <c r="E2611" s="3">
        <f>IFERROR(__xludf.DUMMYFUNCTION("""COMPUTED_VALUE"""),5546.45)</f>
        <v>5546.45</v>
      </c>
      <c r="F2611" s="3">
        <f>IFERROR(__xludf.DUMMYFUNCTION("""COMPUTED_VALUE"""),0.0)</f>
        <v>0</v>
      </c>
    </row>
    <row r="2612">
      <c r="A2612" s="7">
        <f>IFERROR(__xludf.DUMMYFUNCTION("""COMPUTED_VALUE"""),40592.645833333336)</f>
        <v>40592.64583</v>
      </c>
      <c r="B2612" s="3">
        <f>IFERROR(__xludf.DUMMYFUNCTION("""COMPUTED_VALUE"""),5557.55)</f>
        <v>5557.55</v>
      </c>
      <c r="C2612" s="3">
        <f>IFERROR(__xludf.DUMMYFUNCTION("""COMPUTED_VALUE"""),5599.25)</f>
        <v>5599.25</v>
      </c>
      <c r="D2612" s="3">
        <f>IFERROR(__xludf.DUMMYFUNCTION("""COMPUTED_VALUE"""),5441.95)</f>
        <v>5441.95</v>
      </c>
      <c r="E2612" s="3">
        <f>IFERROR(__xludf.DUMMYFUNCTION("""COMPUTED_VALUE"""),5458.95)</f>
        <v>5458.95</v>
      </c>
      <c r="F2612" s="3">
        <f>IFERROR(__xludf.DUMMYFUNCTION("""COMPUTED_VALUE"""),0.0)</f>
        <v>0</v>
      </c>
    </row>
    <row r="2613">
      <c r="A2613" s="7">
        <f>IFERROR(__xludf.DUMMYFUNCTION("""COMPUTED_VALUE"""),40595.645833333336)</f>
        <v>40595.64583</v>
      </c>
      <c r="B2613" s="3">
        <f>IFERROR(__xludf.DUMMYFUNCTION("""COMPUTED_VALUE"""),5456.6)</f>
        <v>5456.6</v>
      </c>
      <c r="C2613" s="3">
        <f>IFERROR(__xludf.DUMMYFUNCTION("""COMPUTED_VALUE"""),5526.25)</f>
        <v>5526.25</v>
      </c>
      <c r="D2613" s="3">
        <f>IFERROR(__xludf.DUMMYFUNCTION("""COMPUTED_VALUE"""),5413.1)</f>
        <v>5413.1</v>
      </c>
      <c r="E2613" s="3">
        <f>IFERROR(__xludf.DUMMYFUNCTION("""COMPUTED_VALUE"""),5518.6)</f>
        <v>5518.6</v>
      </c>
      <c r="F2613" s="3">
        <f>IFERROR(__xludf.DUMMYFUNCTION("""COMPUTED_VALUE"""),0.0)</f>
        <v>0</v>
      </c>
    </row>
    <row r="2614">
      <c r="A2614" s="7">
        <f>IFERROR(__xludf.DUMMYFUNCTION("""COMPUTED_VALUE"""),40596.645833333336)</f>
        <v>40596.64583</v>
      </c>
      <c r="B2614" s="3">
        <f>IFERROR(__xludf.DUMMYFUNCTION("""COMPUTED_VALUE"""),5504.4)</f>
        <v>5504.4</v>
      </c>
      <c r="C2614" s="3">
        <f>IFERROR(__xludf.DUMMYFUNCTION("""COMPUTED_VALUE"""),5519.45)</f>
        <v>5519.45</v>
      </c>
      <c r="D2614" s="3">
        <f>IFERROR(__xludf.DUMMYFUNCTION("""COMPUTED_VALUE"""),5437.3)</f>
        <v>5437.3</v>
      </c>
      <c r="E2614" s="3">
        <f>IFERROR(__xludf.DUMMYFUNCTION("""COMPUTED_VALUE"""),5469.2)</f>
        <v>5469.2</v>
      </c>
      <c r="F2614" s="3">
        <f>IFERROR(__xludf.DUMMYFUNCTION("""COMPUTED_VALUE"""),0.0)</f>
        <v>0</v>
      </c>
    </row>
    <row r="2615">
      <c r="A2615" s="7">
        <f>IFERROR(__xludf.DUMMYFUNCTION("""COMPUTED_VALUE"""),40597.645833333336)</f>
        <v>40597.64583</v>
      </c>
      <c r="B2615" s="3">
        <f>IFERROR(__xludf.DUMMYFUNCTION("""COMPUTED_VALUE"""),5452.45)</f>
        <v>5452.45</v>
      </c>
      <c r="C2615" s="3">
        <f>IFERROR(__xludf.DUMMYFUNCTION("""COMPUTED_VALUE"""),5495.2)</f>
        <v>5495.2</v>
      </c>
      <c r="D2615" s="3">
        <f>IFERROR(__xludf.DUMMYFUNCTION("""COMPUTED_VALUE"""),5427.55)</f>
        <v>5427.55</v>
      </c>
      <c r="E2615" s="3">
        <f>IFERROR(__xludf.DUMMYFUNCTION("""COMPUTED_VALUE"""),5437.35)</f>
        <v>5437.35</v>
      </c>
      <c r="F2615" s="3">
        <f>IFERROR(__xludf.DUMMYFUNCTION("""COMPUTED_VALUE"""),0.0)</f>
        <v>0</v>
      </c>
    </row>
    <row r="2616">
      <c r="A2616" s="7">
        <f>IFERROR(__xludf.DUMMYFUNCTION("""COMPUTED_VALUE"""),40598.645833333336)</f>
        <v>40598.64583</v>
      </c>
      <c r="B2616" s="3">
        <f>IFERROR(__xludf.DUMMYFUNCTION("""COMPUTED_VALUE"""),5408.75)</f>
        <v>5408.75</v>
      </c>
      <c r="C2616" s="3">
        <f>IFERROR(__xludf.DUMMYFUNCTION("""COMPUTED_VALUE"""),5423.4)</f>
        <v>5423.4</v>
      </c>
      <c r="D2616" s="3">
        <f>IFERROR(__xludf.DUMMYFUNCTION("""COMPUTED_VALUE"""),5242.5)</f>
        <v>5242.5</v>
      </c>
      <c r="E2616" s="3">
        <f>IFERROR(__xludf.DUMMYFUNCTION("""COMPUTED_VALUE"""),5262.7)</f>
        <v>5262.7</v>
      </c>
      <c r="F2616" s="3">
        <f>IFERROR(__xludf.DUMMYFUNCTION("""COMPUTED_VALUE"""),0.0)</f>
        <v>0</v>
      </c>
    </row>
    <row r="2617">
      <c r="A2617" s="7">
        <f>IFERROR(__xludf.DUMMYFUNCTION("""COMPUTED_VALUE"""),40599.645833333336)</f>
        <v>40599.64583</v>
      </c>
      <c r="B2617" s="3">
        <f>IFERROR(__xludf.DUMMYFUNCTION("""COMPUTED_VALUE"""),5321.05)</f>
        <v>5321.05</v>
      </c>
      <c r="C2617" s="3">
        <f>IFERROR(__xludf.DUMMYFUNCTION("""COMPUTED_VALUE"""),5338.2)</f>
        <v>5338.2</v>
      </c>
      <c r="D2617" s="3">
        <f>IFERROR(__xludf.DUMMYFUNCTION("""COMPUTED_VALUE"""),5232.75)</f>
        <v>5232.75</v>
      </c>
      <c r="E2617" s="3">
        <f>IFERROR(__xludf.DUMMYFUNCTION("""COMPUTED_VALUE"""),5303.55)</f>
        <v>5303.55</v>
      </c>
      <c r="F2617" s="3">
        <f>IFERROR(__xludf.DUMMYFUNCTION("""COMPUTED_VALUE"""),0.0)</f>
        <v>0</v>
      </c>
    </row>
    <row r="2618">
      <c r="A2618" s="7">
        <f>IFERROR(__xludf.DUMMYFUNCTION("""COMPUTED_VALUE"""),40602.645833333336)</f>
        <v>40602.64583</v>
      </c>
      <c r="B2618" s="3">
        <f>IFERROR(__xludf.DUMMYFUNCTION("""COMPUTED_VALUE"""),5330.15)</f>
        <v>5330.15</v>
      </c>
      <c r="C2618" s="3">
        <f>IFERROR(__xludf.DUMMYFUNCTION("""COMPUTED_VALUE"""),5477.0)</f>
        <v>5477</v>
      </c>
      <c r="D2618" s="3">
        <f>IFERROR(__xludf.DUMMYFUNCTION("""COMPUTED_VALUE"""),5308.6)</f>
        <v>5308.6</v>
      </c>
      <c r="E2618" s="3">
        <f>IFERROR(__xludf.DUMMYFUNCTION("""COMPUTED_VALUE"""),5333.25)</f>
        <v>5333.25</v>
      </c>
      <c r="F2618" s="3">
        <f>IFERROR(__xludf.DUMMYFUNCTION("""COMPUTED_VALUE"""),0.0)</f>
        <v>0</v>
      </c>
    </row>
    <row r="2619">
      <c r="A2619" s="7">
        <f>IFERROR(__xludf.DUMMYFUNCTION("""COMPUTED_VALUE"""),40603.645833333336)</f>
        <v>40603.64583</v>
      </c>
      <c r="B2619" s="3">
        <f>IFERROR(__xludf.DUMMYFUNCTION("""COMPUTED_VALUE"""),5382.0)</f>
        <v>5382</v>
      </c>
      <c r="C2619" s="3">
        <f>IFERROR(__xludf.DUMMYFUNCTION("""COMPUTED_VALUE"""),5533.05)</f>
        <v>5533.05</v>
      </c>
      <c r="D2619" s="3">
        <f>IFERROR(__xludf.DUMMYFUNCTION("""COMPUTED_VALUE"""),5373.55)</f>
        <v>5373.55</v>
      </c>
      <c r="E2619" s="3">
        <f>IFERROR(__xludf.DUMMYFUNCTION("""COMPUTED_VALUE"""),5522.3)</f>
        <v>5522.3</v>
      </c>
      <c r="F2619" s="3">
        <f>IFERROR(__xludf.DUMMYFUNCTION("""COMPUTED_VALUE"""),0.0)</f>
        <v>0</v>
      </c>
    </row>
    <row r="2620">
      <c r="A2620" s="7">
        <f>IFERROR(__xludf.DUMMYFUNCTION("""COMPUTED_VALUE"""),40605.645833333336)</f>
        <v>40605.64583</v>
      </c>
      <c r="B2620" s="3">
        <f>IFERROR(__xludf.DUMMYFUNCTION("""COMPUTED_VALUE"""),5478.45)</f>
        <v>5478.45</v>
      </c>
      <c r="C2620" s="3">
        <f>IFERROR(__xludf.DUMMYFUNCTION("""COMPUTED_VALUE"""),5570.75)</f>
        <v>5570.75</v>
      </c>
      <c r="D2620" s="3">
        <f>IFERROR(__xludf.DUMMYFUNCTION("""COMPUTED_VALUE"""),5468.25)</f>
        <v>5468.25</v>
      </c>
      <c r="E2620" s="3">
        <f>IFERROR(__xludf.DUMMYFUNCTION("""COMPUTED_VALUE"""),5536.2)</f>
        <v>5536.2</v>
      </c>
      <c r="F2620" s="3">
        <f>IFERROR(__xludf.DUMMYFUNCTION("""COMPUTED_VALUE"""),0.0)</f>
        <v>0</v>
      </c>
    </row>
    <row r="2621">
      <c r="A2621" s="7">
        <f>IFERROR(__xludf.DUMMYFUNCTION("""COMPUTED_VALUE"""),40606.645833333336)</f>
        <v>40606.64583</v>
      </c>
      <c r="B2621" s="3">
        <f>IFERROR(__xludf.DUMMYFUNCTION("""COMPUTED_VALUE"""),5586.2)</f>
        <v>5586.2</v>
      </c>
      <c r="C2621" s="3">
        <f>IFERROR(__xludf.DUMMYFUNCTION("""COMPUTED_VALUE"""),5608.2)</f>
        <v>5608.2</v>
      </c>
      <c r="D2621" s="3">
        <f>IFERROR(__xludf.DUMMYFUNCTION("""COMPUTED_VALUE"""),5524.1)</f>
        <v>5524.1</v>
      </c>
      <c r="E2621" s="3">
        <f>IFERROR(__xludf.DUMMYFUNCTION("""COMPUTED_VALUE"""),5538.75)</f>
        <v>5538.75</v>
      </c>
      <c r="F2621" s="3">
        <f>IFERROR(__xludf.DUMMYFUNCTION("""COMPUTED_VALUE"""),0.0)</f>
        <v>0</v>
      </c>
    </row>
    <row r="2622">
      <c r="A2622" s="7">
        <f>IFERROR(__xludf.DUMMYFUNCTION("""COMPUTED_VALUE"""),40609.645833333336)</f>
        <v>40609.64583</v>
      </c>
      <c r="B2622" s="3">
        <f>IFERROR(__xludf.DUMMYFUNCTION("""COMPUTED_VALUE"""),5490.05)</f>
        <v>5490.05</v>
      </c>
      <c r="C2622" s="3">
        <f>IFERROR(__xludf.DUMMYFUNCTION("""COMPUTED_VALUE"""),5491.25)</f>
        <v>5491.25</v>
      </c>
      <c r="D2622" s="3">
        <f>IFERROR(__xludf.DUMMYFUNCTION("""COMPUTED_VALUE"""),5408.45)</f>
        <v>5408.45</v>
      </c>
      <c r="E2622" s="3">
        <f>IFERROR(__xludf.DUMMYFUNCTION("""COMPUTED_VALUE"""),5463.15)</f>
        <v>5463.15</v>
      </c>
      <c r="F2622" s="3">
        <f>IFERROR(__xludf.DUMMYFUNCTION("""COMPUTED_VALUE"""),0.0)</f>
        <v>0</v>
      </c>
    </row>
    <row r="2623">
      <c r="A2623" s="7">
        <f>IFERROR(__xludf.DUMMYFUNCTION("""COMPUTED_VALUE"""),40610.645833333336)</f>
        <v>40610.64583</v>
      </c>
      <c r="B2623" s="3">
        <f>IFERROR(__xludf.DUMMYFUNCTION("""COMPUTED_VALUE"""),5466.1)</f>
        <v>5466.1</v>
      </c>
      <c r="C2623" s="3">
        <f>IFERROR(__xludf.DUMMYFUNCTION("""COMPUTED_VALUE"""),5530.55)</f>
        <v>5530.55</v>
      </c>
      <c r="D2623" s="3">
        <f>IFERROR(__xludf.DUMMYFUNCTION("""COMPUTED_VALUE"""),5464.75)</f>
        <v>5464.75</v>
      </c>
      <c r="E2623" s="3">
        <f>IFERROR(__xludf.DUMMYFUNCTION("""COMPUTED_VALUE"""),5520.8)</f>
        <v>5520.8</v>
      </c>
      <c r="F2623" s="3">
        <f>IFERROR(__xludf.DUMMYFUNCTION("""COMPUTED_VALUE"""),0.0)</f>
        <v>0</v>
      </c>
    </row>
    <row r="2624">
      <c r="A2624" s="7">
        <f>IFERROR(__xludf.DUMMYFUNCTION("""COMPUTED_VALUE"""),40611.645833333336)</f>
        <v>40611.64583</v>
      </c>
      <c r="B2624" s="3">
        <f>IFERROR(__xludf.DUMMYFUNCTION("""COMPUTED_VALUE"""),5542.4)</f>
        <v>5542.4</v>
      </c>
      <c r="C2624" s="3">
        <f>IFERROR(__xludf.DUMMYFUNCTION("""COMPUTED_VALUE"""),5563.3)</f>
        <v>5563.3</v>
      </c>
      <c r="D2624" s="3">
        <f>IFERROR(__xludf.DUMMYFUNCTION("""COMPUTED_VALUE"""),5477.45)</f>
        <v>5477.45</v>
      </c>
      <c r="E2624" s="3">
        <f>IFERROR(__xludf.DUMMYFUNCTION("""COMPUTED_VALUE"""),5531.0)</f>
        <v>5531</v>
      </c>
      <c r="F2624" s="3">
        <f>IFERROR(__xludf.DUMMYFUNCTION("""COMPUTED_VALUE"""),0.0)</f>
        <v>0</v>
      </c>
    </row>
    <row r="2625">
      <c r="A2625" s="7">
        <f>IFERROR(__xludf.DUMMYFUNCTION("""COMPUTED_VALUE"""),40612.645833333336)</f>
        <v>40612.64583</v>
      </c>
      <c r="B2625" s="3">
        <f>IFERROR(__xludf.DUMMYFUNCTION("""COMPUTED_VALUE"""),5516.1)</f>
        <v>5516.1</v>
      </c>
      <c r="C2625" s="3">
        <f>IFERROR(__xludf.DUMMYFUNCTION("""COMPUTED_VALUE"""),5516.3)</f>
        <v>5516.3</v>
      </c>
      <c r="D2625" s="3">
        <f>IFERROR(__xludf.DUMMYFUNCTION("""COMPUTED_VALUE"""),5468.45)</f>
        <v>5468.45</v>
      </c>
      <c r="E2625" s="3">
        <f>IFERROR(__xludf.DUMMYFUNCTION("""COMPUTED_VALUE"""),5494.4)</f>
        <v>5494.4</v>
      </c>
      <c r="F2625" s="3">
        <f>IFERROR(__xludf.DUMMYFUNCTION("""COMPUTED_VALUE"""),0.0)</f>
        <v>0</v>
      </c>
    </row>
    <row r="2626">
      <c r="A2626" s="7">
        <f>IFERROR(__xludf.DUMMYFUNCTION("""COMPUTED_VALUE"""),40613.645833333336)</f>
        <v>40613.64583</v>
      </c>
      <c r="B2626" s="3">
        <f>IFERROR(__xludf.DUMMYFUNCTION("""COMPUTED_VALUE"""),5456.15)</f>
        <v>5456.15</v>
      </c>
      <c r="C2626" s="3">
        <f>IFERROR(__xludf.DUMMYFUNCTION("""COMPUTED_VALUE"""),5502.7)</f>
        <v>5502.7</v>
      </c>
      <c r="D2626" s="3">
        <f>IFERROR(__xludf.DUMMYFUNCTION("""COMPUTED_VALUE"""),5411.55)</f>
        <v>5411.55</v>
      </c>
      <c r="E2626" s="3">
        <f>IFERROR(__xludf.DUMMYFUNCTION("""COMPUTED_VALUE"""),5445.45)</f>
        <v>5445.45</v>
      </c>
      <c r="F2626" s="3">
        <f>IFERROR(__xludf.DUMMYFUNCTION("""COMPUTED_VALUE"""),0.0)</f>
        <v>0</v>
      </c>
    </row>
    <row r="2627">
      <c r="A2627" s="7">
        <f>IFERROR(__xludf.DUMMYFUNCTION("""COMPUTED_VALUE"""),40616.645833333336)</f>
        <v>40616.64583</v>
      </c>
      <c r="B2627" s="3">
        <f>IFERROR(__xludf.DUMMYFUNCTION("""COMPUTED_VALUE"""),5436.5)</f>
        <v>5436.5</v>
      </c>
      <c r="C2627" s="3">
        <f>IFERROR(__xludf.DUMMYFUNCTION("""COMPUTED_VALUE"""),5537.3)</f>
        <v>5537.3</v>
      </c>
      <c r="D2627" s="3">
        <f>IFERROR(__xludf.DUMMYFUNCTION("""COMPUTED_VALUE"""),5434.25)</f>
        <v>5434.25</v>
      </c>
      <c r="E2627" s="3">
        <f>IFERROR(__xludf.DUMMYFUNCTION("""COMPUTED_VALUE"""),5531.5)</f>
        <v>5531.5</v>
      </c>
      <c r="F2627" s="3">
        <f>IFERROR(__xludf.DUMMYFUNCTION("""COMPUTED_VALUE"""),0.0)</f>
        <v>0</v>
      </c>
    </row>
    <row r="2628">
      <c r="A2628" s="7">
        <f>IFERROR(__xludf.DUMMYFUNCTION("""COMPUTED_VALUE"""),40617.645833333336)</f>
        <v>40617.64583</v>
      </c>
      <c r="B2628" s="3">
        <f>IFERROR(__xludf.DUMMYFUNCTION("""COMPUTED_VALUE"""),5420.0)</f>
        <v>5420</v>
      </c>
      <c r="C2628" s="3">
        <f>IFERROR(__xludf.DUMMYFUNCTION("""COMPUTED_VALUE"""),5497.85)</f>
        <v>5497.85</v>
      </c>
      <c r="D2628" s="3">
        <f>IFERROR(__xludf.DUMMYFUNCTION("""COMPUTED_VALUE"""),5373.65)</f>
        <v>5373.65</v>
      </c>
      <c r="E2628" s="3">
        <f>IFERROR(__xludf.DUMMYFUNCTION("""COMPUTED_VALUE"""),5449.65)</f>
        <v>5449.65</v>
      </c>
      <c r="F2628" s="3">
        <f>IFERROR(__xludf.DUMMYFUNCTION("""COMPUTED_VALUE"""),0.0)</f>
        <v>0</v>
      </c>
    </row>
    <row r="2629">
      <c r="A2629" s="7">
        <f>IFERROR(__xludf.DUMMYFUNCTION("""COMPUTED_VALUE"""),40618.645833333336)</f>
        <v>40618.64583</v>
      </c>
      <c r="B2629" s="3">
        <f>IFERROR(__xludf.DUMMYFUNCTION("""COMPUTED_VALUE"""),5475.95)</f>
        <v>5475.95</v>
      </c>
      <c r="C2629" s="3">
        <f>IFERROR(__xludf.DUMMYFUNCTION("""COMPUTED_VALUE"""),5535.1)</f>
        <v>5535.1</v>
      </c>
      <c r="D2629" s="3">
        <f>IFERROR(__xludf.DUMMYFUNCTION("""COMPUTED_VALUE"""),5475.95)</f>
        <v>5475.95</v>
      </c>
      <c r="E2629" s="3">
        <f>IFERROR(__xludf.DUMMYFUNCTION("""COMPUTED_VALUE"""),5511.15)</f>
        <v>5511.15</v>
      </c>
      <c r="F2629" s="3">
        <f>IFERROR(__xludf.DUMMYFUNCTION("""COMPUTED_VALUE"""),0.0)</f>
        <v>0</v>
      </c>
    </row>
    <row r="2630">
      <c r="A2630" s="7">
        <f>IFERROR(__xludf.DUMMYFUNCTION("""COMPUTED_VALUE"""),40619.645833333336)</f>
        <v>40619.64583</v>
      </c>
      <c r="B2630" s="3">
        <f>IFERROR(__xludf.DUMMYFUNCTION("""COMPUTED_VALUE"""),5455.4)</f>
        <v>5455.4</v>
      </c>
      <c r="C2630" s="3">
        <f>IFERROR(__xludf.DUMMYFUNCTION("""COMPUTED_VALUE"""),5510.05)</f>
        <v>5510.05</v>
      </c>
      <c r="D2630" s="3">
        <f>IFERROR(__xludf.DUMMYFUNCTION("""COMPUTED_VALUE"""),5435.3)</f>
        <v>5435.3</v>
      </c>
      <c r="E2630" s="3">
        <f>IFERROR(__xludf.DUMMYFUNCTION("""COMPUTED_VALUE"""),5446.65)</f>
        <v>5446.65</v>
      </c>
      <c r="F2630" s="3">
        <f>IFERROR(__xludf.DUMMYFUNCTION("""COMPUTED_VALUE"""),0.0)</f>
        <v>0</v>
      </c>
    </row>
    <row r="2631">
      <c r="A2631" s="7">
        <f>IFERROR(__xludf.DUMMYFUNCTION("""COMPUTED_VALUE"""),40620.645833333336)</f>
        <v>40620.64583</v>
      </c>
      <c r="B2631" s="3">
        <f>IFERROR(__xludf.DUMMYFUNCTION("""COMPUTED_VALUE"""),5475.35)</f>
        <v>5475.35</v>
      </c>
      <c r="C2631" s="3">
        <f>IFERROR(__xludf.DUMMYFUNCTION("""COMPUTED_VALUE"""),5483.05)</f>
        <v>5483.05</v>
      </c>
      <c r="D2631" s="3">
        <f>IFERROR(__xludf.DUMMYFUNCTION("""COMPUTED_VALUE"""),5366.4)</f>
        <v>5366.4</v>
      </c>
      <c r="E2631" s="3">
        <f>IFERROR(__xludf.DUMMYFUNCTION("""COMPUTED_VALUE"""),5373.7)</f>
        <v>5373.7</v>
      </c>
      <c r="F2631" s="3">
        <f>IFERROR(__xludf.DUMMYFUNCTION("""COMPUTED_VALUE"""),0.0)</f>
        <v>0</v>
      </c>
    </row>
    <row r="2632">
      <c r="A2632" s="7">
        <f>IFERROR(__xludf.DUMMYFUNCTION("""COMPUTED_VALUE"""),40623.645833333336)</f>
        <v>40623.64583</v>
      </c>
      <c r="B2632" s="3">
        <f>IFERROR(__xludf.DUMMYFUNCTION("""COMPUTED_VALUE"""),5408.75)</f>
        <v>5408.75</v>
      </c>
      <c r="C2632" s="3">
        <f>IFERROR(__xludf.DUMMYFUNCTION("""COMPUTED_VALUE"""),5413.3)</f>
        <v>5413.3</v>
      </c>
      <c r="D2632" s="3">
        <f>IFERROR(__xludf.DUMMYFUNCTION("""COMPUTED_VALUE"""),5348.2)</f>
        <v>5348.2</v>
      </c>
      <c r="E2632" s="3">
        <f>IFERROR(__xludf.DUMMYFUNCTION("""COMPUTED_VALUE"""),5364.75)</f>
        <v>5364.75</v>
      </c>
      <c r="F2632" s="3">
        <f>IFERROR(__xludf.DUMMYFUNCTION("""COMPUTED_VALUE"""),0.0)</f>
        <v>0</v>
      </c>
    </row>
    <row r="2633">
      <c r="A2633" s="7">
        <f>IFERROR(__xludf.DUMMYFUNCTION("""COMPUTED_VALUE"""),40624.645833333336)</f>
        <v>40624.64583</v>
      </c>
      <c r="B2633" s="3">
        <f>IFERROR(__xludf.DUMMYFUNCTION("""COMPUTED_VALUE"""),5390.85)</f>
        <v>5390.85</v>
      </c>
      <c r="C2633" s="3">
        <f>IFERROR(__xludf.DUMMYFUNCTION("""COMPUTED_VALUE"""),5428.15)</f>
        <v>5428.15</v>
      </c>
      <c r="D2633" s="3">
        <f>IFERROR(__xludf.DUMMYFUNCTION("""COMPUTED_VALUE"""),5376.15)</f>
        <v>5376.15</v>
      </c>
      <c r="E2633" s="3">
        <f>IFERROR(__xludf.DUMMYFUNCTION("""COMPUTED_VALUE"""),5413.85)</f>
        <v>5413.85</v>
      </c>
      <c r="F2633" s="3">
        <f>IFERROR(__xludf.DUMMYFUNCTION("""COMPUTED_VALUE"""),0.0)</f>
        <v>0</v>
      </c>
    </row>
    <row r="2634">
      <c r="A2634" s="7">
        <f>IFERROR(__xludf.DUMMYFUNCTION("""COMPUTED_VALUE"""),40625.645833333336)</f>
        <v>40625.64583</v>
      </c>
      <c r="B2634" s="3">
        <f>IFERROR(__xludf.DUMMYFUNCTION("""COMPUTED_VALUE"""),5411.4)</f>
        <v>5411.4</v>
      </c>
      <c r="C2634" s="3">
        <f>IFERROR(__xludf.DUMMYFUNCTION("""COMPUTED_VALUE"""),5484.95)</f>
        <v>5484.95</v>
      </c>
      <c r="D2634" s="3">
        <f>IFERROR(__xludf.DUMMYFUNCTION("""COMPUTED_VALUE"""),5401.95)</f>
        <v>5401.95</v>
      </c>
      <c r="E2634" s="3">
        <f>IFERROR(__xludf.DUMMYFUNCTION("""COMPUTED_VALUE"""),5480.25)</f>
        <v>5480.25</v>
      </c>
      <c r="F2634" s="3">
        <f>IFERROR(__xludf.DUMMYFUNCTION("""COMPUTED_VALUE"""),0.0)</f>
        <v>0</v>
      </c>
    </row>
    <row r="2635">
      <c r="A2635" s="7">
        <f>IFERROR(__xludf.DUMMYFUNCTION("""COMPUTED_VALUE"""),40626.645833333336)</f>
        <v>40626.64583</v>
      </c>
      <c r="B2635" s="3">
        <f>IFERROR(__xludf.DUMMYFUNCTION("""COMPUTED_VALUE"""),5501.8)</f>
        <v>5501.8</v>
      </c>
      <c r="C2635" s="3">
        <f>IFERROR(__xludf.DUMMYFUNCTION("""COMPUTED_VALUE"""),5529.0)</f>
        <v>5529</v>
      </c>
      <c r="D2635" s="3">
        <f>IFERROR(__xludf.DUMMYFUNCTION("""COMPUTED_VALUE"""),5496.1)</f>
        <v>5496.1</v>
      </c>
      <c r="E2635" s="3">
        <f>IFERROR(__xludf.DUMMYFUNCTION("""COMPUTED_VALUE"""),5522.4)</f>
        <v>5522.4</v>
      </c>
      <c r="F2635" s="3">
        <f>IFERROR(__xludf.DUMMYFUNCTION("""COMPUTED_VALUE"""),0.0)</f>
        <v>0</v>
      </c>
    </row>
    <row r="2636">
      <c r="A2636" s="7">
        <f>IFERROR(__xludf.DUMMYFUNCTION("""COMPUTED_VALUE"""),40627.645833333336)</f>
        <v>40627.64583</v>
      </c>
      <c r="B2636" s="3">
        <f>IFERROR(__xludf.DUMMYFUNCTION("""COMPUTED_VALUE"""),5588.65)</f>
        <v>5588.65</v>
      </c>
      <c r="C2636" s="3">
        <f>IFERROR(__xludf.DUMMYFUNCTION("""COMPUTED_VALUE"""),5667.1)</f>
        <v>5667.1</v>
      </c>
      <c r="D2636" s="3">
        <f>IFERROR(__xludf.DUMMYFUNCTION("""COMPUTED_VALUE"""),5560.95)</f>
        <v>5560.95</v>
      </c>
      <c r="E2636" s="3">
        <f>IFERROR(__xludf.DUMMYFUNCTION("""COMPUTED_VALUE"""),5654.25)</f>
        <v>5654.25</v>
      </c>
      <c r="F2636" s="3">
        <f>IFERROR(__xludf.DUMMYFUNCTION("""COMPUTED_VALUE"""),0.0)</f>
        <v>0</v>
      </c>
    </row>
    <row r="2637">
      <c r="A2637" s="7">
        <f>IFERROR(__xludf.DUMMYFUNCTION("""COMPUTED_VALUE"""),40630.645833333336)</f>
        <v>40630.64583</v>
      </c>
      <c r="B2637" s="3">
        <f>IFERROR(__xludf.DUMMYFUNCTION("""COMPUTED_VALUE"""),5645.25)</f>
        <v>5645.25</v>
      </c>
      <c r="C2637" s="3">
        <f>IFERROR(__xludf.DUMMYFUNCTION("""COMPUTED_VALUE"""),5709.1)</f>
        <v>5709.1</v>
      </c>
      <c r="D2637" s="3">
        <f>IFERROR(__xludf.DUMMYFUNCTION("""COMPUTED_VALUE"""),5643.2)</f>
        <v>5643.2</v>
      </c>
      <c r="E2637" s="3">
        <f>IFERROR(__xludf.DUMMYFUNCTION("""COMPUTED_VALUE"""),5687.25)</f>
        <v>5687.25</v>
      </c>
      <c r="F2637" s="3">
        <f>IFERROR(__xludf.DUMMYFUNCTION("""COMPUTED_VALUE"""),0.0)</f>
        <v>0</v>
      </c>
    </row>
    <row r="2638">
      <c r="A2638" s="7">
        <f>IFERROR(__xludf.DUMMYFUNCTION("""COMPUTED_VALUE"""),40631.645833333336)</f>
        <v>40631.64583</v>
      </c>
      <c r="B2638" s="3">
        <f>IFERROR(__xludf.DUMMYFUNCTION("""COMPUTED_VALUE"""),5686.5)</f>
        <v>5686.5</v>
      </c>
      <c r="C2638" s="3">
        <f>IFERROR(__xludf.DUMMYFUNCTION("""COMPUTED_VALUE"""),5770.35)</f>
        <v>5770.35</v>
      </c>
      <c r="D2638" s="3">
        <f>IFERROR(__xludf.DUMMYFUNCTION("""COMPUTED_VALUE"""),5680.7)</f>
        <v>5680.7</v>
      </c>
      <c r="E2638" s="3">
        <f>IFERROR(__xludf.DUMMYFUNCTION("""COMPUTED_VALUE"""),5736.35)</f>
        <v>5736.35</v>
      </c>
      <c r="F2638" s="3">
        <f>IFERROR(__xludf.DUMMYFUNCTION("""COMPUTED_VALUE"""),0.0)</f>
        <v>0</v>
      </c>
    </row>
    <row r="2639">
      <c r="A2639" s="7">
        <f>IFERROR(__xludf.DUMMYFUNCTION("""COMPUTED_VALUE"""),40632.645833333336)</f>
        <v>40632.64583</v>
      </c>
      <c r="B2639" s="3">
        <f>IFERROR(__xludf.DUMMYFUNCTION("""COMPUTED_VALUE"""),5755.8)</f>
        <v>5755.8</v>
      </c>
      <c r="C2639" s="3">
        <f>IFERROR(__xludf.DUMMYFUNCTION("""COMPUTED_VALUE"""),5803.15)</f>
        <v>5803.15</v>
      </c>
      <c r="D2639" s="3">
        <f>IFERROR(__xludf.DUMMYFUNCTION("""COMPUTED_VALUE"""),5753.9)</f>
        <v>5753.9</v>
      </c>
      <c r="E2639" s="3">
        <f>IFERROR(__xludf.DUMMYFUNCTION("""COMPUTED_VALUE"""),5787.65)</f>
        <v>5787.65</v>
      </c>
      <c r="F2639" s="3">
        <f>IFERROR(__xludf.DUMMYFUNCTION("""COMPUTED_VALUE"""),0.0)</f>
        <v>0</v>
      </c>
    </row>
    <row r="2640">
      <c r="A2640" s="7">
        <f>IFERROR(__xludf.DUMMYFUNCTION("""COMPUTED_VALUE"""),40633.645833333336)</f>
        <v>40633.64583</v>
      </c>
      <c r="B2640" s="3">
        <f>IFERROR(__xludf.DUMMYFUNCTION("""COMPUTED_VALUE"""),5803.05)</f>
        <v>5803.05</v>
      </c>
      <c r="C2640" s="3">
        <f>IFERROR(__xludf.DUMMYFUNCTION("""COMPUTED_VALUE"""),5872.0)</f>
        <v>5872</v>
      </c>
      <c r="D2640" s="3">
        <f>IFERROR(__xludf.DUMMYFUNCTION("""COMPUTED_VALUE"""),5778.65)</f>
        <v>5778.65</v>
      </c>
      <c r="E2640" s="3">
        <f>IFERROR(__xludf.DUMMYFUNCTION("""COMPUTED_VALUE"""),5833.75)</f>
        <v>5833.75</v>
      </c>
      <c r="F2640" s="3">
        <f>IFERROR(__xludf.DUMMYFUNCTION("""COMPUTED_VALUE"""),0.0)</f>
        <v>0</v>
      </c>
    </row>
    <row r="2641">
      <c r="A2641" s="7">
        <f>IFERROR(__xludf.DUMMYFUNCTION("""COMPUTED_VALUE"""),40634.645833333336)</f>
        <v>40634.64583</v>
      </c>
      <c r="B2641" s="3">
        <f>IFERROR(__xludf.DUMMYFUNCTION("""COMPUTED_VALUE"""),5835.0)</f>
        <v>5835</v>
      </c>
      <c r="C2641" s="3">
        <f>IFERROR(__xludf.DUMMYFUNCTION("""COMPUTED_VALUE"""),5860.2)</f>
        <v>5860.2</v>
      </c>
      <c r="D2641" s="3">
        <f>IFERROR(__xludf.DUMMYFUNCTION("""COMPUTED_VALUE"""),5810.4)</f>
        <v>5810.4</v>
      </c>
      <c r="E2641" s="3">
        <f>IFERROR(__xludf.DUMMYFUNCTION("""COMPUTED_VALUE"""),5826.05)</f>
        <v>5826.05</v>
      </c>
      <c r="F2641" s="3">
        <f>IFERROR(__xludf.DUMMYFUNCTION("""COMPUTED_VALUE"""),0.0)</f>
        <v>0</v>
      </c>
    </row>
    <row r="2642">
      <c r="A2642" s="7">
        <f>IFERROR(__xludf.DUMMYFUNCTION("""COMPUTED_VALUE"""),40637.645833333336)</f>
        <v>40637.64583</v>
      </c>
      <c r="B2642" s="3">
        <f>IFERROR(__xludf.DUMMYFUNCTION("""COMPUTED_VALUE"""),5842.0)</f>
        <v>5842</v>
      </c>
      <c r="C2642" s="3">
        <f>IFERROR(__xludf.DUMMYFUNCTION("""COMPUTED_VALUE"""),5918.7)</f>
        <v>5918.7</v>
      </c>
      <c r="D2642" s="3">
        <f>IFERROR(__xludf.DUMMYFUNCTION("""COMPUTED_VALUE"""),5833.2)</f>
        <v>5833.2</v>
      </c>
      <c r="E2642" s="3">
        <f>IFERROR(__xludf.DUMMYFUNCTION("""COMPUTED_VALUE"""),5908.45)</f>
        <v>5908.45</v>
      </c>
      <c r="F2642" s="3">
        <f>IFERROR(__xludf.DUMMYFUNCTION("""COMPUTED_VALUE"""),0.0)</f>
        <v>0</v>
      </c>
    </row>
    <row r="2643">
      <c r="A2643" s="7">
        <f>IFERROR(__xludf.DUMMYFUNCTION("""COMPUTED_VALUE"""),40638.645833333336)</f>
        <v>40638.64583</v>
      </c>
      <c r="B2643" s="3">
        <f>IFERROR(__xludf.DUMMYFUNCTION("""COMPUTED_VALUE"""),5923.85)</f>
        <v>5923.85</v>
      </c>
      <c r="C2643" s="3">
        <f>IFERROR(__xludf.DUMMYFUNCTION("""COMPUTED_VALUE"""),5928.65)</f>
        <v>5928.65</v>
      </c>
      <c r="D2643" s="3">
        <f>IFERROR(__xludf.DUMMYFUNCTION("""COMPUTED_VALUE"""),5855.85)</f>
        <v>5855.85</v>
      </c>
      <c r="E2643" s="3">
        <f>IFERROR(__xludf.DUMMYFUNCTION("""COMPUTED_VALUE"""),5910.05)</f>
        <v>5910.05</v>
      </c>
      <c r="F2643" s="3">
        <f>IFERROR(__xludf.DUMMYFUNCTION("""COMPUTED_VALUE"""),0.0)</f>
        <v>0</v>
      </c>
    </row>
    <row r="2644">
      <c r="A2644" s="7">
        <f>IFERROR(__xludf.DUMMYFUNCTION("""COMPUTED_VALUE"""),40639.645833333336)</f>
        <v>40639.64583</v>
      </c>
      <c r="B2644" s="3">
        <f>IFERROR(__xludf.DUMMYFUNCTION("""COMPUTED_VALUE"""),5908.0)</f>
        <v>5908</v>
      </c>
      <c r="C2644" s="3">
        <f>IFERROR(__xludf.DUMMYFUNCTION("""COMPUTED_VALUE"""),5944.45)</f>
        <v>5944.45</v>
      </c>
      <c r="D2644" s="3">
        <f>IFERROR(__xludf.DUMMYFUNCTION("""COMPUTED_VALUE"""),5868.8)</f>
        <v>5868.8</v>
      </c>
      <c r="E2644" s="3">
        <f>IFERROR(__xludf.DUMMYFUNCTION("""COMPUTED_VALUE"""),5891.75)</f>
        <v>5891.75</v>
      </c>
      <c r="F2644" s="3">
        <f>IFERROR(__xludf.DUMMYFUNCTION("""COMPUTED_VALUE"""),0.0)</f>
        <v>0</v>
      </c>
    </row>
    <row r="2645">
      <c r="A2645" s="7">
        <f>IFERROR(__xludf.DUMMYFUNCTION("""COMPUTED_VALUE"""),40640.645833333336)</f>
        <v>40640.64583</v>
      </c>
      <c r="B2645" s="3">
        <f>IFERROR(__xludf.DUMMYFUNCTION("""COMPUTED_VALUE"""),5888.55)</f>
        <v>5888.55</v>
      </c>
      <c r="C2645" s="3">
        <f>IFERROR(__xludf.DUMMYFUNCTION("""COMPUTED_VALUE"""),5906.1)</f>
        <v>5906.1</v>
      </c>
      <c r="D2645" s="3">
        <f>IFERROR(__xludf.DUMMYFUNCTION("""COMPUTED_VALUE"""),5866.25)</f>
        <v>5866.25</v>
      </c>
      <c r="E2645" s="3">
        <f>IFERROR(__xludf.DUMMYFUNCTION("""COMPUTED_VALUE"""),5885.7)</f>
        <v>5885.7</v>
      </c>
      <c r="F2645" s="3">
        <f>IFERROR(__xludf.DUMMYFUNCTION("""COMPUTED_VALUE"""),0.0)</f>
        <v>0</v>
      </c>
    </row>
    <row r="2646">
      <c r="A2646" s="7">
        <f>IFERROR(__xludf.DUMMYFUNCTION("""COMPUTED_VALUE"""),40641.645833333336)</f>
        <v>40641.64583</v>
      </c>
      <c r="B2646" s="3">
        <f>IFERROR(__xludf.DUMMYFUNCTION("""COMPUTED_VALUE"""),5886.75)</f>
        <v>5886.75</v>
      </c>
      <c r="C2646" s="3">
        <f>IFERROR(__xludf.DUMMYFUNCTION("""COMPUTED_VALUE"""),5926.95)</f>
        <v>5926.95</v>
      </c>
      <c r="D2646" s="3">
        <f>IFERROR(__xludf.DUMMYFUNCTION("""COMPUTED_VALUE"""),5822.0)</f>
        <v>5822</v>
      </c>
      <c r="E2646" s="3">
        <f>IFERROR(__xludf.DUMMYFUNCTION("""COMPUTED_VALUE"""),5842.0)</f>
        <v>5842</v>
      </c>
      <c r="F2646" s="3">
        <f>IFERROR(__xludf.DUMMYFUNCTION("""COMPUTED_VALUE"""),0.0)</f>
        <v>0</v>
      </c>
    </row>
    <row r="2647">
      <c r="A2647" s="7">
        <f>IFERROR(__xludf.DUMMYFUNCTION("""COMPUTED_VALUE"""),40644.645833333336)</f>
        <v>40644.64583</v>
      </c>
      <c r="B2647" s="3">
        <f>IFERROR(__xludf.DUMMYFUNCTION("""COMPUTED_VALUE"""),5805.35)</f>
        <v>5805.35</v>
      </c>
      <c r="C2647" s="3">
        <f>IFERROR(__xludf.DUMMYFUNCTION("""COMPUTED_VALUE"""),5830.3)</f>
        <v>5830.3</v>
      </c>
      <c r="D2647" s="3">
        <f>IFERROR(__xludf.DUMMYFUNCTION("""COMPUTED_VALUE"""),5777.9)</f>
        <v>5777.9</v>
      </c>
      <c r="E2647" s="3">
        <f>IFERROR(__xludf.DUMMYFUNCTION("""COMPUTED_VALUE"""),5785.7)</f>
        <v>5785.7</v>
      </c>
      <c r="F2647" s="3">
        <f>IFERROR(__xludf.DUMMYFUNCTION("""COMPUTED_VALUE"""),0.0)</f>
        <v>0</v>
      </c>
    </row>
    <row r="2648">
      <c r="A2648" s="7">
        <f>IFERROR(__xludf.DUMMYFUNCTION("""COMPUTED_VALUE"""),40646.645833333336)</f>
        <v>40646.64583</v>
      </c>
      <c r="B2648" s="3">
        <f>IFERROR(__xludf.DUMMYFUNCTION("""COMPUTED_VALUE"""),5747.95)</f>
        <v>5747.95</v>
      </c>
      <c r="C2648" s="3">
        <f>IFERROR(__xludf.DUMMYFUNCTION("""COMPUTED_VALUE"""),5923.6)</f>
        <v>5923.6</v>
      </c>
      <c r="D2648" s="3">
        <f>IFERROR(__xludf.DUMMYFUNCTION("""COMPUTED_VALUE"""),5735.55)</f>
        <v>5735.55</v>
      </c>
      <c r="E2648" s="3">
        <f>IFERROR(__xludf.DUMMYFUNCTION("""COMPUTED_VALUE"""),5911.5)</f>
        <v>5911.5</v>
      </c>
      <c r="F2648" s="3">
        <f>IFERROR(__xludf.DUMMYFUNCTION("""COMPUTED_VALUE"""),0.0)</f>
        <v>0</v>
      </c>
    </row>
    <row r="2649">
      <c r="A2649" s="7">
        <f>IFERROR(__xludf.DUMMYFUNCTION("""COMPUTED_VALUE"""),40648.645833333336)</f>
        <v>40648.64583</v>
      </c>
      <c r="B2649" s="3">
        <f>IFERROR(__xludf.DUMMYFUNCTION("""COMPUTED_VALUE"""),5898.75)</f>
        <v>5898.75</v>
      </c>
      <c r="C2649" s="3">
        <f>IFERROR(__xludf.DUMMYFUNCTION("""COMPUTED_VALUE"""),5907.35)</f>
        <v>5907.35</v>
      </c>
      <c r="D2649" s="3">
        <f>IFERROR(__xludf.DUMMYFUNCTION("""COMPUTED_VALUE"""),5806.45)</f>
        <v>5806.45</v>
      </c>
      <c r="E2649" s="3">
        <f>IFERROR(__xludf.DUMMYFUNCTION("""COMPUTED_VALUE"""),5824.55)</f>
        <v>5824.55</v>
      </c>
      <c r="F2649" s="3">
        <f>IFERROR(__xludf.DUMMYFUNCTION("""COMPUTED_VALUE"""),0.0)</f>
        <v>0</v>
      </c>
    </row>
    <row r="2650">
      <c r="A2650" s="7">
        <f>IFERROR(__xludf.DUMMYFUNCTION("""COMPUTED_VALUE"""),40651.645833333336)</f>
        <v>40651.64583</v>
      </c>
      <c r="B2650" s="3">
        <f>IFERROR(__xludf.DUMMYFUNCTION("""COMPUTED_VALUE"""),5824.35)</f>
        <v>5824.35</v>
      </c>
      <c r="C2650" s="3">
        <f>IFERROR(__xludf.DUMMYFUNCTION("""COMPUTED_VALUE"""),5897.9)</f>
        <v>5897.9</v>
      </c>
      <c r="D2650" s="3">
        <f>IFERROR(__xludf.DUMMYFUNCTION("""COMPUTED_VALUE"""),5722.25)</f>
        <v>5722.25</v>
      </c>
      <c r="E2650" s="3">
        <f>IFERROR(__xludf.DUMMYFUNCTION("""COMPUTED_VALUE"""),5729.1)</f>
        <v>5729.1</v>
      </c>
      <c r="F2650" s="3">
        <f>IFERROR(__xludf.DUMMYFUNCTION("""COMPUTED_VALUE"""),0.0)</f>
        <v>0</v>
      </c>
    </row>
    <row r="2651">
      <c r="A2651" s="7">
        <f>IFERROR(__xludf.DUMMYFUNCTION("""COMPUTED_VALUE"""),40652.645833333336)</f>
        <v>40652.64583</v>
      </c>
      <c r="B2651" s="3">
        <f>IFERROR(__xludf.DUMMYFUNCTION("""COMPUTED_VALUE"""),5716.0)</f>
        <v>5716</v>
      </c>
      <c r="C2651" s="3">
        <f>IFERROR(__xludf.DUMMYFUNCTION("""COMPUTED_VALUE"""),5762.95)</f>
        <v>5762.95</v>
      </c>
      <c r="D2651" s="3">
        <f>IFERROR(__xludf.DUMMYFUNCTION("""COMPUTED_VALUE"""),5693.25)</f>
        <v>5693.25</v>
      </c>
      <c r="E2651" s="3">
        <f>IFERROR(__xludf.DUMMYFUNCTION("""COMPUTED_VALUE"""),5740.75)</f>
        <v>5740.75</v>
      </c>
      <c r="F2651" s="3">
        <f>IFERROR(__xludf.DUMMYFUNCTION("""COMPUTED_VALUE"""),0.0)</f>
        <v>0</v>
      </c>
    </row>
    <row r="2652">
      <c r="A2652" s="7">
        <f>IFERROR(__xludf.DUMMYFUNCTION("""COMPUTED_VALUE"""),40653.645833333336)</f>
        <v>40653.64583</v>
      </c>
      <c r="B2652" s="3">
        <f>IFERROR(__xludf.DUMMYFUNCTION("""COMPUTED_VALUE"""),5786.05)</f>
        <v>5786.05</v>
      </c>
      <c r="C2652" s="3">
        <f>IFERROR(__xludf.DUMMYFUNCTION("""COMPUTED_VALUE"""),5857.35)</f>
        <v>5857.35</v>
      </c>
      <c r="D2652" s="3">
        <f>IFERROR(__xludf.DUMMYFUNCTION("""COMPUTED_VALUE"""),5759.65)</f>
        <v>5759.65</v>
      </c>
      <c r="E2652" s="3">
        <f>IFERROR(__xludf.DUMMYFUNCTION("""COMPUTED_VALUE"""),5851.65)</f>
        <v>5851.65</v>
      </c>
      <c r="F2652" s="3">
        <f>IFERROR(__xludf.DUMMYFUNCTION("""COMPUTED_VALUE"""),0.0)</f>
        <v>0</v>
      </c>
    </row>
    <row r="2653">
      <c r="A2653" s="7">
        <f>IFERROR(__xludf.DUMMYFUNCTION("""COMPUTED_VALUE"""),40654.645833333336)</f>
        <v>40654.64583</v>
      </c>
      <c r="B2653" s="3">
        <f>IFERROR(__xludf.DUMMYFUNCTION("""COMPUTED_VALUE"""),5882.85)</f>
        <v>5882.85</v>
      </c>
      <c r="C2653" s="3">
        <f>IFERROR(__xludf.DUMMYFUNCTION("""COMPUTED_VALUE"""),5912.9)</f>
        <v>5912.9</v>
      </c>
      <c r="D2653" s="3">
        <f>IFERROR(__xludf.DUMMYFUNCTION("""COMPUTED_VALUE"""),5864.35)</f>
        <v>5864.35</v>
      </c>
      <c r="E2653" s="3">
        <f>IFERROR(__xludf.DUMMYFUNCTION("""COMPUTED_VALUE"""),5884.7)</f>
        <v>5884.7</v>
      </c>
      <c r="F2653" s="3">
        <f>IFERROR(__xludf.DUMMYFUNCTION("""COMPUTED_VALUE"""),0.0)</f>
        <v>0</v>
      </c>
    </row>
    <row r="2654">
      <c r="A2654" s="7">
        <f>IFERROR(__xludf.DUMMYFUNCTION("""COMPUTED_VALUE"""),40658.645833333336)</f>
        <v>40658.64583</v>
      </c>
      <c r="B2654" s="3">
        <f>IFERROR(__xludf.DUMMYFUNCTION("""COMPUTED_VALUE"""),5859.6)</f>
        <v>5859.6</v>
      </c>
      <c r="C2654" s="3">
        <f>IFERROR(__xludf.DUMMYFUNCTION("""COMPUTED_VALUE"""),5906.6)</f>
        <v>5906.6</v>
      </c>
      <c r="D2654" s="3">
        <f>IFERROR(__xludf.DUMMYFUNCTION("""COMPUTED_VALUE"""),5857.0)</f>
        <v>5857</v>
      </c>
      <c r="E2654" s="3">
        <f>IFERROR(__xludf.DUMMYFUNCTION("""COMPUTED_VALUE"""),5874.5)</f>
        <v>5874.5</v>
      </c>
      <c r="F2654" s="3">
        <f>IFERROR(__xludf.DUMMYFUNCTION("""COMPUTED_VALUE"""),0.0)</f>
        <v>0</v>
      </c>
    </row>
    <row r="2655">
      <c r="A2655" s="7">
        <f>IFERROR(__xludf.DUMMYFUNCTION("""COMPUTED_VALUE"""),40659.645833333336)</f>
        <v>40659.64583</v>
      </c>
      <c r="B2655" s="3">
        <f>IFERROR(__xludf.DUMMYFUNCTION("""COMPUTED_VALUE"""),5876.85)</f>
        <v>5876.85</v>
      </c>
      <c r="C2655" s="3">
        <f>IFERROR(__xludf.DUMMYFUNCTION("""COMPUTED_VALUE"""),5893.2)</f>
        <v>5893.2</v>
      </c>
      <c r="D2655" s="3">
        <f>IFERROR(__xludf.DUMMYFUNCTION("""COMPUTED_VALUE"""),5791.55)</f>
        <v>5791.55</v>
      </c>
      <c r="E2655" s="3">
        <f>IFERROR(__xludf.DUMMYFUNCTION("""COMPUTED_VALUE"""),5868.4)</f>
        <v>5868.4</v>
      </c>
      <c r="F2655" s="3">
        <f>IFERROR(__xludf.DUMMYFUNCTION("""COMPUTED_VALUE"""),0.0)</f>
        <v>0</v>
      </c>
    </row>
    <row r="2656">
      <c r="A2656" s="7">
        <f>IFERROR(__xludf.DUMMYFUNCTION("""COMPUTED_VALUE"""),40660.645833333336)</f>
        <v>40660.64583</v>
      </c>
      <c r="B2656" s="3">
        <f>IFERROR(__xludf.DUMMYFUNCTION("""COMPUTED_VALUE"""),5884.2)</f>
        <v>5884.2</v>
      </c>
      <c r="C2656" s="3">
        <f>IFERROR(__xludf.DUMMYFUNCTION("""COMPUTED_VALUE"""),5892.35)</f>
        <v>5892.35</v>
      </c>
      <c r="D2656" s="3">
        <f>IFERROR(__xludf.DUMMYFUNCTION("""COMPUTED_VALUE"""),5819.95)</f>
        <v>5819.95</v>
      </c>
      <c r="E2656" s="3">
        <f>IFERROR(__xludf.DUMMYFUNCTION("""COMPUTED_VALUE"""),5833.9)</f>
        <v>5833.9</v>
      </c>
      <c r="F2656" s="3">
        <f>IFERROR(__xludf.DUMMYFUNCTION("""COMPUTED_VALUE"""),0.0)</f>
        <v>0</v>
      </c>
    </row>
    <row r="2657">
      <c r="A2657" s="7">
        <f>IFERROR(__xludf.DUMMYFUNCTION("""COMPUTED_VALUE"""),40661.645833333336)</f>
        <v>40661.64583</v>
      </c>
      <c r="B2657" s="3">
        <f>IFERROR(__xludf.DUMMYFUNCTION("""COMPUTED_VALUE"""),5851.35)</f>
        <v>5851.35</v>
      </c>
      <c r="C2657" s="3">
        <f>IFERROR(__xludf.DUMMYFUNCTION("""COMPUTED_VALUE"""),5856.4)</f>
        <v>5856.4</v>
      </c>
      <c r="D2657" s="3">
        <f>IFERROR(__xludf.DUMMYFUNCTION("""COMPUTED_VALUE"""),5776.95)</f>
        <v>5776.95</v>
      </c>
      <c r="E2657" s="3">
        <f>IFERROR(__xludf.DUMMYFUNCTION("""COMPUTED_VALUE"""),5785.45)</f>
        <v>5785.45</v>
      </c>
      <c r="F2657" s="3">
        <f>IFERROR(__xludf.DUMMYFUNCTION("""COMPUTED_VALUE"""),0.0)</f>
        <v>0</v>
      </c>
    </row>
    <row r="2658">
      <c r="A2658" s="7">
        <f>IFERROR(__xludf.DUMMYFUNCTION("""COMPUTED_VALUE"""),40662.645833333336)</f>
        <v>40662.64583</v>
      </c>
      <c r="B2658" s="3">
        <f>IFERROR(__xludf.DUMMYFUNCTION("""COMPUTED_VALUE"""),5782.5)</f>
        <v>5782.5</v>
      </c>
      <c r="C2658" s="3">
        <f>IFERROR(__xludf.DUMMYFUNCTION("""COMPUTED_VALUE"""),5804.3)</f>
        <v>5804.3</v>
      </c>
      <c r="D2658" s="3">
        <f>IFERROR(__xludf.DUMMYFUNCTION("""COMPUTED_VALUE"""),5706.05)</f>
        <v>5706.05</v>
      </c>
      <c r="E2658" s="3">
        <f>IFERROR(__xludf.DUMMYFUNCTION("""COMPUTED_VALUE"""),5749.5)</f>
        <v>5749.5</v>
      </c>
      <c r="F2658" s="3">
        <f>IFERROR(__xludf.DUMMYFUNCTION("""COMPUTED_VALUE"""),0.0)</f>
        <v>0</v>
      </c>
    </row>
    <row r="2659">
      <c r="A2659" s="7">
        <f>IFERROR(__xludf.DUMMYFUNCTION("""COMPUTED_VALUE"""),40665.645833333336)</f>
        <v>40665.64583</v>
      </c>
      <c r="B2659" s="3">
        <f>IFERROR(__xludf.DUMMYFUNCTION("""COMPUTED_VALUE"""),5766.9)</f>
        <v>5766.9</v>
      </c>
      <c r="C2659" s="3">
        <f>IFERROR(__xludf.DUMMYFUNCTION("""COMPUTED_VALUE"""),5775.25)</f>
        <v>5775.25</v>
      </c>
      <c r="D2659" s="3">
        <f>IFERROR(__xludf.DUMMYFUNCTION("""COMPUTED_VALUE"""),5687.7)</f>
        <v>5687.7</v>
      </c>
      <c r="E2659" s="3">
        <f>IFERROR(__xludf.DUMMYFUNCTION("""COMPUTED_VALUE"""),5701.3)</f>
        <v>5701.3</v>
      </c>
      <c r="F2659" s="3">
        <f>IFERROR(__xludf.DUMMYFUNCTION("""COMPUTED_VALUE"""),0.0)</f>
        <v>0</v>
      </c>
    </row>
    <row r="2660">
      <c r="A2660" s="7">
        <f>IFERROR(__xludf.DUMMYFUNCTION("""COMPUTED_VALUE"""),40666.645833333336)</f>
        <v>40666.64583</v>
      </c>
      <c r="B2660" s="3">
        <f>IFERROR(__xludf.DUMMYFUNCTION("""COMPUTED_VALUE"""),5689.7)</f>
        <v>5689.7</v>
      </c>
      <c r="C2660" s="3">
        <f>IFERROR(__xludf.DUMMYFUNCTION("""COMPUTED_VALUE"""),5710.8)</f>
        <v>5710.8</v>
      </c>
      <c r="D2660" s="3">
        <f>IFERROR(__xludf.DUMMYFUNCTION("""COMPUTED_VALUE"""),5554.85)</f>
        <v>5554.85</v>
      </c>
      <c r="E2660" s="3">
        <f>IFERROR(__xludf.DUMMYFUNCTION("""COMPUTED_VALUE"""),5565.25)</f>
        <v>5565.25</v>
      </c>
      <c r="F2660" s="3">
        <f>IFERROR(__xludf.DUMMYFUNCTION("""COMPUTED_VALUE"""),0.0)</f>
        <v>0</v>
      </c>
    </row>
    <row r="2661">
      <c r="A2661" s="7">
        <f>IFERROR(__xludf.DUMMYFUNCTION("""COMPUTED_VALUE"""),40667.645833333336)</f>
        <v>40667.64583</v>
      </c>
      <c r="B2661" s="3">
        <f>IFERROR(__xludf.DUMMYFUNCTION("""COMPUTED_VALUE"""),5567.7)</f>
        <v>5567.7</v>
      </c>
      <c r="C2661" s="3">
        <f>IFERROR(__xludf.DUMMYFUNCTION("""COMPUTED_VALUE"""),5578.8)</f>
        <v>5578.8</v>
      </c>
      <c r="D2661" s="3">
        <f>IFERROR(__xludf.DUMMYFUNCTION("""COMPUTED_VALUE"""),5503.0)</f>
        <v>5503</v>
      </c>
      <c r="E2661" s="3">
        <f>IFERROR(__xludf.DUMMYFUNCTION("""COMPUTED_VALUE"""),5537.15)</f>
        <v>5537.15</v>
      </c>
      <c r="F2661" s="3">
        <f>IFERROR(__xludf.DUMMYFUNCTION("""COMPUTED_VALUE"""),0.0)</f>
        <v>0</v>
      </c>
    </row>
    <row r="2662">
      <c r="A2662" s="7">
        <f>IFERROR(__xludf.DUMMYFUNCTION("""COMPUTED_VALUE"""),40668.645833333336)</f>
        <v>40668.64583</v>
      </c>
      <c r="B2662" s="3">
        <f>IFERROR(__xludf.DUMMYFUNCTION("""COMPUTED_VALUE"""),5531.6)</f>
        <v>5531.6</v>
      </c>
      <c r="C2662" s="3">
        <f>IFERROR(__xludf.DUMMYFUNCTION("""COMPUTED_VALUE"""),5560.3)</f>
        <v>5560.3</v>
      </c>
      <c r="D2662" s="3">
        <f>IFERROR(__xludf.DUMMYFUNCTION("""COMPUTED_VALUE"""),5443.65)</f>
        <v>5443.65</v>
      </c>
      <c r="E2662" s="3">
        <f>IFERROR(__xludf.DUMMYFUNCTION("""COMPUTED_VALUE"""),5459.85)</f>
        <v>5459.85</v>
      </c>
      <c r="F2662" s="3">
        <f>IFERROR(__xludf.DUMMYFUNCTION("""COMPUTED_VALUE"""),0.0)</f>
        <v>0</v>
      </c>
    </row>
    <row r="2663">
      <c r="A2663" s="7">
        <f>IFERROR(__xludf.DUMMYFUNCTION("""COMPUTED_VALUE"""),40669.645833333336)</f>
        <v>40669.64583</v>
      </c>
      <c r="B2663" s="3">
        <f>IFERROR(__xludf.DUMMYFUNCTION("""COMPUTED_VALUE"""),5477.65)</f>
        <v>5477.65</v>
      </c>
      <c r="C2663" s="3">
        <f>IFERROR(__xludf.DUMMYFUNCTION("""COMPUTED_VALUE"""),5564.4)</f>
        <v>5564.4</v>
      </c>
      <c r="D2663" s="3">
        <f>IFERROR(__xludf.DUMMYFUNCTION("""COMPUTED_VALUE"""),5472.45)</f>
        <v>5472.45</v>
      </c>
      <c r="E2663" s="3">
        <f>IFERROR(__xludf.DUMMYFUNCTION("""COMPUTED_VALUE"""),5544.9)</f>
        <v>5544.9</v>
      </c>
      <c r="F2663" s="3">
        <f>IFERROR(__xludf.DUMMYFUNCTION("""COMPUTED_VALUE"""),0.0)</f>
        <v>0</v>
      </c>
    </row>
    <row r="2664">
      <c r="A2664" s="7">
        <f>IFERROR(__xludf.DUMMYFUNCTION("""COMPUTED_VALUE"""),40672.645833333336)</f>
        <v>40672.64583</v>
      </c>
      <c r="B2664" s="3">
        <f>IFERROR(__xludf.DUMMYFUNCTION("""COMPUTED_VALUE"""),5575.2)</f>
        <v>5575.2</v>
      </c>
      <c r="C2664" s="3">
        <f>IFERROR(__xludf.DUMMYFUNCTION("""COMPUTED_VALUE"""),5586.05)</f>
        <v>5586.05</v>
      </c>
      <c r="D2664" s="3">
        <f>IFERROR(__xludf.DUMMYFUNCTION("""COMPUTED_VALUE"""),5502.4)</f>
        <v>5502.4</v>
      </c>
      <c r="E2664" s="3">
        <f>IFERROR(__xludf.DUMMYFUNCTION("""COMPUTED_VALUE"""),5551.1)</f>
        <v>5551.1</v>
      </c>
      <c r="F2664" s="3">
        <f>IFERROR(__xludf.DUMMYFUNCTION("""COMPUTED_VALUE"""),0.0)</f>
        <v>0</v>
      </c>
    </row>
    <row r="2665">
      <c r="A2665" s="7">
        <f>IFERROR(__xludf.DUMMYFUNCTION("""COMPUTED_VALUE"""),40673.645833333336)</f>
        <v>40673.64583</v>
      </c>
      <c r="B2665" s="3">
        <f>IFERROR(__xludf.DUMMYFUNCTION("""COMPUTED_VALUE"""),5555.55)</f>
        <v>5555.55</v>
      </c>
      <c r="C2665" s="3">
        <f>IFERROR(__xludf.DUMMYFUNCTION("""COMPUTED_VALUE"""),5592.9)</f>
        <v>5592.9</v>
      </c>
      <c r="D2665" s="3">
        <f>IFERROR(__xludf.DUMMYFUNCTION("""COMPUTED_VALUE"""),5514.55)</f>
        <v>5514.55</v>
      </c>
      <c r="E2665" s="3">
        <f>IFERROR(__xludf.DUMMYFUNCTION("""COMPUTED_VALUE"""),5541.25)</f>
        <v>5541.25</v>
      </c>
      <c r="F2665" s="3">
        <f>IFERROR(__xludf.DUMMYFUNCTION("""COMPUTED_VALUE"""),0.0)</f>
        <v>0</v>
      </c>
    </row>
    <row r="2666">
      <c r="A2666" s="7">
        <f>IFERROR(__xludf.DUMMYFUNCTION("""COMPUTED_VALUE"""),40674.645833333336)</f>
        <v>40674.64583</v>
      </c>
      <c r="B2666" s="3">
        <f>IFERROR(__xludf.DUMMYFUNCTION("""COMPUTED_VALUE"""),5547.2)</f>
        <v>5547.2</v>
      </c>
      <c r="C2666" s="3">
        <f>IFERROR(__xludf.DUMMYFUNCTION("""COMPUTED_VALUE"""),5574.7)</f>
        <v>5574.7</v>
      </c>
      <c r="D2666" s="3">
        <f>IFERROR(__xludf.DUMMYFUNCTION("""COMPUTED_VALUE"""),5525.0)</f>
        <v>5525</v>
      </c>
      <c r="E2666" s="3">
        <f>IFERROR(__xludf.DUMMYFUNCTION("""COMPUTED_VALUE"""),5565.05)</f>
        <v>5565.05</v>
      </c>
      <c r="F2666" s="3">
        <f>IFERROR(__xludf.DUMMYFUNCTION("""COMPUTED_VALUE"""),0.0)</f>
        <v>0</v>
      </c>
    </row>
    <row r="2667">
      <c r="A2667" s="7">
        <f>IFERROR(__xludf.DUMMYFUNCTION("""COMPUTED_VALUE"""),40675.645833333336)</f>
        <v>40675.64583</v>
      </c>
      <c r="B2667" s="3">
        <f>IFERROR(__xludf.DUMMYFUNCTION("""COMPUTED_VALUE"""),5537.8)</f>
        <v>5537.8</v>
      </c>
      <c r="C2667" s="3">
        <f>IFERROR(__xludf.DUMMYFUNCTION("""COMPUTED_VALUE"""),5572.5)</f>
        <v>5572.5</v>
      </c>
      <c r="D2667" s="3">
        <f>IFERROR(__xludf.DUMMYFUNCTION("""COMPUTED_VALUE"""),5476.3)</f>
        <v>5476.3</v>
      </c>
      <c r="E2667" s="3">
        <f>IFERROR(__xludf.DUMMYFUNCTION("""COMPUTED_VALUE"""),5486.15)</f>
        <v>5486.15</v>
      </c>
      <c r="F2667" s="3">
        <f>IFERROR(__xludf.DUMMYFUNCTION("""COMPUTED_VALUE"""),0.0)</f>
        <v>0</v>
      </c>
    </row>
    <row r="2668">
      <c r="A2668" s="7">
        <f>IFERROR(__xludf.DUMMYFUNCTION("""COMPUTED_VALUE"""),40676.645833333336)</f>
        <v>40676.64583</v>
      </c>
      <c r="B2668" s="3">
        <f>IFERROR(__xludf.DUMMYFUNCTION("""COMPUTED_VALUE"""),5492.35)</f>
        <v>5492.35</v>
      </c>
      <c r="C2668" s="3">
        <f>IFERROR(__xludf.DUMMYFUNCTION("""COMPUTED_VALUE"""),5605.0)</f>
        <v>5605</v>
      </c>
      <c r="D2668" s="3">
        <f>IFERROR(__xludf.DUMMYFUNCTION("""COMPUTED_VALUE"""),5472.15)</f>
        <v>5472.15</v>
      </c>
      <c r="E2668" s="3">
        <f>IFERROR(__xludf.DUMMYFUNCTION("""COMPUTED_VALUE"""),5544.75)</f>
        <v>5544.75</v>
      </c>
      <c r="F2668" s="3">
        <f>IFERROR(__xludf.DUMMYFUNCTION("""COMPUTED_VALUE"""),0.0)</f>
        <v>0</v>
      </c>
    </row>
    <row r="2669">
      <c r="A2669" s="7">
        <f>IFERROR(__xludf.DUMMYFUNCTION("""COMPUTED_VALUE"""),40679.645833333336)</f>
        <v>40679.64583</v>
      </c>
      <c r="B2669" s="3">
        <f>IFERROR(__xludf.DUMMYFUNCTION("""COMPUTED_VALUE"""),5541.7)</f>
        <v>5541.7</v>
      </c>
      <c r="C2669" s="3">
        <f>IFERROR(__xludf.DUMMYFUNCTION("""COMPUTED_VALUE"""),5541.8)</f>
        <v>5541.8</v>
      </c>
      <c r="D2669" s="3">
        <f>IFERROR(__xludf.DUMMYFUNCTION("""COMPUTED_VALUE"""),5487.65)</f>
        <v>5487.65</v>
      </c>
      <c r="E2669" s="3">
        <f>IFERROR(__xludf.DUMMYFUNCTION("""COMPUTED_VALUE"""),5499.0)</f>
        <v>5499</v>
      </c>
      <c r="F2669" s="3">
        <f>IFERROR(__xludf.DUMMYFUNCTION("""COMPUTED_VALUE"""),0.0)</f>
        <v>0</v>
      </c>
    </row>
    <row r="2670">
      <c r="A2670" s="7">
        <f>IFERROR(__xludf.DUMMYFUNCTION("""COMPUTED_VALUE"""),40680.645833333336)</f>
        <v>40680.64583</v>
      </c>
      <c r="B2670" s="3">
        <f>IFERROR(__xludf.DUMMYFUNCTION("""COMPUTED_VALUE"""),5496.1)</f>
        <v>5496.1</v>
      </c>
      <c r="C2670" s="3">
        <f>IFERROR(__xludf.DUMMYFUNCTION("""COMPUTED_VALUE"""),5523.85)</f>
        <v>5523.85</v>
      </c>
      <c r="D2670" s="3">
        <f>IFERROR(__xludf.DUMMYFUNCTION("""COMPUTED_VALUE"""),5421.05)</f>
        <v>5421.05</v>
      </c>
      <c r="E2670" s="3">
        <f>IFERROR(__xludf.DUMMYFUNCTION("""COMPUTED_VALUE"""),5438.95)</f>
        <v>5438.95</v>
      </c>
      <c r="F2670" s="3">
        <f>IFERROR(__xludf.DUMMYFUNCTION("""COMPUTED_VALUE"""),0.0)</f>
        <v>0</v>
      </c>
    </row>
    <row r="2671">
      <c r="A2671" s="7">
        <f>IFERROR(__xludf.DUMMYFUNCTION("""COMPUTED_VALUE"""),40681.645833333336)</f>
        <v>40681.64583</v>
      </c>
      <c r="B2671" s="3">
        <f>IFERROR(__xludf.DUMMYFUNCTION("""COMPUTED_VALUE"""),5448.2)</f>
        <v>5448.2</v>
      </c>
      <c r="C2671" s="3">
        <f>IFERROR(__xludf.DUMMYFUNCTION("""COMPUTED_VALUE"""),5460.5)</f>
        <v>5460.5</v>
      </c>
      <c r="D2671" s="3">
        <f>IFERROR(__xludf.DUMMYFUNCTION("""COMPUTED_VALUE"""),5401.25)</f>
        <v>5401.25</v>
      </c>
      <c r="E2671" s="3">
        <f>IFERROR(__xludf.DUMMYFUNCTION("""COMPUTED_VALUE"""),5420.6)</f>
        <v>5420.6</v>
      </c>
      <c r="F2671" s="3">
        <f>IFERROR(__xludf.DUMMYFUNCTION("""COMPUTED_VALUE"""),0.0)</f>
        <v>0</v>
      </c>
    </row>
    <row r="2672">
      <c r="A2672" s="7">
        <f>IFERROR(__xludf.DUMMYFUNCTION("""COMPUTED_VALUE"""),40682.645833333336)</f>
        <v>40682.64583</v>
      </c>
      <c r="B2672" s="3">
        <f>IFERROR(__xludf.DUMMYFUNCTION("""COMPUTED_VALUE"""),5448.15)</f>
        <v>5448.15</v>
      </c>
      <c r="C2672" s="3">
        <f>IFERROR(__xludf.DUMMYFUNCTION("""COMPUTED_VALUE"""),5452.6)</f>
        <v>5452.6</v>
      </c>
      <c r="D2672" s="3">
        <f>IFERROR(__xludf.DUMMYFUNCTION("""COMPUTED_VALUE"""),5411.25)</f>
        <v>5411.25</v>
      </c>
      <c r="E2672" s="3">
        <f>IFERROR(__xludf.DUMMYFUNCTION("""COMPUTED_VALUE"""),5428.1)</f>
        <v>5428.1</v>
      </c>
      <c r="F2672" s="3">
        <f>IFERROR(__xludf.DUMMYFUNCTION("""COMPUTED_VALUE"""),0.0)</f>
        <v>0</v>
      </c>
    </row>
    <row r="2673">
      <c r="A2673" s="7">
        <f>IFERROR(__xludf.DUMMYFUNCTION("""COMPUTED_VALUE"""),40683.645833333336)</f>
        <v>40683.64583</v>
      </c>
      <c r="B2673" s="3">
        <f>IFERROR(__xludf.DUMMYFUNCTION("""COMPUTED_VALUE"""),5450.65)</f>
        <v>5450.65</v>
      </c>
      <c r="C2673" s="3">
        <f>IFERROR(__xludf.DUMMYFUNCTION("""COMPUTED_VALUE"""),5517.55)</f>
        <v>5517.55</v>
      </c>
      <c r="D2673" s="3">
        <f>IFERROR(__xludf.DUMMYFUNCTION("""COMPUTED_VALUE"""),5432.75)</f>
        <v>5432.75</v>
      </c>
      <c r="E2673" s="3">
        <f>IFERROR(__xludf.DUMMYFUNCTION("""COMPUTED_VALUE"""),5486.35)</f>
        <v>5486.35</v>
      </c>
      <c r="F2673" s="3">
        <f>IFERROR(__xludf.DUMMYFUNCTION("""COMPUTED_VALUE"""),0.0)</f>
        <v>0</v>
      </c>
    </row>
    <row r="2674">
      <c r="A2674" s="7">
        <f>IFERROR(__xludf.DUMMYFUNCTION("""COMPUTED_VALUE"""),40686.645833333336)</f>
        <v>40686.64583</v>
      </c>
      <c r="B2674" s="3">
        <f>IFERROR(__xludf.DUMMYFUNCTION("""COMPUTED_VALUE"""),5456.7)</f>
        <v>5456.7</v>
      </c>
      <c r="C2674" s="3">
        <f>IFERROR(__xludf.DUMMYFUNCTION("""COMPUTED_VALUE"""),5456.7)</f>
        <v>5456.7</v>
      </c>
      <c r="D2674" s="3">
        <f>IFERROR(__xludf.DUMMYFUNCTION("""COMPUTED_VALUE"""),5373.0)</f>
        <v>5373</v>
      </c>
      <c r="E2674" s="3">
        <f>IFERROR(__xludf.DUMMYFUNCTION("""COMPUTED_VALUE"""),5386.55)</f>
        <v>5386.55</v>
      </c>
      <c r="F2674" s="3">
        <f>IFERROR(__xludf.DUMMYFUNCTION("""COMPUTED_VALUE"""),0.0)</f>
        <v>0</v>
      </c>
    </row>
    <row r="2675">
      <c r="A2675" s="7">
        <f>IFERROR(__xludf.DUMMYFUNCTION("""COMPUTED_VALUE"""),40687.645833333336)</f>
        <v>40687.64583</v>
      </c>
      <c r="B2675" s="3">
        <f>IFERROR(__xludf.DUMMYFUNCTION("""COMPUTED_VALUE"""),5385.1)</f>
        <v>5385.1</v>
      </c>
      <c r="C2675" s="3">
        <f>IFERROR(__xludf.DUMMYFUNCTION("""COMPUTED_VALUE"""),5422.6)</f>
        <v>5422.6</v>
      </c>
      <c r="D2675" s="3">
        <f>IFERROR(__xludf.DUMMYFUNCTION("""COMPUTED_VALUE"""),5367.45)</f>
        <v>5367.45</v>
      </c>
      <c r="E2675" s="3">
        <f>IFERROR(__xludf.DUMMYFUNCTION("""COMPUTED_VALUE"""),5394.85)</f>
        <v>5394.85</v>
      </c>
      <c r="F2675" s="3">
        <f>IFERROR(__xludf.DUMMYFUNCTION("""COMPUTED_VALUE"""),0.0)</f>
        <v>0</v>
      </c>
    </row>
    <row r="2676">
      <c r="A2676" s="7">
        <f>IFERROR(__xludf.DUMMYFUNCTION("""COMPUTED_VALUE"""),40688.645833333336)</f>
        <v>40688.64583</v>
      </c>
      <c r="B2676" s="3">
        <f>IFERROR(__xludf.DUMMYFUNCTION("""COMPUTED_VALUE"""),5389.1)</f>
        <v>5389.1</v>
      </c>
      <c r="C2676" s="3">
        <f>IFERROR(__xludf.DUMMYFUNCTION("""COMPUTED_VALUE"""),5389.1)</f>
        <v>5389.1</v>
      </c>
      <c r="D2676" s="3">
        <f>IFERROR(__xludf.DUMMYFUNCTION("""COMPUTED_VALUE"""),5328.7)</f>
        <v>5328.7</v>
      </c>
      <c r="E2676" s="3">
        <f>IFERROR(__xludf.DUMMYFUNCTION("""COMPUTED_VALUE"""),5348.95)</f>
        <v>5348.95</v>
      </c>
      <c r="F2676" s="3">
        <f>IFERROR(__xludf.DUMMYFUNCTION("""COMPUTED_VALUE"""),0.0)</f>
        <v>0</v>
      </c>
    </row>
    <row r="2677">
      <c r="A2677" s="7">
        <f>IFERROR(__xludf.DUMMYFUNCTION("""COMPUTED_VALUE"""),40689.645833333336)</f>
        <v>40689.64583</v>
      </c>
      <c r="B2677" s="3">
        <f>IFERROR(__xludf.DUMMYFUNCTION("""COMPUTED_VALUE"""),5372.75)</f>
        <v>5372.75</v>
      </c>
      <c r="C2677" s="3">
        <f>IFERROR(__xludf.DUMMYFUNCTION("""COMPUTED_VALUE"""),5422.2)</f>
        <v>5422.2</v>
      </c>
      <c r="D2677" s="3">
        <f>IFERROR(__xludf.DUMMYFUNCTION("""COMPUTED_VALUE"""),5356.35)</f>
        <v>5356.35</v>
      </c>
      <c r="E2677" s="3">
        <f>IFERROR(__xludf.DUMMYFUNCTION("""COMPUTED_VALUE"""),5412.35)</f>
        <v>5412.35</v>
      </c>
      <c r="F2677" s="3">
        <f>IFERROR(__xludf.DUMMYFUNCTION("""COMPUTED_VALUE"""),0.0)</f>
        <v>0</v>
      </c>
    </row>
    <row r="2678">
      <c r="A2678" s="7">
        <f>IFERROR(__xludf.DUMMYFUNCTION("""COMPUTED_VALUE"""),40690.645833333336)</f>
        <v>40690.64583</v>
      </c>
      <c r="B2678" s="3">
        <f>IFERROR(__xludf.DUMMYFUNCTION("""COMPUTED_VALUE"""),5413.7)</f>
        <v>5413.7</v>
      </c>
      <c r="C2678" s="3">
        <f>IFERROR(__xludf.DUMMYFUNCTION("""COMPUTED_VALUE"""),5485.8)</f>
        <v>5485.8</v>
      </c>
      <c r="D2678" s="3">
        <f>IFERROR(__xludf.DUMMYFUNCTION("""COMPUTED_VALUE"""),5413.6)</f>
        <v>5413.6</v>
      </c>
      <c r="E2678" s="3">
        <f>IFERROR(__xludf.DUMMYFUNCTION("""COMPUTED_VALUE"""),5476.1)</f>
        <v>5476.1</v>
      </c>
      <c r="F2678" s="3">
        <f>IFERROR(__xludf.DUMMYFUNCTION("""COMPUTED_VALUE"""),0.0)</f>
        <v>0</v>
      </c>
    </row>
    <row r="2679">
      <c r="A2679" s="7">
        <f>IFERROR(__xludf.DUMMYFUNCTION("""COMPUTED_VALUE"""),40693.645833333336)</f>
        <v>40693.64583</v>
      </c>
      <c r="B2679" s="3">
        <f>IFERROR(__xludf.DUMMYFUNCTION("""COMPUTED_VALUE"""),5493.75)</f>
        <v>5493.75</v>
      </c>
      <c r="C2679" s="3">
        <f>IFERROR(__xludf.DUMMYFUNCTION("""COMPUTED_VALUE"""),5509.3)</f>
        <v>5509.3</v>
      </c>
      <c r="D2679" s="3">
        <f>IFERROR(__xludf.DUMMYFUNCTION("""COMPUTED_VALUE"""),5458.6)</f>
        <v>5458.6</v>
      </c>
      <c r="E2679" s="3">
        <f>IFERROR(__xludf.DUMMYFUNCTION("""COMPUTED_VALUE"""),5473.1)</f>
        <v>5473.1</v>
      </c>
      <c r="F2679" s="3">
        <f>IFERROR(__xludf.DUMMYFUNCTION("""COMPUTED_VALUE"""),0.0)</f>
        <v>0</v>
      </c>
    </row>
    <row r="2680">
      <c r="A2680" s="7">
        <f>IFERROR(__xludf.DUMMYFUNCTION("""COMPUTED_VALUE"""),40694.645833333336)</f>
        <v>40694.64583</v>
      </c>
      <c r="B2680" s="3">
        <f>IFERROR(__xludf.DUMMYFUNCTION("""COMPUTED_VALUE"""),5492.0)</f>
        <v>5492</v>
      </c>
      <c r="C2680" s="3">
        <f>IFERROR(__xludf.DUMMYFUNCTION("""COMPUTED_VALUE"""),5571.6)</f>
        <v>5571.6</v>
      </c>
      <c r="D2680" s="3">
        <f>IFERROR(__xludf.DUMMYFUNCTION("""COMPUTED_VALUE"""),5489.7)</f>
        <v>5489.7</v>
      </c>
      <c r="E2680" s="3">
        <f>IFERROR(__xludf.DUMMYFUNCTION("""COMPUTED_VALUE"""),5560.15)</f>
        <v>5560.15</v>
      </c>
      <c r="F2680" s="3">
        <f>IFERROR(__xludf.DUMMYFUNCTION("""COMPUTED_VALUE"""),0.0)</f>
        <v>0</v>
      </c>
    </row>
    <row r="2681">
      <c r="A2681" s="7">
        <f>IFERROR(__xludf.DUMMYFUNCTION("""COMPUTED_VALUE"""),40695.645833333336)</f>
        <v>40695.64583</v>
      </c>
      <c r="B2681" s="3">
        <f>IFERROR(__xludf.DUMMYFUNCTION("""COMPUTED_VALUE"""),5561.05)</f>
        <v>5561.05</v>
      </c>
      <c r="C2681" s="3">
        <f>IFERROR(__xludf.DUMMYFUNCTION("""COMPUTED_VALUE"""),5597.35)</f>
        <v>5597.35</v>
      </c>
      <c r="D2681" s="3">
        <f>IFERROR(__xludf.DUMMYFUNCTION("""COMPUTED_VALUE"""),5559.45)</f>
        <v>5559.45</v>
      </c>
      <c r="E2681" s="3">
        <f>IFERROR(__xludf.DUMMYFUNCTION("""COMPUTED_VALUE"""),5592.0)</f>
        <v>5592</v>
      </c>
      <c r="F2681" s="3">
        <f>IFERROR(__xludf.DUMMYFUNCTION("""COMPUTED_VALUE"""),0.0)</f>
        <v>0</v>
      </c>
    </row>
    <row r="2682">
      <c r="A2682" s="7">
        <f>IFERROR(__xludf.DUMMYFUNCTION("""COMPUTED_VALUE"""),40696.645833333336)</f>
        <v>40696.64583</v>
      </c>
      <c r="B2682" s="3">
        <f>IFERROR(__xludf.DUMMYFUNCTION("""COMPUTED_VALUE"""),5529.9)</f>
        <v>5529.9</v>
      </c>
      <c r="C2682" s="3">
        <f>IFERROR(__xludf.DUMMYFUNCTION("""COMPUTED_VALUE"""),5568.2)</f>
        <v>5568.2</v>
      </c>
      <c r="D2682" s="3">
        <f>IFERROR(__xludf.DUMMYFUNCTION("""COMPUTED_VALUE"""),5521.95)</f>
        <v>5521.95</v>
      </c>
      <c r="E2682" s="3">
        <f>IFERROR(__xludf.DUMMYFUNCTION("""COMPUTED_VALUE"""),5550.35)</f>
        <v>5550.35</v>
      </c>
      <c r="F2682" s="3">
        <f>IFERROR(__xludf.DUMMYFUNCTION("""COMPUTED_VALUE"""),0.0)</f>
        <v>0</v>
      </c>
    </row>
    <row r="2683">
      <c r="A2683" s="7">
        <f>IFERROR(__xludf.DUMMYFUNCTION("""COMPUTED_VALUE"""),40697.645833333336)</f>
        <v>40697.64583</v>
      </c>
      <c r="B2683" s="3">
        <f>IFERROR(__xludf.DUMMYFUNCTION("""COMPUTED_VALUE"""),5565.7)</f>
        <v>5565.7</v>
      </c>
      <c r="C2683" s="3">
        <f>IFERROR(__xludf.DUMMYFUNCTION("""COMPUTED_VALUE"""),5604.95)</f>
        <v>5604.95</v>
      </c>
      <c r="D2683" s="3">
        <f>IFERROR(__xludf.DUMMYFUNCTION("""COMPUTED_VALUE"""),5507.2)</f>
        <v>5507.2</v>
      </c>
      <c r="E2683" s="3">
        <f>IFERROR(__xludf.DUMMYFUNCTION("""COMPUTED_VALUE"""),5516.75)</f>
        <v>5516.75</v>
      </c>
      <c r="F2683" s="3">
        <f>IFERROR(__xludf.DUMMYFUNCTION("""COMPUTED_VALUE"""),0.0)</f>
        <v>0</v>
      </c>
    </row>
    <row r="2684">
      <c r="A2684" s="7">
        <f>IFERROR(__xludf.DUMMYFUNCTION("""COMPUTED_VALUE"""),40700.645833333336)</f>
        <v>40700.64583</v>
      </c>
      <c r="B2684" s="3">
        <f>IFERROR(__xludf.DUMMYFUNCTION("""COMPUTED_VALUE"""),5504.3)</f>
        <v>5504.3</v>
      </c>
      <c r="C2684" s="3">
        <f>IFERROR(__xludf.DUMMYFUNCTION("""COMPUTED_VALUE"""),5542.65)</f>
        <v>5542.65</v>
      </c>
      <c r="D2684" s="3">
        <f>IFERROR(__xludf.DUMMYFUNCTION("""COMPUTED_VALUE"""),5479.85)</f>
        <v>5479.85</v>
      </c>
      <c r="E2684" s="3">
        <f>IFERROR(__xludf.DUMMYFUNCTION("""COMPUTED_VALUE"""),5532.05)</f>
        <v>5532.05</v>
      </c>
      <c r="F2684" s="3">
        <f>IFERROR(__xludf.DUMMYFUNCTION("""COMPUTED_VALUE"""),0.0)</f>
        <v>0</v>
      </c>
    </row>
    <row r="2685">
      <c r="A2685" s="7">
        <f>IFERROR(__xludf.DUMMYFUNCTION("""COMPUTED_VALUE"""),40701.645833333336)</f>
        <v>40701.64583</v>
      </c>
      <c r="B2685" s="3">
        <f>IFERROR(__xludf.DUMMYFUNCTION("""COMPUTED_VALUE"""),5509.15)</f>
        <v>5509.15</v>
      </c>
      <c r="C2685" s="3">
        <f>IFERROR(__xludf.DUMMYFUNCTION("""COMPUTED_VALUE"""),5570.1)</f>
        <v>5570.1</v>
      </c>
      <c r="D2685" s="3">
        <f>IFERROR(__xludf.DUMMYFUNCTION("""COMPUTED_VALUE"""),5507.8)</f>
        <v>5507.8</v>
      </c>
      <c r="E2685" s="3">
        <f>IFERROR(__xludf.DUMMYFUNCTION("""COMPUTED_VALUE"""),5556.15)</f>
        <v>5556.15</v>
      </c>
      <c r="F2685" s="3">
        <f>IFERROR(__xludf.DUMMYFUNCTION("""COMPUTED_VALUE"""),0.0)</f>
        <v>0</v>
      </c>
    </row>
    <row r="2686">
      <c r="A2686" s="7">
        <f>IFERROR(__xludf.DUMMYFUNCTION("""COMPUTED_VALUE"""),40702.645833333336)</f>
        <v>40702.64583</v>
      </c>
      <c r="B2686" s="3">
        <f>IFERROR(__xludf.DUMMYFUNCTION("""COMPUTED_VALUE"""),5535.25)</f>
        <v>5535.25</v>
      </c>
      <c r="C2686" s="3">
        <f>IFERROR(__xludf.DUMMYFUNCTION("""COMPUTED_VALUE"""),5556.6)</f>
        <v>5556.6</v>
      </c>
      <c r="D2686" s="3">
        <f>IFERROR(__xludf.DUMMYFUNCTION("""COMPUTED_VALUE"""),5514.9)</f>
        <v>5514.9</v>
      </c>
      <c r="E2686" s="3">
        <f>IFERROR(__xludf.DUMMYFUNCTION("""COMPUTED_VALUE"""),5526.85)</f>
        <v>5526.85</v>
      </c>
      <c r="F2686" s="3">
        <f>IFERROR(__xludf.DUMMYFUNCTION("""COMPUTED_VALUE"""),0.0)</f>
        <v>0</v>
      </c>
    </row>
    <row r="2687">
      <c r="A2687" s="7">
        <f>IFERROR(__xludf.DUMMYFUNCTION("""COMPUTED_VALUE"""),40703.645833333336)</f>
        <v>40703.64583</v>
      </c>
      <c r="B2687" s="3">
        <f>IFERROR(__xludf.DUMMYFUNCTION("""COMPUTED_VALUE"""),5523.55)</f>
        <v>5523.55</v>
      </c>
      <c r="C2687" s="3">
        <f>IFERROR(__xludf.DUMMYFUNCTION("""COMPUTED_VALUE"""),5540.1)</f>
        <v>5540.1</v>
      </c>
      <c r="D2687" s="3">
        <f>IFERROR(__xludf.DUMMYFUNCTION("""COMPUTED_VALUE"""),5502.05)</f>
        <v>5502.05</v>
      </c>
      <c r="E2687" s="3">
        <f>IFERROR(__xludf.DUMMYFUNCTION("""COMPUTED_VALUE"""),5521.05)</f>
        <v>5521.05</v>
      </c>
      <c r="F2687" s="3">
        <f>IFERROR(__xludf.DUMMYFUNCTION("""COMPUTED_VALUE"""),0.0)</f>
        <v>0</v>
      </c>
    </row>
    <row r="2688">
      <c r="A2688" s="7">
        <f>IFERROR(__xludf.DUMMYFUNCTION("""COMPUTED_VALUE"""),40704.645833333336)</f>
        <v>40704.64583</v>
      </c>
      <c r="B2688" s="3">
        <f>IFERROR(__xludf.DUMMYFUNCTION("""COMPUTED_VALUE"""),5518.05)</f>
        <v>5518.05</v>
      </c>
      <c r="C2688" s="3">
        <f>IFERROR(__xludf.DUMMYFUNCTION("""COMPUTED_VALUE"""),5521.45)</f>
        <v>5521.45</v>
      </c>
      <c r="D2688" s="3">
        <f>IFERROR(__xludf.DUMMYFUNCTION("""COMPUTED_VALUE"""),5457.45)</f>
        <v>5457.45</v>
      </c>
      <c r="E2688" s="3">
        <f>IFERROR(__xludf.DUMMYFUNCTION("""COMPUTED_VALUE"""),5485.8)</f>
        <v>5485.8</v>
      </c>
      <c r="F2688" s="3">
        <f>IFERROR(__xludf.DUMMYFUNCTION("""COMPUTED_VALUE"""),0.0)</f>
        <v>0</v>
      </c>
    </row>
    <row r="2689">
      <c r="A2689" s="7">
        <f>IFERROR(__xludf.DUMMYFUNCTION("""COMPUTED_VALUE"""),40707.645833333336)</f>
        <v>40707.64583</v>
      </c>
      <c r="B2689" s="3">
        <f>IFERROR(__xludf.DUMMYFUNCTION("""COMPUTED_VALUE"""),5469.85)</f>
        <v>5469.85</v>
      </c>
      <c r="C2689" s="3">
        <f>IFERROR(__xludf.DUMMYFUNCTION("""COMPUTED_VALUE"""),5496.7)</f>
        <v>5496.7</v>
      </c>
      <c r="D2689" s="3">
        <f>IFERROR(__xludf.DUMMYFUNCTION("""COMPUTED_VALUE"""),5436.95)</f>
        <v>5436.95</v>
      </c>
      <c r="E2689" s="3">
        <f>IFERROR(__xludf.DUMMYFUNCTION("""COMPUTED_VALUE"""),5482.8)</f>
        <v>5482.8</v>
      </c>
      <c r="F2689" s="3">
        <f>IFERROR(__xludf.DUMMYFUNCTION("""COMPUTED_VALUE"""),0.0)</f>
        <v>0</v>
      </c>
    </row>
    <row r="2690">
      <c r="A2690" s="7">
        <f>IFERROR(__xludf.DUMMYFUNCTION("""COMPUTED_VALUE"""),40708.645833333336)</f>
        <v>40708.64583</v>
      </c>
      <c r="B2690" s="3">
        <f>IFERROR(__xludf.DUMMYFUNCTION("""COMPUTED_VALUE"""),5485.6)</f>
        <v>5485.6</v>
      </c>
      <c r="C2690" s="3">
        <f>IFERROR(__xludf.DUMMYFUNCTION("""COMPUTED_VALUE"""),5520.15)</f>
        <v>5520.15</v>
      </c>
      <c r="D2690" s="3">
        <f>IFERROR(__xludf.DUMMYFUNCTION("""COMPUTED_VALUE"""),5484.2)</f>
        <v>5484.2</v>
      </c>
      <c r="E2690" s="3">
        <f>IFERROR(__xludf.DUMMYFUNCTION("""COMPUTED_VALUE"""),5500.5)</f>
        <v>5500.5</v>
      </c>
      <c r="F2690" s="3">
        <f>IFERROR(__xludf.DUMMYFUNCTION("""COMPUTED_VALUE"""),0.0)</f>
        <v>0</v>
      </c>
    </row>
    <row r="2691">
      <c r="A2691" s="7">
        <f>IFERROR(__xludf.DUMMYFUNCTION("""COMPUTED_VALUE"""),40709.645833333336)</f>
        <v>40709.64583</v>
      </c>
      <c r="B2691" s="3">
        <f>IFERROR(__xludf.DUMMYFUNCTION("""COMPUTED_VALUE"""),5494.45)</f>
        <v>5494.45</v>
      </c>
      <c r="C2691" s="3">
        <f>IFERROR(__xludf.DUMMYFUNCTION("""COMPUTED_VALUE"""),5499.35)</f>
        <v>5499.35</v>
      </c>
      <c r="D2691" s="3">
        <f>IFERROR(__xludf.DUMMYFUNCTION("""COMPUTED_VALUE"""),5438.95)</f>
        <v>5438.95</v>
      </c>
      <c r="E2691" s="3">
        <f>IFERROR(__xludf.DUMMYFUNCTION("""COMPUTED_VALUE"""),5447.5)</f>
        <v>5447.5</v>
      </c>
      <c r="F2691" s="3">
        <f>IFERROR(__xludf.DUMMYFUNCTION("""COMPUTED_VALUE"""),0.0)</f>
        <v>0</v>
      </c>
    </row>
    <row r="2692">
      <c r="A2692" s="7">
        <f>IFERROR(__xludf.DUMMYFUNCTION("""COMPUTED_VALUE"""),40710.645833333336)</f>
        <v>40710.64583</v>
      </c>
      <c r="B2692" s="3">
        <f>IFERROR(__xludf.DUMMYFUNCTION("""COMPUTED_VALUE"""),5419.65)</f>
        <v>5419.65</v>
      </c>
      <c r="C2692" s="3">
        <f>IFERROR(__xludf.DUMMYFUNCTION("""COMPUTED_VALUE"""),5447.5)</f>
        <v>5447.5</v>
      </c>
      <c r="D2692" s="3">
        <f>IFERROR(__xludf.DUMMYFUNCTION("""COMPUTED_VALUE"""),5389.8)</f>
        <v>5389.8</v>
      </c>
      <c r="E2692" s="3">
        <f>IFERROR(__xludf.DUMMYFUNCTION("""COMPUTED_VALUE"""),5396.75)</f>
        <v>5396.75</v>
      </c>
      <c r="F2692" s="3">
        <f>IFERROR(__xludf.DUMMYFUNCTION("""COMPUTED_VALUE"""),0.0)</f>
        <v>0</v>
      </c>
    </row>
    <row r="2693">
      <c r="A2693" s="7">
        <f>IFERROR(__xludf.DUMMYFUNCTION("""COMPUTED_VALUE"""),40711.645833333336)</f>
        <v>40711.64583</v>
      </c>
      <c r="B2693" s="3">
        <f>IFERROR(__xludf.DUMMYFUNCTION("""COMPUTED_VALUE"""),5412.5)</f>
        <v>5412.5</v>
      </c>
      <c r="C2693" s="3">
        <f>IFERROR(__xludf.DUMMYFUNCTION("""COMPUTED_VALUE"""),5421.15)</f>
        <v>5421.15</v>
      </c>
      <c r="D2693" s="3">
        <f>IFERROR(__xludf.DUMMYFUNCTION("""COMPUTED_VALUE"""),5355.85)</f>
        <v>5355.85</v>
      </c>
      <c r="E2693" s="3">
        <f>IFERROR(__xludf.DUMMYFUNCTION("""COMPUTED_VALUE"""),5366.4)</f>
        <v>5366.4</v>
      </c>
      <c r="F2693" s="3">
        <f>IFERROR(__xludf.DUMMYFUNCTION("""COMPUTED_VALUE"""),0.0)</f>
        <v>0</v>
      </c>
    </row>
    <row r="2694">
      <c r="A2694" s="7">
        <f>IFERROR(__xludf.DUMMYFUNCTION("""COMPUTED_VALUE"""),40714.645833333336)</f>
        <v>40714.64583</v>
      </c>
      <c r="B2694" s="3">
        <f>IFERROR(__xludf.DUMMYFUNCTION("""COMPUTED_VALUE"""),5372.2)</f>
        <v>5372.2</v>
      </c>
      <c r="C2694" s="3">
        <f>IFERROR(__xludf.DUMMYFUNCTION("""COMPUTED_VALUE"""),5377.4)</f>
        <v>5377.4</v>
      </c>
      <c r="D2694" s="3">
        <f>IFERROR(__xludf.DUMMYFUNCTION("""COMPUTED_VALUE"""),5195.9)</f>
        <v>5195.9</v>
      </c>
      <c r="E2694" s="3">
        <f>IFERROR(__xludf.DUMMYFUNCTION("""COMPUTED_VALUE"""),5257.9)</f>
        <v>5257.9</v>
      </c>
      <c r="F2694" s="3">
        <f>IFERROR(__xludf.DUMMYFUNCTION("""COMPUTED_VALUE"""),0.0)</f>
        <v>0</v>
      </c>
    </row>
    <row r="2695">
      <c r="A2695" s="7">
        <f>IFERROR(__xludf.DUMMYFUNCTION("""COMPUTED_VALUE"""),40715.645833333336)</f>
        <v>40715.64583</v>
      </c>
      <c r="B2695" s="3">
        <f>IFERROR(__xludf.DUMMYFUNCTION("""COMPUTED_VALUE"""),5280.8)</f>
        <v>5280.8</v>
      </c>
      <c r="C2695" s="3">
        <f>IFERROR(__xludf.DUMMYFUNCTION("""COMPUTED_VALUE"""),5322.45)</f>
        <v>5322.45</v>
      </c>
      <c r="D2695" s="3">
        <f>IFERROR(__xludf.DUMMYFUNCTION("""COMPUTED_VALUE"""),5257.0)</f>
        <v>5257</v>
      </c>
      <c r="E2695" s="3">
        <f>IFERROR(__xludf.DUMMYFUNCTION("""COMPUTED_VALUE"""),5275.85)</f>
        <v>5275.85</v>
      </c>
      <c r="F2695" s="3">
        <f>IFERROR(__xludf.DUMMYFUNCTION("""COMPUTED_VALUE"""),0.0)</f>
        <v>0</v>
      </c>
    </row>
    <row r="2696">
      <c r="A2696" s="7">
        <f>IFERROR(__xludf.DUMMYFUNCTION("""COMPUTED_VALUE"""),40716.645833333336)</f>
        <v>40716.64583</v>
      </c>
      <c r="B2696" s="3">
        <f>IFERROR(__xludf.DUMMYFUNCTION("""COMPUTED_VALUE"""),5304.65)</f>
        <v>5304.65</v>
      </c>
      <c r="C2696" s="3">
        <f>IFERROR(__xludf.DUMMYFUNCTION("""COMPUTED_VALUE"""),5310.5)</f>
        <v>5310.5</v>
      </c>
      <c r="D2696" s="3">
        <f>IFERROR(__xludf.DUMMYFUNCTION("""COMPUTED_VALUE"""),5262.5)</f>
        <v>5262.5</v>
      </c>
      <c r="E2696" s="3">
        <f>IFERROR(__xludf.DUMMYFUNCTION("""COMPUTED_VALUE"""),5278.3)</f>
        <v>5278.3</v>
      </c>
      <c r="F2696" s="3">
        <f>IFERROR(__xludf.DUMMYFUNCTION("""COMPUTED_VALUE"""),0.0)</f>
        <v>0</v>
      </c>
    </row>
    <row r="2697">
      <c r="A2697" s="7">
        <f>IFERROR(__xludf.DUMMYFUNCTION("""COMPUTED_VALUE"""),40717.645833333336)</f>
        <v>40717.64583</v>
      </c>
      <c r="B2697" s="3">
        <f>IFERROR(__xludf.DUMMYFUNCTION("""COMPUTED_VALUE"""),5269.1)</f>
        <v>5269.1</v>
      </c>
      <c r="C2697" s="3">
        <f>IFERROR(__xludf.DUMMYFUNCTION("""COMPUTED_VALUE"""),5330.6)</f>
        <v>5330.6</v>
      </c>
      <c r="D2697" s="3">
        <f>IFERROR(__xludf.DUMMYFUNCTION("""COMPUTED_VALUE"""),5252.25)</f>
        <v>5252.25</v>
      </c>
      <c r="E2697" s="3">
        <f>IFERROR(__xludf.DUMMYFUNCTION("""COMPUTED_VALUE"""),5320.0)</f>
        <v>5320</v>
      </c>
      <c r="F2697" s="3">
        <f>IFERROR(__xludf.DUMMYFUNCTION("""COMPUTED_VALUE"""),0.0)</f>
        <v>0</v>
      </c>
    </row>
    <row r="2698">
      <c r="A2698" s="7">
        <f>IFERROR(__xludf.DUMMYFUNCTION("""COMPUTED_VALUE"""),40718.645833333336)</f>
        <v>40718.64583</v>
      </c>
      <c r="B2698" s="3">
        <f>IFERROR(__xludf.DUMMYFUNCTION("""COMPUTED_VALUE"""),5343.4)</f>
        <v>5343.4</v>
      </c>
      <c r="C2698" s="3">
        <f>IFERROR(__xludf.DUMMYFUNCTION("""COMPUTED_VALUE"""),5477.85)</f>
        <v>5477.85</v>
      </c>
      <c r="D2698" s="3">
        <f>IFERROR(__xludf.DUMMYFUNCTION("""COMPUTED_VALUE"""),5343.4)</f>
        <v>5343.4</v>
      </c>
      <c r="E2698" s="3">
        <f>IFERROR(__xludf.DUMMYFUNCTION("""COMPUTED_VALUE"""),5471.25)</f>
        <v>5471.25</v>
      </c>
      <c r="F2698" s="3">
        <f>IFERROR(__xludf.DUMMYFUNCTION("""COMPUTED_VALUE"""),0.0)</f>
        <v>0</v>
      </c>
    </row>
    <row r="2699">
      <c r="A2699" s="7">
        <f>IFERROR(__xludf.DUMMYFUNCTION("""COMPUTED_VALUE"""),40721.645833333336)</f>
        <v>40721.64583</v>
      </c>
      <c r="B2699" s="3">
        <f>IFERROR(__xludf.DUMMYFUNCTION("""COMPUTED_VALUE"""),5441.2)</f>
        <v>5441.2</v>
      </c>
      <c r="C2699" s="3">
        <f>IFERROR(__xludf.DUMMYFUNCTION("""COMPUTED_VALUE"""),5552.65)</f>
        <v>5552.65</v>
      </c>
      <c r="D2699" s="3">
        <f>IFERROR(__xludf.DUMMYFUNCTION("""COMPUTED_VALUE"""),5434.25)</f>
        <v>5434.25</v>
      </c>
      <c r="E2699" s="3">
        <f>IFERROR(__xludf.DUMMYFUNCTION("""COMPUTED_VALUE"""),5526.6)</f>
        <v>5526.6</v>
      </c>
      <c r="F2699" s="3">
        <f>IFERROR(__xludf.DUMMYFUNCTION("""COMPUTED_VALUE"""),0.0)</f>
        <v>0</v>
      </c>
    </row>
    <row r="2700">
      <c r="A2700" s="7">
        <f>IFERROR(__xludf.DUMMYFUNCTION("""COMPUTED_VALUE"""),40722.645833333336)</f>
        <v>40722.64583</v>
      </c>
      <c r="B2700" s="3">
        <f>IFERROR(__xludf.DUMMYFUNCTION("""COMPUTED_VALUE"""),5548.85)</f>
        <v>5548.85</v>
      </c>
      <c r="C2700" s="3">
        <f>IFERROR(__xludf.DUMMYFUNCTION("""COMPUTED_VALUE"""),5558.3)</f>
        <v>5558.3</v>
      </c>
      <c r="D2700" s="3">
        <f>IFERROR(__xludf.DUMMYFUNCTION("""COMPUTED_VALUE"""),5496.35)</f>
        <v>5496.35</v>
      </c>
      <c r="E2700" s="3">
        <f>IFERROR(__xludf.DUMMYFUNCTION("""COMPUTED_VALUE"""),5545.3)</f>
        <v>5545.3</v>
      </c>
      <c r="F2700" s="3">
        <f>IFERROR(__xludf.DUMMYFUNCTION("""COMPUTED_VALUE"""),0.0)</f>
        <v>0</v>
      </c>
    </row>
    <row r="2701">
      <c r="A2701" s="7">
        <f>IFERROR(__xludf.DUMMYFUNCTION("""COMPUTED_VALUE"""),40723.645833333336)</f>
        <v>40723.64583</v>
      </c>
      <c r="B2701" s="3">
        <f>IFERROR(__xludf.DUMMYFUNCTION("""COMPUTED_VALUE"""),5566.5)</f>
        <v>5566.5</v>
      </c>
      <c r="C2701" s="3">
        <f>IFERROR(__xludf.DUMMYFUNCTION("""COMPUTED_VALUE"""),5608.65)</f>
        <v>5608.65</v>
      </c>
      <c r="D2701" s="3">
        <f>IFERROR(__xludf.DUMMYFUNCTION("""COMPUTED_VALUE"""),5566.5)</f>
        <v>5566.5</v>
      </c>
      <c r="E2701" s="3">
        <f>IFERROR(__xludf.DUMMYFUNCTION("""COMPUTED_VALUE"""),5600.45)</f>
        <v>5600.45</v>
      </c>
      <c r="F2701" s="3">
        <f>IFERROR(__xludf.DUMMYFUNCTION("""COMPUTED_VALUE"""),0.0)</f>
        <v>0</v>
      </c>
    </row>
    <row r="2702">
      <c r="A2702" s="7">
        <f>IFERROR(__xludf.DUMMYFUNCTION("""COMPUTED_VALUE"""),40724.645833333336)</f>
        <v>40724.64583</v>
      </c>
      <c r="B2702" s="3">
        <f>IFERROR(__xludf.DUMMYFUNCTION("""COMPUTED_VALUE"""),5614.5)</f>
        <v>5614.5</v>
      </c>
      <c r="C2702" s="3">
        <f>IFERROR(__xludf.DUMMYFUNCTION("""COMPUTED_VALUE"""),5657.9)</f>
        <v>5657.9</v>
      </c>
      <c r="D2702" s="3">
        <f>IFERROR(__xludf.DUMMYFUNCTION("""COMPUTED_VALUE"""),5606.1)</f>
        <v>5606.1</v>
      </c>
      <c r="E2702" s="3">
        <f>IFERROR(__xludf.DUMMYFUNCTION("""COMPUTED_VALUE"""),5647.4)</f>
        <v>5647.4</v>
      </c>
      <c r="F2702" s="3">
        <f>IFERROR(__xludf.DUMMYFUNCTION("""COMPUTED_VALUE"""),0.0)</f>
        <v>0</v>
      </c>
    </row>
    <row r="2703">
      <c r="A2703" s="7">
        <f>IFERROR(__xludf.DUMMYFUNCTION("""COMPUTED_VALUE"""),40725.645833333336)</f>
        <v>40725.64583</v>
      </c>
      <c r="B2703" s="3">
        <f>IFERROR(__xludf.DUMMYFUNCTION("""COMPUTED_VALUE"""),5705.75)</f>
        <v>5705.75</v>
      </c>
      <c r="C2703" s="3">
        <f>IFERROR(__xludf.DUMMYFUNCTION("""COMPUTED_VALUE"""),5705.8)</f>
        <v>5705.8</v>
      </c>
      <c r="D2703" s="3">
        <f>IFERROR(__xludf.DUMMYFUNCTION("""COMPUTED_VALUE"""),5609.75)</f>
        <v>5609.75</v>
      </c>
      <c r="E2703" s="3">
        <f>IFERROR(__xludf.DUMMYFUNCTION("""COMPUTED_VALUE"""),5627.2)</f>
        <v>5627.2</v>
      </c>
      <c r="F2703" s="3">
        <f>IFERROR(__xludf.DUMMYFUNCTION("""COMPUTED_VALUE"""),0.0)</f>
        <v>0</v>
      </c>
    </row>
    <row r="2704">
      <c r="A2704" s="7">
        <f>IFERROR(__xludf.DUMMYFUNCTION("""COMPUTED_VALUE"""),40728.645833333336)</f>
        <v>40728.64583</v>
      </c>
      <c r="B2704" s="3">
        <f>IFERROR(__xludf.DUMMYFUNCTION("""COMPUTED_VALUE"""),5679.55)</f>
        <v>5679.55</v>
      </c>
      <c r="C2704" s="3">
        <f>IFERROR(__xludf.DUMMYFUNCTION("""COMPUTED_VALUE"""),5679.65)</f>
        <v>5679.65</v>
      </c>
      <c r="D2704" s="3">
        <f>IFERROR(__xludf.DUMMYFUNCTION("""COMPUTED_VALUE"""),5633.1)</f>
        <v>5633.1</v>
      </c>
      <c r="E2704" s="3">
        <f>IFERROR(__xludf.DUMMYFUNCTION("""COMPUTED_VALUE"""),5650.5)</f>
        <v>5650.5</v>
      </c>
      <c r="F2704" s="3">
        <f>IFERROR(__xludf.DUMMYFUNCTION("""COMPUTED_VALUE"""),0.0)</f>
        <v>0</v>
      </c>
    </row>
    <row r="2705">
      <c r="A2705" s="7">
        <f>IFERROR(__xludf.DUMMYFUNCTION("""COMPUTED_VALUE"""),40729.645833333336)</f>
        <v>40729.64583</v>
      </c>
      <c r="B2705" s="3">
        <f>IFERROR(__xludf.DUMMYFUNCTION("""COMPUTED_VALUE"""),5659.85)</f>
        <v>5659.85</v>
      </c>
      <c r="C2705" s="3">
        <f>IFERROR(__xludf.DUMMYFUNCTION("""COMPUTED_VALUE"""),5659.85)</f>
        <v>5659.85</v>
      </c>
      <c r="D2705" s="3">
        <f>IFERROR(__xludf.DUMMYFUNCTION("""COMPUTED_VALUE"""),5612.3)</f>
        <v>5612.3</v>
      </c>
      <c r="E2705" s="3">
        <f>IFERROR(__xludf.DUMMYFUNCTION("""COMPUTED_VALUE"""),5632.1)</f>
        <v>5632.1</v>
      </c>
      <c r="F2705" s="3">
        <f>IFERROR(__xludf.DUMMYFUNCTION("""COMPUTED_VALUE"""),0.0)</f>
        <v>0</v>
      </c>
    </row>
    <row r="2706">
      <c r="A2706" s="7">
        <f>IFERROR(__xludf.DUMMYFUNCTION("""COMPUTED_VALUE"""),40730.645833333336)</f>
        <v>40730.64583</v>
      </c>
      <c r="B2706" s="3">
        <f>IFERROR(__xludf.DUMMYFUNCTION("""COMPUTED_VALUE"""),5622.7)</f>
        <v>5622.7</v>
      </c>
      <c r="C2706" s="3">
        <f>IFERROR(__xludf.DUMMYFUNCTION("""COMPUTED_VALUE"""),5655.4)</f>
        <v>5655.4</v>
      </c>
      <c r="D2706" s="3">
        <f>IFERROR(__xludf.DUMMYFUNCTION("""COMPUTED_VALUE"""),5610.75)</f>
        <v>5610.75</v>
      </c>
      <c r="E2706" s="3">
        <f>IFERROR(__xludf.DUMMYFUNCTION("""COMPUTED_VALUE"""),5625.45)</f>
        <v>5625.45</v>
      </c>
      <c r="F2706" s="3">
        <f>IFERROR(__xludf.DUMMYFUNCTION("""COMPUTED_VALUE"""),0.0)</f>
        <v>0</v>
      </c>
    </row>
    <row r="2707">
      <c r="A2707" s="7">
        <f>IFERROR(__xludf.DUMMYFUNCTION("""COMPUTED_VALUE"""),40731.645833333336)</f>
        <v>40731.64583</v>
      </c>
      <c r="B2707" s="3">
        <f>IFERROR(__xludf.DUMMYFUNCTION("""COMPUTED_VALUE"""),5633.35)</f>
        <v>5633.35</v>
      </c>
      <c r="C2707" s="3">
        <f>IFERROR(__xludf.DUMMYFUNCTION("""COMPUTED_VALUE"""),5737.15)</f>
        <v>5737.15</v>
      </c>
      <c r="D2707" s="3">
        <f>IFERROR(__xludf.DUMMYFUNCTION("""COMPUTED_VALUE"""),5632.95)</f>
        <v>5632.95</v>
      </c>
      <c r="E2707" s="3">
        <f>IFERROR(__xludf.DUMMYFUNCTION("""COMPUTED_VALUE"""),5728.95)</f>
        <v>5728.95</v>
      </c>
      <c r="F2707" s="3">
        <f>IFERROR(__xludf.DUMMYFUNCTION("""COMPUTED_VALUE"""),0.0)</f>
        <v>0</v>
      </c>
    </row>
    <row r="2708">
      <c r="A2708" s="7">
        <f>IFERROR(__xludf.DUMMYFUNCTION("""COMPUTED_VALUE"""),40732.645833333336)</f>
        <v>40732.64583</v>
      </c>
      <c r="B2708" s="3">
        <f>IFERROR(__xludf.DUMMYFUNCTION("""COMPUTED_VALUE"""),5734.65)</f>
        <v>5734.65</v>
      </c>
      <c r="C2708" s="3">
        <f>IFERROR(__xludf.DUMMYFUNCTION("""COMPUTED_VALUE"""),5740.4)</f>
        <v>5740.4</v>
      </c>
      <c r="D2708" s="3">
        <f>IFERROR(__xludf.DUMMYFUNCTION("""COMPUTED_VALUE"""),5651.05)</f>
        <v>5651.05</v>
      </c>
      <c r="E2708" s="3">
        <f>IFERROR(__xludf.DUMMYFUNCTION("""COMPUTED_VALUE"""),5660.65)</f>
        <v>5660.65</v>
      </c>
      <c r="F2708" s="3">
        <f>IFERROR(__xludf.DUMMYFUNCTION("""COMPUTED_VALUE"""),0.0)</f>
        <v>0</v>
      </c>
    </row>
    <row r="2709">
      <c r="A2709" s="7">
        <f>IFERROR(__xludf.DUMMYFUNCTION("""COMPUTED_VALUE"""),40735.645833333336)</f>
        <v>40735.64583</v>
      </c>
      <c r="B2709" s="3">
        <f>IFERROR(__xludf.DUMMYFUNCTION("""COMPUTED_VALUE"""),5648.05)</f>
        <v>5648.05</v>
      </c>
      <c r="C2709" s="3">
        <f>IFERROR(__xludf.DUMMYFUNCTION("""COMPUTED_VALUE"""),5652.9)</f>
        <v>5652.9</v>
      </c>
      <c r="D2709" s="3">
        <f>IFERROR(__xludf.DUMMYFUNCTION("""COMPUTED_VALUE"""),5601.7)</f>
        <v>5601.7</v>
      </c>
      <c r="E2709" s="3">
        <f>IFERROR(__xludf.DUMMYFUNCTION("""COMPUTED_VALUE"""),5616.1)</f>
        <v>5616.1</v>
      </c>
      <c r="F2709" s="3">
        <f>IFERROR(__xludf.DUMMYFUNCTION("""COMPUTED_VALUE"""),0.0)</f>
        <v>0</v>
      </c>
    </row>
    <row r="2710">
      <c r="A2710" s="7">
        <f>IFERROR(__xludf.DUMMYFUNCTION("""COMPUTED_VALUE"""),40736.645833333336)</f>
        <v>40736.64583</v>
      </c>
      <c r="B2710" s="3">
        <f>IFERROR(__xludf.DUMMYFUNCTION("""COMPUTED_VALUE"""),5556.9)</f>
        <v>5556.9</v>
      </c>
      <c r="C2710" s="3">
        <f>IFERROR(__xludf.DUMMYFUNCTION("""COMPUTED_VALUE"""),5580.25)</f>
        <v>5580.25</v>
      </c>
      <c r="D2710" s="3">
        <f>IFERROR(__xludf.DUMMYFUNCTION("""COMPUTED_VALUE"""),5496.95)</f>
        <v>5496.95</v>
      </c>
      <c r="E2710" s="3">
        <f>IFERROR(__xludf.DUMMYFUNCTION("""COMPUTED_VALUE"""),5526.15)</f>
        <v>5526.15</v>
      </c>
      <c r="F2710" s="3">
        <f>IFERROR(__xludf.DUMMYFUNCTION("""COMPUTED_VALUE"""),0.0)</f>
        <v>0</v>
      </c>
    </row>
    <row r="2711">
      <c r="A2711" s="7">
        <f>IFERROR(__xludf.DUMMYFUNCTION("""COMPUTED_VALUE"""),40737.645833333336)</f>
        <v>40737.64583</v>
      </c>
      <c r="B2711" s="3">
        <f>IFERROR(__xludf.DUMMYFUNCTION("""COMPUTED_VALUE"""),5542.05)</f>
        <v>5542.05</v>
      </c>
      <c r="C2711" s="3">
        <f>IFERROR(__xludf.DUMMYFUNCTION("""COMPUTED_VALUE"""),5596.15)</f>
        <v>5596.15</v>
      </c>
      <c r="D2711" s="3">
        <f>IFERROR(__xludf.DUMMYFUNCTION("""COMPUTED_VALUE"""),5541.4)</f>
        <v>5541.4</v>
      </c>
      <c r="E2711" s="3">
        <f>IFERROR(__xludf.DUMMYFUNCTION("""COMPUTED_VALUE"""),5585.45)</f>
        <v>5585.45</v>
      </c>
      <c r="F2711" s="3">
        <f>IFERROR(__xludf.DUMMYFUNCTION("""COMPUTED_VALUE"""),0.0)</f>
        <v>0</v>
      </c>
    </row>
    <row r="2712">
      <c r="A2712" s="7">
        <f>IFERROR(__xludf.DUMMYFUNCTION("""COMPUTED_VALUE"""),40738.645833333336)</f>
        <v>40738.64583</v>
      </c>
      <c r="B2712" s="3">
        <f>IFERROR(__xludf.DUMMYFUNCTION("""COMPUTED_VALUE"""),5569.0)</f>
        <v>5569</v>
      </c>
      <c r="C2712" s="3">
        <f>IFERROR(__xludf.DUMMYFUNCTION("""COMPUTED_VALUE"""),5653.95)</f>
        <v>5653.95</v>
      </c>
      <c r="D2712" s="3">
        <f>IFERROR(__xludf.DUMMYFUNCTION("""COMPUTED_VALUE"""),5541.7)</f>
        <v>5541.7</v>
      </c>
      <c r="E2712" s="3">
        <f>IFERROR(__xludf.DUMMYFUNCTION("""COMPUTED_VALUE"""),5599.8)</f>
        <v>5599.8</v>
      </c>
      <c r="F2712" s="3">
        <f>IFERROR(__xludf.DUMMYFUNCTION("""COMPUTED_VALUE"""),0.0)</f>
        <v>0</v>
      </c>
    </row>
    <row r="2713">
      <c r="A2713" s="7">
        <f>IFERROR(__xludf.DUMMYFUNCTION("""COMPUTED_VALUE"""),40739.645833333336)</f>
        <v>40739.64583</v>
      </c>
      <c r="B2713" s="3">
        <f>IFERROR(__xludf.DUMMYFUNCTION("""COMPUTED_VALUE"""),5602.95)</f>
        <v>5602.95</v>
      </c>
      <c r="C2713" s="3">
        <f>IFERROR(__xludf.DUMMYFUNCTION("""COMPUTED_VALUE"""),5631.7)</f>
        <v>5631.7</v>
      </c>
      <c r="D2713" s="3">
        <f>IFERROR(__xludf.DUMMYFUNCTION("""COMPUTED_VALUE"""),5562.75)</f>
        <v>5562.75</v>
      </c>
      <c r="E2713" s="3">
        <f>IFERROR(__xludf.DUMMYFUNCTION("""COMPUTED_VALUE"""),5581.1)</f>
        <v>5581.1</v>
      </c>
      <c r="F2713" s="3">
        <f>IFERROR(__xludf.DUMMYFUNCTION("""COMPUTED_VALUE"""),0.0)</f>
        <v>0</v>
      </c>
    </row>
    <row r="2714">
      <c r="A2714" s="7">
        <f>IFERROR(__xludf.DUMMYFUNCTION("""COMPUTED_VALUE"""),40742.645833333336)</f>
        <v>40742.64583</v>
      </c>
      <c r="B2714" s="3">
        <f>IFERROR(__xludf.DUMMYFUNCTION("""COMPUTED_VALUE"""),5581.75)</f>
        <v>5581.75</v>
      </c>
      <c r="C2714" s="3">
        <f>IFERROR(__xludf.DUMMYFUNCTION("""COMPUTED_VALUE"""),5596.6)</f>
        <v>5596.6</v>
      </c>
      <c r="D2714" s="3">
        <f>IFERROR(__xludf.DUMMYFUNCTION("""COMPUTED_VALUE"""),5550.95)</f>
        <v>5550.95</v>
      </c>
      <c r="E2714" s="3">
        <f>IFERROR(__xludf.DUMMYFUNCTION("""COMPUTED_VALUE"""),5567.05)</f>
        <v>5567.05</v>
      </c>
      <c r="F2714" s="3">
        <f>IFERROR(__xludf.DUMMYFUNCTION("""COMPUTED_VALUE"""),0.0)</f>
        <v>0</v>
      </c>
    </row>
    <row r="2715">
      <c r="A2715" s="7">
        <f>IFERROR(__xludf.DUMMYFUNCTION("""COMPUTED_VALUE"""),40743.645833333336)</f>
        <v>40743.64583</v>
      </c>
      <c r="B2715" s="3">
        <f>IFERROR(__xludf.DUMMYFUNCTION("""COMPUTED_VALUE"""),5569.85)</f>
        <v>5569.85</v>
      </c>
      <c r="C2715" s="3">
        <f>IFERROR(__xludf.DUMMYFUNCTION("""COMPUTED_VALUE"""),5627.65)</f>
        <v>5627.65</v>
      </c>
      <c r="D2715" s="3">
        <f>IFERROR(__xludf.DUMMYFUNCTION("""COMPUTED_VALUE"""),5557.2)</f>
        <v>5557.2</v>
      </c>
      <c r="E2715" s="3">
        <f>IFERROR(__xludf.DUMMYFUNCTION("""COMPUTED_VALUE"""),5613.55)</f>
        <v>5613.55</v>
      </c>
      <c r="F2715" s="3">
        <f>IFERROR(__xludf.DUMMYFUNCTION("""COMPUTED_VALUE"""),0.0)</f>
        <v>0</v>
      </c>
    </row>
    <row r="2716">
      <c r="A2716" s="7">
        <f>IFERROR(__xludf.DUMMYFUNCTION("""COMPUTED_VALUE"""),40744.645833333336)</f>
        <v>40744.64583</v>
      </c>
      <c r="B2716" s="3">
        <f>IFERROR(__xludf.DUMMYFUNCTION("""COMPUTED_VALUE"""),5642.05)</f>
        <v>5642.05</v>
      </c>
      <c r="C2716" s="3">
        <f>IFERROR(__xludf.DUMMYFUNCTION("""COMPUTED_VALUE"""),5645.4)</f>
        <v>5645.4</v>
      </c>
      <c r="D2716" s="3">
        <f>IFERROR(__xludf.DUMMYFUNCTION("""COMPUTED_VALUE"""),5555.1)</f>
        <v>5555.1</v>
      </c>
      <c r="E2716" s="3">
        <f>IFERROR(__xludf.DUMMYFUNCTION("""COMPUTED_VALUE"""),5567.05)</f>
        <v>5567.05</v>
      </c>
      <c r="F2716" s="3">
        <f>IFERROR(__xludf.DUMMYFUNCTION("""COMPUTED_VALUE"""),0.0)</f>
        <v>0</v>
      </c>
    </row>
    <row r="2717">
      <c r="A2717" s="7">
        <f>IFERROR(__xludf.DUMMYFUNCTION("""COMPUTED_VALUE"""),40745.645833333336)</f>
        <v>40745.64583</v>
      </c>
      <c r="B2717" s="3">
        <f>IFERROR(__xludf.DUMMYFUNCTION("""COMPUTED_VALUE"""),5554.6)</f>
        <v>5554.6</v>
      </c>
      <c r="C2717" s="3">
        <f>IFERROR(__xludf.DUMMYFUNCTION("""COMPUTED_VALUE"""),5578.9)</f>
        <v>5578.9</v>
      </c>
      <c r="D2717" s="3">
        <f>IFERROR(__xludf.DUMMYFUNCTION("""COMPUTED_VALUE"""),5532.7)</f>
        <v>5532.7</v>
      </c>
      <c r="E2717" s="3">
        <f>IFERROR(__xludf.DUMMYFUNCTION("""COMPUTED_VALUE"""),5541.6)</f>
        <v>5541.6</v>
      </c>
      <c r="F2717" s="3">
        <f>IFERROR(__xludf.DUMMYFUNCTION("""COMPUTED_VALUE"""),0.0)</f>
        <v>0</v>
      </c>
    </row>
    <row r="2718">
      <c r="A2718" s="7">
        <f>IFERROR(__xludf.DUMMYFUNCTION("""COMPUTED_VALUE"""),40746.645833333336)</f>
        <v>40746.64583</v>
      </c>
      <c r="B2718" s="3">
        <f>IFERROR(__xludf.DUMMYFUNCTION("""COMPUTED_VALUE"""),5576.95)</f>
        <v>5576.95</v>
      </c>
      <c r="C2718" s="3">
        <f>IFERROR(__xludf.DUMMYFUNCTION("""COMPUTED_VALUE"""),5642.2)</f>
        <v>5642.2</v>
      </c>
      <c r="D2718" s="3">
        <f>IFERROR(__xludf.DUMMYFUNCTION("""COMPUTED_VALUE"""),5567.1)</f>
        <v>5567.1</v>
      </c>
      <c r="E2718" s="3">
        <f>IFERROR(__xludf.DUMMYFUNCTION("""COMPUTED_VALUE"""),5633.95)</f>
        <v>5633.95</v>
      </c>
      <c r="F2718" s="3">
        <f>IFERROR(__xludf.DUMMYFUNCTION("""COMPUTED_VALUE"""),0.0)</f>
        <v>0</v>
      </c>
    </row>
    <row r="2719">
      <c r="A2719" s="7">
        <f>IFERROR(__xludf.DUMMYFUNCTION("""COMPUTED_VALUE"""),40749.645833333336)</f>
        <v>40749.64583</v>
      </c>
      <c r="B2719" s="3">
        <f>IFERROR(__xludf.DUMMYFUNCTION("""COMPUTED_VALUE"""),5633.8)</f>
        <v>5633.8</v>
      </c>
      <c r="C2719" s="3">
        <f>IFERROR(__xludf.DUMMYFUNCTION("""COMPUTED_VALUE"""),5700.55)</f>
        <v>5700.55</v>
      </c>
      <c r="D2719" s="3">
        <f>IFERROR(__xludf.DUMMYFUNCTION("""COMPUTED_VALUE"""),5616.7)</f>
        <v>5616.7</v>
      </c>
      <c r="E2719" s="3">
        <f>IFERROR(__xludf.DUMMYFUNCTION("""COMPUTED_VALUE"""),5680.3)</f>
        <v>5680.3</v>
      </c>
      <c r="F2719" s="3">
        <f>IFERROR(__xludf.DUMMYFUNCTION("""COMPUTED_VALUE"""),0.0)</f>
        <v>0</v>
      </c>
    </row>
    <row r="2720">
      <c r="A2720" s="7">
        <f>IFERROR(__xludf.DUMMYFUNCTION("""COMPUTED_VALUE"""),40750.645833333336)</f>
        <v>40750.64583</v>
      </c>
      <c r="B2720" s="3">
        <f>IFERROR(__xludf.DUMMYFUNCTION("""COMPUTED_VALUE"""),5688.45)</f>
        <v>5688.45</v>
      </c>
      <c r="C2720" s="3">
        <f>IFERROR(__xludf.DUMMYFUNCTION("""COMPUTED_VALUE"""),5702.25)</f>
        <v>5702.25</v>
      </c>
      <c r="D2720" s="3">
        <f>IFERROR(__xludf.DUMMYFUNCTION("""COMPUTED_VALUE"""),5560.15)</f>
        <v>5560.15</v>
      </c>
      <c r="E2720" s="3">
        <f>IFERROR(__xludf.DUMMYFUNCTION("""COMPUTED_VALUE"""),5574.85)</f>
        <v>5574.85</v>
      </c>
      <c r="F2720" s="3">
        <f>IFERROR(__xludf.DUMMYFUNCTION("""COMPUTED_VALUE"""),0.0)</f>
        <v>0</v>
      </c>
    </row>
    <row r="2721">
      <c r="A2721" s="7">
        <f>IFERROR(__xludf.DUMMYFUNCTION("""COMPUTED_VALUE"""),40751.645833333336)</f>
        <v>40751.64583</v>
      </c>
      <c r="B2721" s="3">
        <f>IFERROR(__xludf.DUMMYFUNCTION("""COMPUTED_VALUE"""),5588.55)</f>
        <v>5588.55</v>
      </c>
      <c r="C2721" s="3">
        <f>IFERROR(__xludf.DUMMYFUNCTION("""COMPUTED_VALUE"""),5591.7)</f>
        <v>5591.7</v>
      </c>
      <c r="D2721" s="3">
        <f>IFERROR(__xludf.DUMMYFUNCTION("""COMPUTED_VALUE"""),5521.5)</f>
        <v>5521.5</v>
      </c>
      <c r="E2721" s="3">
        <f>IFERROR(__xludf.DUMMYFUNCTION("""COMPUTED_VALUE"""),5546.8)</f>
        <v>5546.8</v>
      </c>
      <c r="F2721" s="3">
        <f>IFERROR(__xludf.DUMMYFUNCTION("""COMPUTED_VALUE"""),0.0)</f>
        <v>0</v>
      </c>
    </row>
    <row r="2722">
      <c r="A2722" s="7">
        <f>IFERROR(__xludf.DUMMYFUNCTION("""COMPUTED_VALUE"""),40752.645833333336)</f>
        <v>40752.64583</v>
      </c>
      <c r="B2722" s="3">
        <f>IFERROR(__xludf.DUMMYFUNCTION("""COMPUTED_VALUE"""),5492.4)</f>
        <v>5492.4</v>
      </c>
      <c r="C2722" s="3">
        <f>IFERROR(__xludf.DUMMYFUNCTION("""COMPUTED_VALUE"""),5512.1)</f>
        <v>5512.1</v>
      </c>
      <c r="D2722" s="3">
        <f>IFERROR(__xludf.DUMMYFUNCTION("""COMPUTED_VALUE"""),5475.65)</f>
        <v>5475.65</v>
      </c>
      <c r="E2722" s="3">
        <f>IFERROR(__xludf.DUMMYFUNCTION("""COMPUTED_VALUE"""),5487.75)</f>
        <v>5487.75</v>
      </c>
      <c r="F2722" s="3">
        <f>IFERROR(__xludf.DUMMYFUNCTION("""COMPUTED_VALUE"""),0.0)</f>
        <v>0</v>
      </c>
    </row>
    <row r="2723">
      <c r="A2723" s="7">
        <f>IFERROR(__xludf.DUMMYFUNCTION("""COMPUTED_VALUE"""),40753.645833333336)</f>
        <v>40753.64583</v>
      </c>
      <c r="B2723" s="3">
        <f>IFERROR(__xludf.DUMMYFUNCTION("""COMPUTED_VALUE"""),5479.0)</f>
        <v>5479</v>
      </c>
      <c r="C2723" s="3">
        <f>IFERROR(__xludf.DUMMYFUNCTION("""COMPUTED_VALUE"""),5520.3)</f>
        <v>5520.3</v>
      </c>
      <c r="D2723" s="3">
        <f>IFERROR(__xludf.DUMMYFUNCTION("""COMPUTED_VALUE"""),5453.95)</f>
        <v>5453.95</v>
      </c>
      <c r="E2723" s="3">
        <f>IFERROR(__xludf.DUMMYFUNCTION("""COMPUTED_VALUE"""),5482.0)</f>
        <v>5482</v>
      </c>
      <c r="F2723" s="3">
        <f>IFERROR(__xludf.DUMMYFUNCTION("""COMPUTED_VALUE"""),0.0)</f>
        <v>0</v>
      </c>
    </row>
    <row r="2724">
      <c r="A2724" s="7">
        <f>IFERROR(__xludf.DUMMYFUNCTION("""COMPUTED_VALUE"""),40756.645833333336)</f>
        <v>40756.64583</v>
      </c>
      <c r="B2724" s="3">
        <f>IFERROR(__xludf.DUMMYFUNCTION("""COMPUTED_VALUE"""),5527.5)</f>
        <v>5527.5</v>
      </c>
      <c r="C2724" s="3">
        <f>IFERROR(__xludf.DUMMYFUNCTION("""COMPUTED_VALUE"""),5551.9)</f>
        <v>5551.9</v>
      </c>
      <c r="D2724" s="3">
        <f>IFERROR(__xludf.DUMMYFUNCTION("""COMPUTED_VALUE"""),5486.45)</f>
        <v>5486.45</v>
      </c>
      <c r="E2724" s="3">
        <f>IFERROR(__xludf.DUMMYFUNCTION("""COMPUTED_VALUE"""),5516.8)</f>
        <v>5516.8</v>
      </c>
      <c r="F2724" s="3">
        <f>IFERROR(__xludf.DUMMYFUNCTION("""COMPUTED_VALUE"""),0.0)</f>
        <v>0</v>
      </c>
    </row>
    <row r="2725">
      <c r="A2725" s="7">
        <f>IFERROR(__xludf.DUMMYFUNCTION("""COMPUTED_VALUE"""),40757.645833333336)</f>
        <v>40757.64583</v>
      </c>
      <c r="B2725" s="3">
        <f>IFERROR(__xludf.DUMMYFUNCTION("""COMPUTED_VALUE"""),5493.2)</f>
        <v>5493.2</v>
      </c>
      <c r="C2725" s="3">
        <f>IFERROR(__xludf.DUMMYFUNCTION("""COMPUTED_VALUE"""),5496.3)</f>
        <v>5496.3</v>
      </c>
      <c r="D2725" s="3">
        <f>IFERROR(__xludf.DUMMYFUNCTION("""COMPUTED_VALUE"""),5433.65)</f>
        <v>5433.65</v>
      </c>
      <c r="E2725" s="3">
        <f>IFERROR(__xludf.DUMMYFUNCTION("""COMPUTED_VALUE"""),5456.55)</f>
        <v>5456.55</v>
      </c>
      <c r="F2725" s="3">
        <f>IFERROR(__xludf.DUMMYFUNCTION("""COMPUTED_VALUE"""),0.0)</f>
        <v>0</v>
      </c>
    </row>
    <row r="2726">
      <c r="A2726" s="7">
        <f>IFERROR(__xludf.DUMMYFUNCTION("""COMPUTED_VALUE"""),40758.645833333336)</f>
        <v>40758.64583</v>
      </c>
      <c r="B2726" s="3">
        <f>IFERROR(__xludf.DUMMYFUNCTION("""COMPUTED_VALUE"""),5402.0)</f>
        <v>5402</v>
      </c>
      <c r="C2726" s="3">
        <f>IFERROR(__xludf.DUMMYFUNCTION("""COMPUTED_VALUE"""),5422.6)</f>
        <v>5422.6</v>
      </c>
      <c r="D2726" s="3">
        <f>IFERROR(__xludf.DUMMYFUNCTION("""COMPUTED_VALUE"""),5378.85)</f>
        <v>5378.85</v>
      </c>
      <c r="E2726" s="3">
        <f>IFERROR(__xludf.DUMMYFUNCTION("""COMPUTED_VALUE"""),5404.8)</f>
        <v>5404.8</v>
      </c>
      <c r="F2726" s="3">
        <f>IFERROR(__xludf.DUMMYFUNCTION("""COMPUTED_VALUE"""),0.0)</f>
        <v>0</v>
      </c>
    </row>
    <row r="2727">
      <c r="A2727" s="7">
        <f>IFERROR(__xludf.DUMMYFUNCTION("""COMPUTED_VALUE"""),40759.645833333336)</f>
        <v>40759.64583</v>
      </c>
      <c r="B2727" s="3">
        <f>IFERROR(__xludf.DUMMYFUNCTION("""COMPUTED_VALUE"""),5412.4)</f>
        <v>5412.4</v>
      </c>
      <c r="C2727" s="3">
        <f>IFERROR(__xludf.DUMMYFUNCTION("""COMPUTED_VALUE"""),5434.5)</f>
        <v>5434.5</v>
      </c>
      <c r="D2727" s="3">
        <f>IFERROR(__xludf.DUMMYFUNCTION("""COMPUTED_VALUE"""),5323.15)</f>
        <v>5323.15</v>
      </c>
      <c r="E2727" s="3">
        <f>IFERROR(__xludf.DUMMYFUNCTION("""COMPUTED_VALUE"""),5331.8)</f>
        <v>5331.8</v>
      </c>
      <c r="F2727" s="3">
        <f>IFERROR(__xludf.DUMMYFUNCTION("""COMPUTED_VALUE"""),0.0)</f>
        <v>0</v>
      </c>
    </row>
    <row r="2728">
      <c r="A2728" s="7">
        <f>IFERROR(__xludf.DUMMYFUNCTION("""COMPUTED_VALUE"""),40760.645833333336)</f>
        <v>40760.64583</v>
      </c>
      <c r="B2728" s="3">
        <f>IFERROR(__xludf.DUMMYFUNCTION("""COMPUTED_VALUE"""),5204.35)</f>
        <v>5204.35</v>
      </c>
      <c r="C2728" s="3">
        <f>IFERROR(__xludf.DUMMYFUNCTION("""COMPUTED_VALUE"""),5229.65)</f>
        <v>5229.65</v>
      </c>
      <c r="D2728" s="3">
        <f>IFERROR(__xludf.DUMMYFUNCTION("""COMPUTED_VALUE"""),5116.45)</f>
        <v>5116.45</v>
      </c>
      <c r="E2728" s="3">
        <f>IFERROR(__xludf.DUMMYFUNCTION("""COMPUTED_VALUE"""),5211.25)</f>
        <v>5211.25</v>
      </c>
      <c r="F2728" s="3">
        <f>IFERROR(__xludf.DUMMYFUNCTION("""COMPUTED_VALUE"""),0.0)</f>
        <v>0</v>
      </c>
    </row>
    <row r="2729">
      <c r="A2729" s="7">
        <f>IFERROR(__xludf.DUMMYFUNCTION("""COMPUTED_VALUE"""),40763.645833333336)</f>
        <v>40763.64583</v>
      </c>
      <c r="B2729" s="3">
        <f>IFERROR(__xludf.DUMMYFUNCTION("""COMPUTED_VALUE"""),5083.85)</f>
        <v>5083.85</v>
      </c>
      <c r="C2729" s="3">
        <f>IFERROR(__xludf.DUMMYFUNCTION("""COMPUTED_VALUE"""),5204.2)</f>
        <v>5204.2</v>
      </c>
      <c r="D2729" s="3">
        <f>IFERROR(__xludf.DUMMYFUNCTION("""COMPUTED_VALUE"""),5054.05)</f>
        <v>5054.05</v>
      </c>
      <c r="E2729" s="3">
        <f>IFERROR(__xludf.DUMMYFUNCTION("""COMPUTED_VALUE"""),5118.5)</f>
        <v>5118.5</v>
      </c>
      <c r="F2729" s="3">
        <f>IFERROR(__xludf.DUMMYFUNCTION("""COMPUTED_VALUE"""),0.0)</f>
        <v>0</v>
      </c>
    </row>
    <row r="2730">
      <c r="A2730" s="7">
        <f>IFERROR(__xludf.DUMMYFUNCTION("""COMPUTED_VALUE"""),40764.645833333336)</f>
        <v>40764.64583</v>
      </c>
      <c r="B2730" s="3">
        <f>IFERROR(__xludf.DUMMYFUNCTION("""COMPUTED_VALUE"""),4947.9)</f>
        <v>4947.9</v>
      </c>
      <c r="C2730" s="3">
        <f>IFERROR(__xludf.DUMMYFUNCTION("""COMPUTED_VALUE"""),5167.0)</f>
        <v>5167</v>
      </c>
      <c r="D2730" s="3">
        <f>IFERROR(__xludf.DUMMYFUNCTION("""COMPUTED_VALUE"""),4946.45)</f>
        <v>4946.45</v>
      </c>
      <c r="E2730" s="3">
        <f>IFERROR(__xludf.DUMMYFUNCTION("""COMPUTED_VALUE"""),5072.85)</f>
        <v>5072.85</v>
      </c>
      <c r="F2730" s="3">
        <f>IFERROR(__xludf.DUMMYFUNCTION("""COMPUTED_VALUE"""),0.0)</f>
        <v>0</v>
      </c>
    </row>
    <row r="2731">
      <c r="A2731" s="7">
        <f>IFERROR(__xludf.DUMMYFUNCTION("""COMPUTED_VALUE"""),40765.645833333336)</f>
        <v>40765.64583</v>
      </c>
      <c r="B2731" s="3">
        <f>IFERROR(__xludf.DUMMYFUNCTION("""COMPUTED_VALUE"""),5196.55)</f>
        <v>5196.55</v>
      </c>
      <c r="C2731" s="3">
        <f>IFERROR(__xludf.DUMMYFUNCTION("""COMPUTED_VALUE"""),5197.95)</f>
        <v>5197.95</v>
      </c>
      <c r="D2731" s="3">
        <f>IFERROR(__xludf.DUMMYFUNCTION("""COMPUTED_VALUE"""),5123.35)</f>
        <v>5123.35</v>
      </c>
      <c r="E2731" s="3">
        <f>IFERROR(__xludf.DUMMYFUNCTION("""COMPUTED_VALUE"""),5161.0)</f>
        <v>5161</v>
      </c>
      <c r="F2731" s="3">
        <f>IFERROR(__xludf.DUMMYFUNCTION("""COMPUTED_VALUE"""),0.0)</f>
        <v>0</v>
      </c>
    </row>
    <row r="2732">
      <c r="A2732" s="7">
        <f>IFERROR(__xludf.DUMMYFUNCTION("""COMPUTED_VALUE"""),40766.645833333336)</f>
        <v>40766.64583</v>
      </c>
      <c r="B2732" s="3">
        <f>IFERROR(__xludf.DUMMYFUNCTION("""COMPUTED_VALUE"""),5128.0)</f>
        <v>5128</v>
      </c>
      <c r="C2732" s="3">
        <f>IFERROR(__xludf.DUMMYFUNCTION("""COMPUTED_VALUE"""),5184.95)</f>
        <v>5184.95</v>
      </c>
      <c r="D2732" s="3">
        <f>IFERROR(__xludf.DUMMYFUNCTION("""COMPUTED_VALUE"""),5121.0)</f>
        <v>5121</v>
      </c>
      <c r="E2732" s="3">
        <f>IFERROR(__xludf.DUMMYFUNCTION("""COMPUTED_VALUE"""),5138.3)</f>
        <v>5138.3</v>
      </c>
      <c r="F2732" s="3">
        <f>IFERROR(__xludf.DUMMYFUNCTION("""COMPUTED_VALUE"""),0.0)</f>
        <v>0</v>
      </c>
    </row>
    <row r="2733">
      <c r="A2733" s="7">
        <f>IFERROR(__xludf.DUMMYFUNCTION("""COMPUTED_VALUE"""),40767.645833333336)</f>
        <v>40767.64583</v>
      </c>
      <c r="B2733" s="3">
        <f>IFERROR(__xludf.DUMMYFUNCTION("""COMPUTED_VALUE"""),5194.4)</f>
        <v>5194.4</v>
      </c>
      <c r="C2733" s="3">
        <f>IFERROR(__xludf.DUMMYFUNCTION("""COMPUTED_VALUE"""),5194.45)</f>
        <v>5194.45</v>
      </c>
      <c r="D2733" s="3">
        <f>IFERROR(__xludf.DUMMYFUNCTION("""COMPUTED_VALUE"""),5053.35)</f>
        <v>5053.35</v>
      </c>
      <c r="E2733" s="3">
        <f>IFERROR(__xludf.DUMMYFUNCTION("""COMPUTED_VALUE"""),5072.95)</f>
        <v>5072.95</v>
      </c>
      <c r="F2733" s="3">
        <f>IFERROR(__xludf.DUMMYFUNCTION("""COMPUTED_VALUE"""),0.0)</f>
        <v>0</v>
      </c>
    </row>
    <row r="2734">
      <c r="A2734" s="7">
        <f>IFERROR(__xludf.DUMMYFUNCTION("""COMPUTED_VALUE"""),40771.645833333336)</f>
        <v>40771.64583</v>
      </c>
      <c r="B2734" s="3">
        <f>IFERROR(__xludf.DUMMYFUNCTION("""COMPUTED_VALUE"""),5125.75)</f>
        <v>5125.75</v>
      </c>
      <c r="C2734" s="3">
        <f>IFERROR(__xludf.DUMMYFUNCTION("""COMPUTED_VALUE"""),5132.2)</f>
        <v>5132.2</v>
      </c>
      <c r="D2734" s="3">
        <f>IFERROR(__xludf.DUMMYFUNCTION("""COMPUTED_VALUE"""),5015.4)</f>
        <v>5015.4</v>
      </c>
      <c r="E2734" s="3">
        <f>IFERROR(__xludf.DUMMYFUNCTION("""COMPUTED_VALUE"""),5035.8)</f>
        <v>5035.8</v>
      </c>
      <c r="F2734" s="3">
        <f>IFERROR(__xludf.DUMMYFUNCTION("""COMPUTED_VALUE"""),0.0)</f>
        <v>0</v>
      </c>
    </row>
    <row r="2735">
      <c r="A2735" s="7">
        <f>IFERROR(__xludf.DUMMYFUNCTION("""COMPUTED_VALUE"""),40772.645833333336)</f>
        <v>40772.64583</v>
      </c>
      <c r="B2735" s="3">
        <f>IFERROR(__xludf.DUMMYFUNCTION("""COMPUTED_VALUE"""),5030.3)</f>
        <v>5030.3</v>
      </c>
      <c r="C2735" s="3">
        <f>IFERROR(__xludf.DUMMYFUNCTION("""COMPUTED_VALUE"""),5112.15)</f>
        <v>5112.15</v>
      </c>
      <c r="D2735" s="3">
        <f>IFERROR(__xludf.DUMMYFUNCTION("""COMPUTED_VALUE"""),5017.25)</f>
        <v>5017.25</v>
      </c>
      <c r="E2735" s="3">
        <f>IFERROR(__xludf.DUMMYFUNCTION("""COMPUTED_VALUE"""),5056.6)</f>
        <v>5056.6</v>
      </c>
      <c r="F2735" s="3">
        <f>IFERROR(__xludf.DUMMYFUNCTION("""COMPUTED_VALUE"""),0.0)</f>
        <v>0</v>
      </c>
    </row>
    <row r="2736">
      <c r="A2736" s="7">
        <f>IFERROR(__xludf.DUMMYFUNCTION("""COMPUTED_VALUE"""),40774.645833333336)</f>
        <v>40774.64583</v>
      </c>
      <c r="B2736" s="3">
        <f>IFERROR(__xludf.DUMMYFUNCTION("""COMPUTED_VALUE"""),4859.3)</f>
        <v>4859.3</v>
      </c>
      <c r="C2736" s="3">
        <f>IFERROR(__xludf.DUMMYFUNCTION("""COMPUTED_VALUE"""),4893.6)</f>
        <v>4893.6</v>
      </c>
      <c r="D2736" s="3">
        <f>IFERROR(__xludf.DUMMYFUNCTION("""COMPUTED_VALUE"""),4796.1)</f>
        <v>4796.1</v>
      </c>
      <c r="E2736" s="3">
        <f>IFERROR(__xludf.DUMMYFUNCTION("""COMPUTED_VALUE"""),4845.65)</f>
        <v>4845.65</v>
      </c>
      <c r="F2736" s="3">
        <f>IFERROR(__xludf.DUMMYFUNCTION("""COMPUTED_VALUE"""),0.0)</f>
        <v>0</v>
      </c>
    </row>
    <row r="2737">
      <c r="A2737" s="7">
        <f>IFERROR(__xludf.DUMMYFUNCTION("""COMPUTED_VALUE"""),40777.645833333336)</f>
        <v>40777.64583</v>
      </c>
      <c r="B2737" s="3">
        <f>IFERROR(__xludf.DUMMYFUNCTION("""COMPUTED_VALUE"""),4843.7)</f>
        <v>4843.7</v>
      </c>
      <c r="C2737" s="3">
        <f>IFERROR(__xludf.DUMMYFUNCTION("""COMPUTED_VALUE"""),4910.05)</f>
        <v>4910.05</v>
      </c>
      <c r="D2737" s="3">
        <f>IFERROR(__xludf.DUMMYFUNCTION("""COMPUTED_VALUE"""),4808.75)</f>
        <v>4808.75</v>
      </c>
      <c r="E2737" s="3">
        <f>IFERROR(__xludf.DUMMYFUNCTION("""COMPUTED_VALUE"""),4898.8)</f>
        <v>4898.8</v>
      </c>
      <c r="F2737" s="3">
        <f>IFERROR(__xludf.DUMMYFUNCTION("""COMPUTED_VALUE"""),0.0)</f>
        <v>0</v>
      </c>
    </row>
    <row r="2738">
      <c r="A2738" s="7">
        <f>IFERROR(__xludf.DUMMYFUNCTION("""COMPUTED_VALUE"""),40778.645833333336)</f>
        <v>40778.64583</v>
      </c>
      <c r="B2738" s="3">
        <f>IFERROR(__xludf.DUMMYFUNCTION("""COMPUTED_VALUE"""),4925.15)</f>
        <v>4925.15</v>
      </c>
      <c r="C2738" s="3">
        <f>IFERROR(__xludf.DUMMYFUNCTION("""COMPUTED_VALUE"""),4965.8)</f>
        <v>4965.8</v>
      </c>
      <c r="D2738" s="3">
        <f>IFERROR(__xludf.DUMMYFUNCTION("""COMPUTED_VALUE"""),4863.8)</f>
        <v>4863.8</v>
      </c>
      <c r="E2738" s="3">
        <f>IFERROR(__xludf.DUMMYFUNCTION("""COMPUTED_VALUE"""),4948.9)</f>
        <v>4948.9</v>
      </c>
      <c r="F2738" s="3">
        <f>IFERROR(__xludf.DUMMYFUNCTION("""COMPUTED_VALUE"""),0.0)</f>
        <v>0</v>
      </c>
    </row>
    <row r="2739">
      <c r="A2739" s="7">
        <f>IFERROR(__xludf.DUMMYFUNCTION("""COMPUTED_VALUE"""),40779.645833333336)</f>
        <v>40779.64583</v>
      </c>
      <c r="B2739" s="3">
        <f>IFERROR(__xludf.DUMMYFUNCTION("""COMPUTED_VALUE"""),4934.35)</f>
        <v>4934.35</v>
      </c>
      <c r="C2739" s="3">
        <f>IFERROR(__xludf.DUMMYFUNCTION("""COMPUTED_VALUE"""),4962.4)</f>
        <v>4962.4</v>
      </c>
      <c r="D2739" s="3">
        <f>IFERROR(__xludf.DUMMYFUNCTION("""COMPUTED_VALUE"""),4875.3)</f>
        <v>4875.3</v>
      </c>
      <c r="E2739" s="3">
        <f>IFERROR(__xludf.DUMMYFUNCTION("""COMPUTED_VALUE"""),4888.9)</f>
        <v>4888.9</v>
      </c>
      <c r="F2739" s="3">
        <f>IFERROR(__xludf.DUMMYFUNCTION("""COMPUTED_VALUE"""),0.0)</f>
        <v>0</v>
      </c>
    </row>
    <row r="2740">
      <c r="A2740" s="7">
        <f>IFERROR(__xludf.DUMMYFUNCTION("""COMPUTED_VALUE"""),40780.645833333336)</f>
        <v>40780.64583</v>
      </c>
      <c r="B2740" s="3">
        <f>IFERROR(__xludf.DUMMYFUNCTION("""COMPUTED_VALUE"""),4914.65)</f>
        <v>4914.65</v>
      </c>
      <c r="C2740" s="3">
        <f>IFERROR(__xludf.DUMMYFUNCTION("""COMPUTED_VALUE"""),4915.85)</f>
        <v>4915.85</v>
      </c>
      <c r="D2740" s="3">
        <f>IFERROR(__xludf.DUMMYFUNCTION("""COMPUTED_VALUE"""),4825.05)</f>
        <v>4825.05</v>
      </c>
      <c r="E2740" s="3">
        <f>IFERROR(__xludf.DUMMYFUNCTION("""COMPUTED_VALUE"""),4839.6)</f>
        <v>4839.6</v>
      </c>
      <c r="F2740" s="3">
        <f>IFERROR(__xludf.DUMMYFUNCTION("""COMPUTED_VALUE"""),0.0)</f>
        <v>0</v>
      </c>
    </row>
    <row r="2741">
      <c r="A2741" s="7">
        <f>IFERROR(__xludf.DUMMYFUNCTION("""COMPUTED_VALUE"""),40781.645833333336)</f>
        <v>40781.64583</v>
      </c>
      <c r="B2741" s="3">
        <f>IFERROR(__xludf.DUMMYFUNCTION("""COMPUTED_VALUE"""),4839.25)</f>
        <v>4839.25</v>
      </c>
      <c r="C2741" s="3">
        <f>IFERROR(__xludf.DUMMYFUNCTION("""COMPUTED_VALUE"""),4872.0)</f>
        <v>4872</v>
      </c>
      <c r="D2741" s="3">
        <f>IFERROR(__xludf.DUMMYFUNCTION("""COMPUTED_VALUE"""),4720.0)</f>
        <v>4720</v>
      </c>
      <c r="E2741" s="3">
        <f>IFERROR(__xludf.DUMMYFUNCTION("""COMPUTED_VALUE"""),4747.8)</f>
        <v>4747.8</v>
      </c>
      <c r="F2741" s="3">
        <f>IFERROR(__xludf.DUMMYFUNCTION("""COMPUTED_VALUE"""),0.0)</f>
        <v>0</v>
      </c>
    </row>
    <row r="2742">
      <c r="A2742" s="7">
        <f>IFERROR(__xludf.DUMMYFUNCTION("""COMPUTED_VALUE"""),40784.645833333336)</f>
        <v>40784.64583</v>
      </c>
      <c r="B2742" s="3">
        <f>IFERROR(__xludf.DUMMYFUNCTION("""COMPUTED_VALUE"""),4806.2)</f>
        <v>4806.2</v>
      </c>
      <c r="C2742" s="3">
        <f>IFERROR(__xludf.DUMMYFUNCTION("""COMPUTED_VALUE"""),4934.4)</f>
        <v>4934.4</v>
      </c>
      <c r="D2742" s="3">
        <f>IFERROR(__xludf.DUMMYFUNCTION("""COMPUTED_VALUE"""),4806.05)</f>
        <v>4806.05</v>
      </c>
      <c r="E2742" s="3">
        <f>IFERROR(__xludf.DUMMYFUNCTION("""COMPUTED_VALUE"""),4919.6)</f>
        <v>4919.6</v>
      </c>
      <c r="F2742" s="3">
        <f>IFERROR(__xludf.DUMMYFUNCTION("""COMPUTED_VALUE"""),0.0)</f>
        <v>0</v>
      </c>
    </row>
    <row r="2743">
      <c r="A2743" s="7">
        <f>IFERROR(__xludf.DUMMYFUNCTION("""COMPUTED_VALUE"""),40785.645833333336)</f>
        <v>40785.64583</v>
      </c>
      <c r="B2743" s="3">
        <f>IFERROR(__xludf.DUMMYFUNCTION("""COMPUTED_VALUE"""),4973.25)</f>
        <v>4973.25</v>
      </c>
      <c r="C2743" s="3">
        <f>IFERROR(__xludf.DUMMYFUNCTION("""COMPUTED_VALUE"""),5016.25)</f>
        <v>5016.25</v>
      </c>
      <c r="D2743" s="3">
        <f>IFERROR(__xludf.DUMMYFUNCTION("""COMPUTED_VALUE"""),4927.55)</f>
        <v>4927.55</v>
      </c>
      <c r="E2743" s="3">
        <f>IFERROR(__xludf.DUMMYFUNCTION("""COMPUTED_VALUE"""),5001.0)</f>
        <v>5001</v>
      </c>
      <c r="F2743" s="3">
        <f>IFERROR(__xludf.DUMMYFUNCTION("""COMPUTED_VALUE"""),0.0)</f>
        <v>0</v>
      </c>
    </row>
    <row r="2744">
      <c r="A2744" s="7">
        <f>IFERROR(__xludf.DUMMYFUNCTION("""COMPUTED_VALUE"""),40788.645833333336)</f>
        <v>40788.64583</v>
      </c>
      <c r="B2744" s="3">
        <f>IFERROR(__xludf.DUMMYFUNCTION("""COMPUTED_VALUE"""),5109.8)</f>
        <v>5109.8</v>
      </c>
      <c r="C2744" s="3">
        <f>IFERROR(__xludf.DUMMYFUNCTION("""COMPUTED_VALUE"""),5113.7)</f>
        <v>5113.7</v>
      </c>
      <c r="D2744" s="3">
        <f>IFERROR(__xludf.DUMMYFUNCTION("""COMPUTED_VALUE"""),4993.35)</f>
        <v>4993.35</v>
      </c>
      <c r="E2744" s="3">
        <f>IFERROR(__xludf.DUMMYFUNCTION("""COMPUTED_VALUE"""),5040.0)</f>
        <v>5040</v>
      </c>
      <c r="F2744" s="3">
        <f>IFERROR(__xludf.DUMMYFUNCTION("""COMPUTED_VALUE"""),0.0)</f>
        <v>0</v>
      </c>
    </row>
    <row r="2745">
      <c r="A2745" s="7">
        <f>IFERROR(__xludf.DUMMYFUNCTION("""COMPUTED_VALUE"""),40791.645833333336)</f>
        <v>40791.64583</v>
      </c>
      <c r="B2745" s="3">
        <f>IFERROR(__xludf.DUMMYFUNCTION("""COMPUTED_VALUE"""),4998.9)</f>
        <v>4998.9</v>
      </c>
      <c r="C2745" s="3">
        <f>IFERROR(__xludf.DUMMYFUNCTION("""COMPUTED_VALUE"""),5030.3)</f>
        <v>5030.3</v>
      </c>
      <c r="D2745" s="3">
        <f>IFERROR(__xludf.DUMMYFUNCTION("""COMPUTED_VALUE"""),4964.45)</f>
        <v>4964.45</v>
      </c>
      <c r="E2745" s="3">
        <f>IFERROR(__xludf.DUMMYFUNCTION("""COMPUTED_VALUE"""),5017.2)</f>
        <v>5017.2</v>
      </c>
      <c r="F2745" s="3">
        <f>IFERROR(__xludf.DUMMYFUNCTION("""COMPUTED_VALUE"""),0.0)</f>
        <v>0</v>
      </c>
    </row>
    <row r="2746">
      <c r="A2746" s="7">
        <f>IFERROR(__xludf.DUMMYFUNCTION("""COMPUTED_VALUE"""),40792.645833333336)</f>
        <v>40792.64583</v>
      </c>
      <c r="B2746" s="3">
        <f>IFERROR(__xludf.DUMMYFUNCTION("""COMPUTED_VALUE"""),4993.35)</f>
        <v>4993.35</v>
      </c>
      <c r="C2746" s="3">
        <f>IFERROR(__xludf.DUMMYFUNCTION("""COMPUTED_VALUE"""),5072.9)</f>
        <v>5072.9</v>
      </c>
      <c r="D2746" s="3">
        <f>IFERROR(__xludf.DUMMYFUNCTION("""COMPUTED_VALUE"""),4942.9)</f>
        <v>4942.9</v>
      </c>
      <c r="E2746" s="3">
        <f>IFERROR(__xludf.DUMMYFUNCTION("""COMPUTED_VALUE"""),5064.3)</f>
        <v>5064.3</v>
      </c>
      <c r="F2746" s="3">
        <f>IFERROR(__xludf.DUMMYFUNCTION("""COMPUTED_VALUE"""),0.0)</f>
        <v>0</v>
      </c>
    </row>
    <row r="2747">
      <c r="A2747" s="7">
        <f>IFERROR(__xludf.DUMMYFUNCTION("""COMPUTED_VALUE"""),40793.645833333336)</f>
        <v>40793.64583</v>
      </c>
      <c r="B2747" s="3">
        <f>IFERROR(__xludf.DUMMYFUNCTION("""COMPUTED_VALUE"""),5080.15)</f>
        <v>5080.15</v>
      </c>
      <c r="C2747" s="3">
        <f>IFERROR(__xludf.DUMMYFUNCTION("""COMPUTED_VALUE"""),5154.5)</f>
        <v>5154.5</v>
      </c>
      <c r="D2747" s="3">
        <f>IFERROR(__xludf.DUMMYFUNCTION("""COMPUTED_VALUE"""),5076.3)</f>
        <v>5076.3</v>
      </c>
      <c r="E2747" s="3">
        <f>IFERROR(__xludf.DUMMYFUNCTION("""COMPUTED_VALUE"""),5124.65)</f>
        <v>5124.65</v>
      </c>
      <c r="F2747" s="3">
        <f>IFERROR(__xludf.DUMMYFUNCTION("""COMPUTED_VALUE"""),0.0)</f>
        <v>0</v>
      </c>
    </row>
    <row r="2748">
      <c r="A2748" s="7">
        <f>IFERROR(__xludf.DUMMYFUNCTION("""COMPUTED_VALUE"""),40794.645833333336)</f>
        <v>40794.64583</v>
      </c>
      <c r="B2748" s="3">
        <f>IFERROR(__xludf.DUMMYFUNCTION("""COMPUTED_VALUE"""),5139.2)</f>
        <v>5139.2</v>
      </c>
      <c r="C2748" s="3">
        <f>IFERROR(__xludf.DUMMYFUNCTION("""COMPUTED_VALUE"""),5169.25)</f>
        <v>5169.25</v>
      </c>
      <c r="D2748" s="3">
        <f>IFERROR(__xludf.DUMMYFUNCTION("""COMPUTED_VALUE"""),5098.25)</f>
        <v>5098.25</v>
      </c>
      <c r="E2748" s="3">
        <f>IFERROR(__xludf.DUMMYFUNCTION("""COMPUTED_VALUE"""),5153.25)</f>
        <v>5153.25</v>
      </c>
      <c r="F2748" s="3">
        <f>IFERROR(__xludf.DUMMYFUNCTION("""COMPUTED_VALUE"""),0.0)</f>
        <v>0</v>
      </c>
    </row>
    <row r="2749">
      <c r="A2749" s="7">
        <f>IFERROR(__xludf.DUMMYFUNCTION("""COMPUTED_VALUE"""),40795.645833333336)</f>
        <v>40795.64583</v>
      </c>
      <c r="B2749" s="3">
        <f>IFERROR(__xludf.DUMMYFUNCTION("""COMPUTED_VALUE"""),5161.3)</f>
        <v>5161.3</v>
      </c>
      <c r="C2749" s="3">
        <f>IFERROR(__xludf.DUMMYFUNCTION("""COMPUTED_VALUE"""),5163.75)</f>
        <v>5163.75</v>
      </c>
      <c r="D2749" s="3">
        <f>IFERROR(__xludf.DUMMYFUNCTION("""COMPUTED_VALUE"""),5046.8)</f>
        <v>5046.8</v>
      </c>
      <c r="E2749" s="3">
        <f>IFERROR(__xludf.DUMMYFUNCTION("""COMPUTED_VALUE"""),5059.45)</f>
        <v>5059.45</v>
      </c>
      <c r="F2749" s="3">
        <f>IFERROR(__xludf.DUMMYFUNCTION("""COMPUTED_VALUE"""),0.0)</f>
        <v>0</v>
      </c>
    </row>
    <row r="2750">
      <c r="A2750" s="7">
        <f>IFERROR(__xludf.DUMMYFUNCTION("""COMPUTED_VALUE"""),40798.645833333336)</f>
        <v>40798.64583</v>
      </c>
      <c r="B2750" s="3">
        <f>IFERROR(__xludf.DUMMYFUNCTION("""COMPUTED_VALUE"""),4981.7)</f>
        <v>4981.7</v>
      </c>
      <c r="C2750" s="3">
        <f>IFERROR(__xludf.DUMMYFUNCTION("""COMPUTED_VALUE"""),4985.6)</f>
        <v>4985.6</v>
      </c>
      <c r="D2750" s="3">
        <f>IFERROR(__xludf.DUMMYFUNCTION("""COMPUTED_VALUE"""),4911.25)</f>
        <v>4911.25</v>
      </c>
      <c r="E2750" s="3">
        <f>IFERROR(__xludf.DUMMYFUNCTION("""COMPUTED_VALUE"""),4946.8)</f>
        <v>4946.8</v>
      </c>
      <c r="F2750" s="3">
        <f>IFERROR(__xludf.DUMMYFUNCTION("""COMPUTED_VALUE"""),0.0)</f>
        <v>0</v>
      </c>
    </row>
    <row r="2751">
      <c r="A2751" s="7">
        <f>IFERROR(__xludf.DUMMYFUNCTION("""COMPUTED_VALUE"""),40799.645833333336)</f>
        <v>40799.64583</v>
      </c>
      <c r="B2751" s="3">
        <f>IFERROR(__xludf.DUMMYFUNCTION("""COMPUTED_VALUE"""),4977.8)</f>
        <v>4977.8</v>
      </c>
      <c r="C2751" s="3">
        <f>IFERROR(__xludf.DUMMYFUNCTION("""COMPUTED_VALUE"""),5030.15)</f>
        <v>5030.15</v>
      </c>
      <c r="D2751" s="3">
        <f>IFERROR(__xludf.DUMMYFUNCTION("""COMPUTED_VALUE"""),4911.05)</f>
        <v>4911.05</v>
      </c>
      <c r="E2751" s="3">
        <f>IFERROR(__xludf.DUMMYFUNCTION("""COMPUTED_VALUE"""),4940.95)</f>
        <v>4940.95</v>
      </c>
      <c r="F2751" s="3">
        <f>IFERROR(__xludf.DUMMYFUNCTION("""COMPUTED_VALUE"""),0.0)</f>
        <v>0</v>
      </c>
    </row>
    <row r="2752">
      <c r="A2752" s="7">
        <f>IFERROR(__xludf.DUMMYFUNCTION("""COMPUTED_VALUE"""),40800.645833333336)</f>
        <v>40800.64583</v>
      </c>
      <c r="B2752" s="3">
        <f>IFERROR(__xludf.DUMMYFUNCTION("""COMPUTED_VALUE"""),4965.05)</f>
        <v>4965.05</v>
      </c>
      <c r="C2752" s="3">
        <f>IFERROR(__xludf.DUMMYFUNCTION("""COMPUTED_VALUE"""),5026.15)</f>
        <v>5026.15</v>
      </c>
      <c r="D2752" s="3">
        <f>IFERROR(__xludf.DUMMYFUNCTION("""COMPUTED_VALUE"""),4917.4)</f>
        <v>4917.4</v>
      </c>
      <c r="E2752" s="3">
        <f>IFERROR(__xludf.DUMMYFUNCTION("""COMPUTED_VALUE"""),5012.55)</f>
        <v>5012.55</v>
      </c>
      <c r="F2752" s="3">
        <f>IFERROR(__xludf.DUMMYFUNCTION("""COMPUTED_VALUE"""),0.0)</f>
        <v>0</v>
      </c>
    </row>
    <row r="2753">
      <c r="A2753" s="7">
        <f>IFERROR(__xludf.DUMMYFUNCTION("""COMPUTED_VALUE"""),40801.645833333336)</f>
        <v>40801.64583</v>
      </c>
      <c r="B2753" s="3">
        <f>IFERROR(__xludf.DUMMYFUNCTION("""COMPUTED_VALUE"""),5062.35)</f>
        <v>5062.35</v>
      </c>
      <c r="C2753" s="3">
        <f>IFERROR(__xludf.DUMMYFUNCTION("""COMPUTED_VALUE"""),5091.45)</f>
        <v>5091.45</v>
      </c>
      <c r="D2753" s="3">
        <f>IFERROR(__xludf.DUMMYFUNCTION("""COMPUTED_VALUE"""),4967.45)</f>
        <v>4967.45</v>
      </c>
      <c r="E2753" s="3">
        <f>IFERROR(__xludf.DUMMYFUNCTION("""COMPUTED_VALUE"""),5075.7)</f>
        <v>5075.7</v>
      </c>
      <c r="F2753" s="3">
        <f>IFERROR(__xludf.DUMMYFUNCTION("""COMPUTED_VALUE"""),0.0)</f>
        <v>0</v>
      </c>
    </row>
    <row r="2754">
      <c r="A2754" s="7">
        <f>IFERROR(__xludf.DUMMYFUNCTION("""COMPUTED_VALUE"""),40802.645833333336)</f>
        <v>40802.64583</v>
      </c>
      <c r="B2754" s="3">
        <f>IFERROR(__xludf.DUMMYFUNCTION("""COMPUTED_VALUE"""),5123.35)</f>
        <v>5123.35</v>
      </c>
      <c r="C2754" s="3">
        <f>IFERROR(__xludf.DUMMYFUNCTION("""COMPUTED_VALUE"""),5143.6)</f>
        <v>5143.6</v>
      </c>
      <c r="D2754" s="3">
        <f>IFERROR(__xludf.DUMMYFUNCTION("""COMPUTED_VALUE"""),5068.1)</f>
        <v>5068.1</v>
      </c>
      <c r="E2754" s="3">
        <f>IFERROR(__xludf.DUMMYFUNCTION("""COMPUTED_VALUE"""),5084.25)</f>
        <v>5084.25</v>
      </c>
      <c r="F2754" s="3">
        <f>IFERROR(__xludf.DUMMYFUNCTION("""COMPUTED_VALUE"""),0.0)</f>
        <v>0</v>
      </c>
    </row>
    <row r="2755">
      <c r="A2755" s="7">
        <f>IFERROR(__xludf.DUMMYFUNCTION("""COMPUTED_VALUE"""),40805.645833333336)</f>
        <v>40805.64583</v>
      </c>
      <c r="B2755" s="3">
        <f>IFERROR(__xludf.DUMMYFUNCTION("""COMPUTED_VALUE"""),5068.4)</f>
        <v>5068.4</v>
      </c>
      <c r="C2755" s="3">
        <f>IFERROR(__xludf.DUMMYFUNCTION("""COMPUTED_VALUE"""),5068.4)</f>
        <v>5068.4</v>
      </c>
      <c r="D2755" s="3">
        <f>IFERROR(__xludf.DUMMYFUNCTION("""COMPUTED_VALUE"""),5019.25)</f>
        <v>5019.25</v>
      </c>
      <c r="E2755" s="3">
        <f>IFERROR(__xludf.DUMMYFUNCTION("""COMPUTED_VALUE"""),5031.95)</f>
        <v>5031.95</v>
      </c>
      <c r="F2755" s="3">
        <f>IFERROR(__xludf.DUMMYFUNCTION("""COMPUTED_VALUE"""),0.0)</f>
        <v>0</v>
      </c>
    </row>
    <row r="2756">
      <c r="A2756" s="7">
        <f>IFERROR(__xludf.DUMMYFUNCTION("""COMPUTED_VALUE"""),40806.645833333336)</f>
        <v>40806.64583</v>
      </c>
      <c r="B2756" s="3">
        <f>IFERROR(__xludf.DUMMYFUNCTION("""COMPUTED_VALUE"""),5042.55)</f>
        <v>5042.55</v>
      </c>
      <c r="C2756" s="3">
        <f>IFERROR(__xludf.DUMMYFUNCTION("""COMPUTED_VALUE"""),5149.9)</f>
        <v>5149.9</v>
      </c>
      <c r="D2756" s="3">
        <f>IFERROR(__xludf.DUMMYFUNCTION("""COMPUTED_VALUE"""),5035.25)</f>
        <v>5035.25</v>
      </c>
      <c r="E2756" s="3">
        <f>IFERROR(__xludf.DUMMYFUNCTION("""COMPUTED_VALUE"""),5140.2)</f>
        <v>5140.2</v>
      </c>
      <c r="F2756" s="3">
        <f>IFERROR(__xludf.DUMMYFUNCTION("""COMPUTED_VALUE"""),0.0)</f>
        <v>0</v>
      </c>
    </row>
    <row r="2757">
      <c r="A2757" s="7">
        <f>IFERROR(__xludf.DUMMYFUNCTION("""COMPUTED_VALUE"""),40807.645833333336)</f>
        <v>40807.64583</v>
      </c>
      <c r="B2757" s="3">
        <f>IFERROR(__xludf.DUMMYFUNCTION("""COMPUTED_VALUE"""),5153.75)</f>
        <v>5153.75</v>
      </c>
      <c r="C2757" s="3">
        <f>IFERROR(__xludf.DUMMYFUNCTION("""COMPUTED_VALUE"""),5168.4)</f>
        <v>5168.4</v>
      </c>
      <c r="D2757" s="3">
        <f>IFERROR(__xludf.DUMMYFUNCTION("""COMPUTED_VALUE"""),5109.85)</f>
        <v>5109.85</v>
      </c>
      <c r="E2757" s="3">
        <f>IFERROR(__xludf.DUMMYFUNCTION("""COMPUTED_VALUE"""),5133.25)</f>
        <v>5133.25</v>
      </c>
      <c r="F2757" s="3">
        <f>IFERROR(__xludf.DUMMYFUNCTION("""COMPUTED_VALUE"""),0.0)</f>
        <v>0</v>
      </c>
    </row>
    <row r="2758">
      <c r="A2758" s="7">
        <f>IFERROR(__xludf.DUMMYFUNCTION("""COMPUTED_VALUE"""),40808.645833333336)</f>
        <v>40808.64583</v>
      </c>
      <c r="B2758" s="3">
        <f>IFERROR(__xludf.DUMMYFUNCTION("""COMPUTED_VALUE"""),5054.45)</f>
        <v>5054.45</v>
      </c>
      <c r="C2758" s="3">
        <f>IFERROR(__xludf.DUMMYFUNCTION("""COMPUTED_VALUE"""),5059.85)</f>
        <v>5059.85</v>
      </c>
      <c r="D2758" s="3">
        <f>IFERROR(__xludf.DUMMYFUNCTION("""COMPUTED_VALUE"""),4907.75)</f>
        <v>4907.75</v>
      </c>
      <c r="E2758" s="3">
        <f>IFERROR(__xludf.DUMMYFUNCTION("""COMPUTED_VALUE"""),4923.65)</f>
        <v>4923.65</v>
      </c>
      <c r="F2758" s="3">
        <f>IFERROR(__xludf.DUMMYFUNCTION("""COMPUTED_VALUE"""),0.0)</f>
        <v>0</v>
      </c>
    </row>
    <row r="2759">
      <c r="A2759" s="7">
        <f>IFERROR(__xludf.DUMMYFUNCTION("""COMPUTED_VALUE"""),40809.645833333336)</f>
        <v>40809.64583</v>
      </c>
      <c r="B2759" s="3">
        <f>IFERROR(__xludf.DUMMYFUNCTION("""COMPUTED_VALUE"""),4873.75)</f>
        <v>4873.75</v>
      </c>
      <c r="C2759" s="3">
        <f>IFERROR(__xludf.DUMMYFUNCTION("""COMPUTED_VALUE"""),4930.25)</f>
        <v>4930.25</v>
      </c>
      <c r="D2759" s="3">
        <f>IFERROR(__xludf.DUMMYFUNCTION("""COMPUTED_VALUE"""),4829.6)</f>
        <v>4829.6</v>
      </c>
      <c r="E2759" s="3">
        <f>IFERROR(__xludf.DUMMYFUNCTION("""COMPUTED_VALUE"""),4867.75)</f>
        <v>4867.75</v>
      </c>
      <c r="F2759" s="3">
        <f>IFERROR(__xludf.DUMMYFUNCTION("""COMPUTED_VALUE"""),0.0)</f>
        <v>0</v>
      </c>
    </row>
    <row r="2760">
      <c r="A2760" s="7">
        <f>IFERROR(__xludf.DUMMYFUNCTION("""COMPUTED_VALUE"""),40812.645833333336)</f>
        <v>40812.64583</v>
      </c>
      <c r="B2760" s="3">
        <f>IFERROR(__xludf.DUMMYFUNCTION("""COMPUTED_VALUE"""),4878.6)</f>
        <v>4878.6</v>
      </c>
      <c r="C2760" s="3">
        <f>IFERROR(__xludf.DUMMYFUNCTION("""COMPUTED_VALUE"""),4879.8)</f>
        <v>4879.8</v>
      </c>
      <c r="D2760" s="3">
        <f>IFERROR(__xludf.DUMMYFUNCTION("""COMPUTED_VALUE"""),4758.85)</f>
        <v>4758.85</v>
      </c>
      <c r="E2760" s="3">
        <f>IFERROR(__xludf.DUMMYFUNCTION("""COMPUTED_VALUE"""),4835.4)</f>
        <v>4835.4</v>
      </c>
      <c r="F2760" s="3">
        <f>IFERROR(__xludf.DUMMYFUNCTION("""COMPUTED_VALUE"""),0.0)</f>
        <v>0</v>
      </c>
    </row>
    <row r="2761">
      <c r="A2761" s="7">
        <f>IFERROR(__xludf.DUMMYFUNCTION("""COMPUTED_VALUE"""),40813.645833333336)</f>
        <v>40813.64583</v>
      </c>
      <c r="B2761" s="3">
        <f>IFERROR(__xludf.DUMMYFUNCTION("""COMPUTED_VALUE"""),4905.15)</f>
        <v>4905.15</v>
      </c>
      <c r="C2761" s="3">
        <f>IFERROR(__xludf.DUMMYFUNCTION("""COMPUTED_VALUE"""),4982.95)</f>
        <v>4982.95</v>
      </c>
      <c r="D2761" s="3">
        <f>IFERROR(__xludf.DUMMYFUNCTION("""COMPUTED_VALUE"""),4905.15)</f>
        <v>4905.15</v>
      </c>
      <c r="E2761" s="3">
        <f>IFERROR(__xludf.DUMMYFUNCTION("""COMPUTED_VALUE"""),4971.25)</f>
        <v>4971.25</v>
      </c>
      <c r="F2761" s="3">
        <f>IFERROR(__xludf.DUMMYFUNCTION("""COMPUTED_VALUE"""),0.0)</f>
        <v>0</v>
      </c>
    </row>
    <row r="2762">
      <c r="A2762" s="7">
        <f>IFERROR(__xludf.DUMMYFUNCTION("""COMPUTED_VALUE"""),40814.645833333336)</f>
        <v>40814.64583</v>
      </c>
      <c r="B2762" s="3">
        <f>IFERROR(__xludf.DUMMYFUNCTION("""COMPUTED_VALUE"""),5005.5)</f>
        <v>5005.5</v>
      </c>
      <c r="C2762" s="3">
        <f>IFERROR(__xludf.DUMMYFUNCTION("""COMPUTED_VALUE"""),5006.05)</f>
        <v>5006.05</v>
      </c>
      <c r="D2762" s="3">
        <f>IFERROR(__xludf.DUMMYFUNCTION("""COMPUTED_VALUE"""),4918.45)</f>
        <v>4918.45</v>
      </c>
      <c r="E2762" s="3">
        <f>IFERROR(__xludf.DUMMYFUNCTION("""COMPUTED_VALUE"""),4945.9)</f>
        <v>4945.9</v>
      </c>
      <c r="F2762" s="3">
        <f>IFERROR(__xludf.DUMMYFUNCTION("""COMPUTED_VALUE"""),0.0)</f>
        <v>0</v>
      </c>
    </row>
    <row r="2763">
      <c r="A2763" s="7">
        <f>IFERROR(__xludf.DUMMYFUNCTION("""COMPUTED_VALUE"""),40815.645833333336)</f>
        <v>40815.64583</v>
      </c>
      <c r="B2763" s="3">
        <f>IFERROR(__xludf.DUMMYFUNCTION("""COMPUTED_VALUE"""),4924.2)</f>
        <v>4924.2</v>
      </c>
      <c r="C2763" s="3">
        <f>IFERROR(__xludf.DUMMYFUNCTION("""COMPUTED_VALUE"""),5034.25)</f>
        <v>5034.25</v>
      </c>
      <c r="D2763" s="3">
        <f>IFERROR(__xludf.DUMMYFUNCTION("""COMPUTED_VALUE"""),4906.0)</f>
        <v>4906</v>
      </c>
      <c r="E2763" s="3">
        <f>IFERROR(__xludf.DUMMYFUNCTION("""COMPUTED_VALUE"""),5015.45)</f>
        <v>5015.45</v>
      </c>
      <c r="F2763" s="3">
        <f>IFERROR(__xludf.DUMMYFUNCTION("""COMPUTED_VALUE"""),0.0)</f>
        <v>0</v>
      </c>
    </row>
    <row r="2764">
      <c r="A2764" s="7">
        <f>IFERROR(__xludf.DUMMYFUNCTION("""COMPUTED_VALUE"""),40816.645833333336)</f>
        <v>40816.64583</v>
      </c>
      <c r="B2764" s="3">
        <f>IFERROR(__xludf.DUMMYFUNCTION("""COMPUTED_VALUE"""),4990.15)</f>
        <v>4990.15</v>
      </c>
      <c r="C2764" s="3">
        <f>IFERROR(__xludf.DUMMYFUNCTION("""COMPUTED_VALUE"""),5025.55)</f>
        <v>5025.55</v>
      </c>
      <c r="D2764" s="3">
        <f>IFERROR(__xludf.DUMMYFUNCTION("""COMPUTED_VALUE"""),4924.3)</f>
        <v>4924.3</v>
      </c>
      <c r="E2764" s="3">
        <f>IFERROR(__xludf.DUMMYFUNCTION("""COMPUTED_VALUE"""),4943.25)</f>
        <v>4943.25</v>
      </c>
      <c r="F2764" s="3">
        <f>IFERROR(__xludf.DUMMYFUNCTION("""COMPUTED_VALUE"""),0.0)</f>
        <v>0</v>
      </c>
    </row>
    <row r="2765">
      <c r="A2765" s="7">
        <f>IFERROR(__xludf.DUMMYFUNCTION("""COMPUTED_VALUE"""),40819.645833333336)</f>
        <v>40819.64583</v>
      </c>
      <c r="B2765" s="3">
        <f>IFERROR(__xludf.DUMMYFUNCTION("""COMPUTED_VALUE"""),4874.4)</f>
        <v>4874.4</v>
      </c>
      <c r="C2765" s="3">
        <f>IFERROR(__xludf.DUMMYFUNCTION("""COMPUTED_VALUE"""),4879.15)</f>
        <v>4879.15</v>
      </c>
      <c r="D2765" s="3">
        <f>IFERROR(__xludf.DUMMYFUNCTION("""COMPUTED_VALUE"""),4823.9)</f>
        <v>4823.9</v>
      </c>
      <c r="E2765" s="3">
        <f>IFERROR(__xludf.DUMMYFUNCTION("""COMPUTED_VALUE"""),4849.5)</f>
        <v>4849.5</v>
      </c>
      <c r="F2765" s="3">
        <f>IFERROR(__xludf.DUMMYFUNCTION("""COMPUTED_VALUE"""),0.0)</f>
        <v>0</v>
      </c>
    </row>
    <row r="2766">
      <c r="A2766" s="7">
        <f>IFERROR(__xludf.DUMMYFUNCTION("""COMPUTED_VALUE"""),40820.645833333336)</f>
        <v>40820.64583</v>
      </c>
      <c r="B2766" s="3">
        <f>IFERROR(__xludf.DUMMYFUNCTION("""COMPUTED_VALUE"""),4823.5)</f>
        <v>4823.5</v>
      </c>
      <c r="C2766" s="3">
        <f>IFERROR(__xludf.DUMMYFUNCTION("""COMPUTED_VALUE"""),4869.75)</f>
        <v>4869.75</v>
      </c>
      <c r="D2766" s="3">
        <f>IFERROR(__xludf.DUMMYFUNCTION("""COMPUTED_VALUE"""),4728.3)</f>
        <v>4728.3</v>
      </c>
      <c r="E2766" s="3">
        <f>IFERROR(__xludf.DUMMYFUNCTION("""COMPUTED_VALUE"""),4772.15)</f>
        <v>4772.15</v>
      </c>
      <c r="F2766" s="3">
        <f>IFERROR(__xludf.DUMMYFUNCTION("""COMPUTED_VALUE"""),0.0)</f>
        <v>0</v>
      </c>
    </row>
    <row r="2767">
      <c r="A2767" s="7">
        <f>IFERROR(__xludf.DUMMYFUNCTION("""COMPUTED_VALUE"""),40821.645833333336)</f>
        <v>40821.64583</v>
      </c>
      <c r="B2767" s="3">
        <f>IFERROR(__xludf.DUMMYFUNCTION("""COMPUTED_VALUE"""),4791.3)</f>
        <v>4791.3</v>
      </c>
      <c r="C2767" s="3">
        <f>IFERROR(__xludf.DUMMYFUNCTION("""COMPUTED_VALUE"""),4827.8)</f>
        <v>4827.8</v>
      </c>
      <c r="D2767" s="3">
        <f>IFERROR(__xludf.DUMMYFUNCTION("""COMPUTED_VALUE"""),4741.0)</f>
        <v>4741</v>
      </c>
      <c r="E2767" s="3">
        <f>IFERROR(__xludf.DUMMYFUNCTION("""COMPUTED_VALUE"""),4751.3)</f>
        <v>4751.3</v>
      </c>
      <c r="F2767" s="3">
        <f>IFERROR(__xludf.DUMMYFUNCTION("""COMPUTED_VALUE"""),0.0)</f>
        <v>0</v>
      </c>
    </row>
    <row r="2768">
      <c r="A2768" s="7">
        <f>IFERROR(__xludf.DUMMYFUNCTION("""COMPUTED_VALUE"""),40823.645833333336)</f>
        <v>40823.64583</v>
      </c>
      <c r="B2768" s="3">
        <f>IFERROR(__xludf.DUMMYFUNCTION("""COMPUTED_VALUE"""),4883.65)</f>
        <v>4883.65</v>
      </c>
      <c r="C2768" s="3">
        <f>IFERROR(__xludf.DUMMYFUNCTION("""COMPUTED_VALUE"""),4922.6)</f>
        <v>4922.6</v>
      </c>
      <c r="D2768" s="3">
        <f>IFERROR(__xludf.DUMMYFUNCTION("""COMPUTED_VALUE"""),4861.2)</f>
        <v>4861.2</v>
      </c>
      <c r="E2768" s="3">
        <f>IFERROR(__xludf.DUMMYFUNCTION("""COMPUTED_VALUE"""),4888.05)</f>
        <v>4888.05</v>
      </c>
      <c r="F2768" s="3">
        <f>IFERROR(__xludf.DUMMYFUNCTION("""COMPUTED_VALUE"""),0.0)</f>
        <v>0</v>
      </c>
    </row>
    <row r="2769">
      <c r="A2769" s="7">
        <f>IFERROR(__xludf.DUMMYFUNCTION("""COMPUTED_VALUE"""),40826.645833333336)</f>
        <v>40826.64583</v>
      </c>
      <c r="B2769" s="3">
        <f>IFERROR(__xludf.DUMMYFUNCTION("""COMPUTED_VALUE"""),4886.85)</f>
        <v>4886.85</v>
      </c>
      <c r="C2769" s="3">
        <f>IFERROR(__xludf.DUMMYFUNCTION("""COMPUTED_VALUE"""),4991.15)</f>
        <v>4991.15</v>
      </c>
      <c r="D2769" s="3">
        <f>IFERROR(__xludf.DUMMYFUNCTION("""COMPUTED_VALUE"""),4882.05)</f>
        <v>4882.05</v>
      </c>
      <c r="E2769" s="3">
        <f>IFERROR(__xludf.DUMMYFUNCTION("""COMPUTED_VALUE"""),4979.6)</f>
        <v>4979.6</v>
      </c>
      <c r="F2769" s="3">
        <f>IFERROR(__xludf.DUMMYFUNCTION("""COMPUTED_VALUE"""),0.0)</f>
        <v>0</v>
      </c>
    </row>
    <row r="2770">
      <c r="A2770" s="7">
        <f>IFERROR(__xludf.DUMMYFUNCTION("""COMPUTED_VALUE"""),40827.645833333336)</f>
        <v>40827.64583</v>
      </c>
      <c r="B2770" s="3">
        <f>IFERROR(__xludf.DUMMYFUNCTION("""COMPUTED_VALUE"""),5019.9)</f>
        <v>5019.9</v>
      </c>
      <c r="C2770" s="3">
        <f>IFERROR(__xludf.DUMMYFUNCTION("""COMPUTED_VALUE"""),5045.1)</f>
        <v>5045.1</v>
      </c>
      <c r="D2770" s="3">
        <f>IFERROR(__xludf.DUMMYFUNCTION("""COMPUTED_VALUE"""),4964.0)</f>
        <v>4964</v>
      </c>
      <c r="E2770" s="3">
        <f>IFERROR(__xludf.DUMMYFUNCTION("""COMPUTED_VALUE"""),4974.35)</f>
        <v>4974.35</v>
      </c>
      <c r="F2770" s="3">
        <f>IFERROR(__xludf.DUMMYFUNCTION("""COMPUTED_VALUE"""),0.0)</f>
        <v>0</v>
      </c>
    </row>
    <row r="2771">
      <c r="A2771" s="7">
        <f>IFERROR(__xludf.DUMMYFUNCTION("""COMPUTED_VALUE"""),40828.645833333336)</f>
        <v>40828.64583</v>
      </c>
      <c r="B2771" s="3">
        <f>IFERROR(__xludf.DUMMYFUNCTION("""COMPUTED_VALUE"""),5011.2)</f>
        <v>5011.2</v>
      </c>
      <c r="C2771" s="3">
        <f>IFERROR(__xludf.DUMMYFUNCTION("""COMPUTED_VALUE"""),5109.8)</f>
        <v>5109.8</v>
      </c>
      <c r="D2771" s="3">
        <f>IFERROR(__xludf.DUMMYFUNCTION("""COMPUTED_VALUE"""),4997.65)</f>
        <v>4997.65</v>
      </c>
      <c r="E2771" s="3">
        <f>IFERROR(__xludf.DUMMYFUNCTION("""COMPUTED_VALUE"""),5099.4)</f>
        <v>5099.4</v>
      </c>
      <c r="F2771" s="3">
        <f>IFERROR(__xludf.DUMMYFUNCTION("""COMPUTED_VALUE"""),0.0)</f>
        <v>0</v>
      </c>
    </row>
    <row r="2772">
      <c r="A2772" s="7">
        <f>IFERROR(__xludf.DUMMYFUNCTION("""COMPUTED_VALUE"""),40829.645833333336)</f>
        <v>40829.64583</v>
      </c>
      <c r="B2772" s="3">
        <f>IFERROR(__xludf.DUMMYFUNCTION("""COMPUTED_VALUE"""),5130.8)</f>
        <v>5130.8</v>
      </c>
      <c r="C2772" s="3">
        <f>IFERROR(__xludf.DUMMYFUNCTION("""COMPUTED_VALUE"""),5136.95)</f>
        <v>5136.95</v>
      </c>
      <c r="D2772" s="3">
        <f>IFERROR(__xludf.DUMMYFUNCTION("""COMPUTED_VALUE"""),5067.65)</f>
        <v>5067.65</v>
      </c>
      <c r="E2772" s="3">
        <f>IFERROR(__xludf.DUMMYFUNCTION("""COMPUTED_VALUE"""),5077.85)</f>
        <v>5077.85</v>
      </c>
      <c r="F2772" s="3">
        <f>IFERROR(__xludf.DUMMYFUNCTION("""COMPUTED_VALUE"""),0.0)</f>
        <v>0</v>
      </c>
    </row>
    <row r="2773">
      <c r="A2773" s="7">
        <f>IFERROR(__xludf.DUMMYFUNCTION("""COMPUTED_VALUE"""),40830.645833333336)</f>
        <v>40830.64583</v>
      </c>
      <c r="B2773" s="3">
        <f>IFERROR(__xludf.DUMMYFUNCTION("""COMPUTED_VALUE"""),5057.35)</f>
        <v>5057.35</v>
      </c>
      <c r="C2773" s="3">
        <f>IFERROR(__xludf.DUMMYFUNCTION("""COMPUTED_VALUE"""),5141.4)</f>
        <v>5141.4</v>
      </c>
      <c r="D2773" s="3">
        <f>IFERROR(__xludf.DUMMYFUNCTION("""COMPUTED_VALUE"""),5056.6)</f>
        <v>5056.6</v>
      </c>
      <c r="E2773" s="3">
        <f>IFERROR(__xludf.DUMMYFUNCTION("""COMPUTED_VALUE"""),5132.3)</f>
        <v>5132.3</v>
      </c>
      <c r="F2773" s="3">
        <f>IFERROR(__xludf.DUMMYFUNCTION("""COMPUTED_VALUE"""),0.0)</f>
        <v>0</v>
      </c>
    </row>
    <row r="2774">
      <c r="A2774" s="7">
        <f>IFERROR(__xludf.DUMMYFUNCTION("""COMPUTED_VALUE"""),40833.645833333336)</f>
        <v>40833.64583</v>
      </c>
      <c r="B2774" s="3">
        <f>IFERROR(__xludf.DUMMYFUNCTION("""COMPUTED_VALUE"""),5156.2)</f>
        <v>5156.2</v>
      </c>
      <c r="C2774" s="3">
        <f>IFERROR(__xludf.DUMMYFUNCTION("""COMPUTED_VALUE"""),5160.2)</f>
        <v>5160.2</v>
      </c>
      <c r="D2774" s="3">
        <f>IFERROR(__xludf.DUMMYFUNCTION("""COMPUTED_VALUE"""),5084.5)</f>
        <v>5084.5</v>
      </c>
      <c r="E2774" s="3">
        <f>IFERROR(__xludf.DUMMYFUNCTION("""COMPUTED_VALUE"""),5118.25)</f>
        <v>5118.25</v>
      </c>
      <c r="F2774" s="3">
        <f>IFERROR(__xludf.DUMMYFUNCTION("""COMPUTED_VALUE"""),0.0)</f>
        <v>0</v>
      </c>
    </row>
    <row r="2775">
      <c r="A2775" s="7">
        <f>IFERROR(__xludf.DUMMYFUNCTION("""COMPUTED_VALUE"""),40834.645833333336)</f>
        <v>40834.64583</v>
      </c>
      <c r="B2775" s="3">
        <f>IFERROR(__xludf.DUMMYFUNCTION("""COMPUTED_VALUE"""),5049.45)</f>
        <v>5049.45</v>
      </c>
      <c r="C2775" s="3">
        <f>IFERROR(__xludf.DUMMYFUNCTION("""COMPUTED_VALUE"""),5057.5)</f>
        <v>5057.5</v>
      </c>
      <c r="D2775" s="3">
        <f>IFERROR(__xludf.DUMMYFUNCTION("""COMPUTED_VALUE"""),5011.05)</f>
        <v>5011.05</v>
      </c>
      <c r="E2775" s="3">
        <f>IFERROR(__xludf.DUMMYFUNCTION("""COMPUTED_VALUE"""),5037.5)</f>
        <v>5037.5</v>
      </c>
      <c r="F2775" s="3">
        <f>IFERROR(__xludf.DUMMYFUNCTION("""COMPUTED_VALUE"""),0.0)</f>
        <v>0</v>
      </c>
    </row>
    <row r="2776">
      <c r="A2776" s="7">
        <f>IFERROR(__xludf.DUMMYFUNCTION("""COMPUTED_VALUE"""),40835.645833333336)</f>
        <v>40835.64583</v>
      </c>
      <c r="B2776" s="3">
        <f>IFERROR(__xludf.DUMMYFUNCTION("""COMPUTED_VALUE"""),5080.45)</f>
        <v>5080.45</v>
      </c>
      <c r="C2776" s="3">
        <f>IFERROR(__xludf.DUMMYFUNCTION("""COMPUTED_VALUE"""),5148.05)</f>
        <v>5148.05</v>
      </c>
      <c r="D2776" s="3">
        <f>IFERROR(__xludf.DUMMYFUNCTION("""COMPUTED_VALUE"""),5075.3)</f>
        <v>5075.3</v>
      </c>
      <c r="E2776" s="3">
        <f>IFERROR(__xludf.DUMMYFUNCTION("""COMPUTED_VALUE"""),5139.15)</f>
        <v>5139.15</v>
      </c>
      <c r="F2776" s="3">
        <f>IFERROR(__xludf.DUMMYFUNCTION("""COMPUTED_VALUE"""),0.0)</f>
        <v>0</v>
      </c>
    </row>
    <row r="2777">
      <c r="A2777" s="7">
        <f>IFERROR(__xludf.DUMMYFUNCTION("""COMPUTED_VALUE"""),40836.645833333336)</f>
        <v>40836.64583</v>
      </c>
      <c r="B2777" s="3">
        <f>IFERROR(__xludf.DUMMYFUNCTION("""COMPUTED_VALUE"""),5086.55)</f>
        <v>5086.55</v>
      </c>
      <c r="C2777" s="3">
        <f>IFERROR(__xludf.DUMMYFUNCTION("""COMPUTED_VALUE"""),5099.0)</f>
        <v>5099</v>
      </c>
      <c r="D2777" s="3">
        <f>IFERROR(__xludf.DUMMYFUNCTION("""COMPUTED_VALUE"""),5033.95)</f>
        <v>5033.95</v>
      </c>
      <c r="E2777" s="3">
        <f>IFERROR(__xludf.DUMMYFUNCTION("""COMPUTED_VALUE"""),5091.9)</f>
        <v>5091.9</v>
      </c>
      <c r="F2777" s="3">
        <f>IFERROR(__xludf.DUMMYFUNCTION("""COMPUTED_VALUE"""),0.0)</f>
        <v>0</v>
      </c>
    </row>
    <row r="2778">
      <c r="A2778" s="7">
        <f>IFERROR(__xludf.DUMMYFUNCTION("""COMPUTED_VALUE"""),40837.645833333336)</f>
        <v>40837.64583</v>
      </c>
      <c r="B2778" s="3">
        <f>IFERROR(__xludf.DUMMYFUNCTION("""COMPUTED_VALUE"""),5106.6)</f>
        <v>5106.6</v>
      </c>
      <c r="C2778" s="3">
        <f>IFERROR(__xludf.DUMMYFUNCTION("""COMPUTED_VALUE"""),5120.75)</f>
        <v>5120.75</v>
      </c>
      <c r="D2778" s="3">
        <f>IFERROR(__xludf.DUMMYFUNCTION("""COMPUTED_VALUE"""),5037.95)</f>
        <v>5037.95</v>
      </c>
      <c r="E2778" s="3">
        <f>IFERROR(__xludf.DUMMYFUNCTION("""COMPUTED_VALUE"""),5049.95)</f>
        <v>5049.95</v>
      </c>
      <c r="F2778" s="3">
        <f>IFERROR(__xludf.DUMMYFUNCTION("""COMPUTED_VALUE"""),0.0)</f>
        <v>0</v>
      </c>
    </row>
    <row r="2779">
      <c r="A2779" s="7">
        <f>IFERROR(__xludf.DUMMYFUNCTION("""COMPUTED_VALUE"""),40840.645833333336)</f>
        <v>40840.64583</v>
      </c>
      <c r="B2779" s="3">
        <f>IFERROR(__xludf.DUMMYFUNCTION("""COMPUTED_VALUE"""),5114.7)</f>
        <v>5114.7</v>
      </c>
      <c r="C2779" s="3">
        <f>IFERROR(__xludf.DUMMYFUNCTION("""COMPUTED_VALUE"""),5145.65)</f>
        <v>5145.65</v>
      </c>
      <c r="D2779" s="3">
        <f>IFERROR(__xludf.DUMMYFUNCTION("""COMPUTED_VALUE"""),5084.75)</f>
        <v>5084.75</v>
      </c>
      <c r="E2779" s="3">
        <f>IFERROR(__xludf.DUMMYFUNCTION("""COMPUTED_VALUE"""),5098.35)</f>
        <v>5098.35</v>
      </c>
      <c r="F2779" s="3">
        <f>IFERROR(__xludf.DUMMYFUNCTION("""COMPUTED_VALUE"""),0.0)</f>
        <v>0</v>
      </c>
    </row>
    <row r="2780">
      <c r="A2780" s="7">
        <f>IFERROR(__xludf.DUMMYFUNCTION("""COMPUTED_VALUE"""),40841.645833333336)</f>
        <v>40841.64583</v>
      </c>
      <c r="B2780" s="3">
        <f>IFERROR(__xludf.DUMMYFUNCTION("""COMPUTED_VALUE"""),5137.9)</f>
        <v>5137.9</v>
      </c>
      <c r="C2780" s="3">
        <f>IFERROR(__xludf.DUMMYFUNCTION("""COMPUTED_VALUE"""),5211.0)</f>
        <v>5211</v>
      </c>
      <c r="D2780" s="3">
        <f>IFERROR(__xludf.DUMMYFUNCTION("""COMPUTED_VALUE"""),5085.55)</f>
        <v>5085.55</v>
      </c>
      <c r="E2780" s="3">
        <f>IFERROR(__xludf.DUMMYFUNCTION("""COMPUTED_VALUE"""),5191.6)</f>
        <v>5191.6</v>
      </c>
      <c r="F2780" s="3">
        <f>IFERROR(__xludf.DUMMYFUNCTION("""COMPUTED_VALUE"""),0.0)</f>
        <v>0</v>
      </c>
    </row>
    <row r="2781">
      <c r="A2781" s="7">
        <f>IFERROR(__xludf.DUMMYFUNCTION("""COMPUTED_VALUE"""),40842.645833333336)</f>
        <v>40842.64583</v>
      </c>
      <c r="B2781" s="3">
        <f>IFERROR(__xludf.DUMMYFUNCTION("""COMPUTED_VALUE"""),5214.95)</f>
        <v>5214.95</v>
      </c>
      <c r="C2781" s="3">
        <f>IFERROR(__xludf.DUMMYFUNCTION("""COMPUTED_VALUE"""),5219.25)</f>
        <v>5219.25</v>
      </c>
      <c r="D2781" s="3">
        <f>IFERROR(__xludf.DUMMYFUNCTION("""COMPUTED_VALUE"""),5196.15)</f>
        <v>5196.15</v>
      </c>
      <c r="E2781" s="3">
        <f>IFERROR(__xludf.DUMMYFUNCTION("""COMPUTED_VALUE"""),5201.8)</f>
        <v>5201.8</v>
      </c>
      <c r="F2781" s="3">
        <f>IFERROR(__xludf.DUMMYFUNCTION("""COMPUTED_VALUE"""),0.0)</f>
        <v>0</v>
      </c>
    </row>
    <row r="2782">
      <c r="A2782" s="7">
        <f>IFERROR(__xludf.DUMMYFUNCTION("""COMPUTED_VALUE"""),40844.645833333336)</f>
        <v>40844.64583</v>
      </c>
      <c r="B2782" s="3">
        <f>IFERROR(__xludf.DUMMYFUNCTION("""COMPUTED_VALUE"""),5341.9)</f>
        <v>5341.9</v>
      </c>
      <c r="C2782" s="3">
        <f>IFERROR(__xludf.DUMMYFUNCTION("""COMPUTED_VALUE"""),5399.7)</f>
        <v>5399.7</v>
      </c>
      <c r="D2782" s="3">
        <f>IFERROR(__xludf.DUMMYFUNCTION("""COMPUTED_VALUE"""),5322.8)</f>
        <v>5322.8</v>
      </c>
      <c r="E2782" s="3">
        <f>IFERROR(__xludf.DUMMYFUNCTION("""COMPUTED_VALUE"""),5360.7)</f>
        <v>5360.7</v>
      </c>
      <c r="F2782" s="3">
        <f>IFERROR(__xludf.DUMMYFUNCTION("""COMPUTED_VALUE"""),0.0)</f>
        <v>0</v>
      </c>
    </row>
    <row r="2783">
      <c r="A2783" s="7">
        <f>IFERROR(__xludf.DUMMYFUNCTION("""COMPUTED_VALUE"""),40847.645833333336)</f>
        <v>40847.64583</v>
      </c>
      <c r="B2783" s="3">
        <f>IFERROR(__xludf.DUMMYFUNCTION("""COMPUTED_VALUE"""),5358.9)</f>
        <v>5358.9</v>
      </c>
      <c r="C2783" s="3">
        <f>IFERROR(__xludf.DUMMYFUNCTION("""COMPUTED_VALUE"""),5360.25)</f>
        <v>5360.25</v>
      </c>
      <c r="D2783" s="3">
        <f>IFERROR(__xludf.DUMMYFUNCTION("""COMPUTED_VALUE"""),5314.6)</f>
        <v>5314.6</v>
      </c>
      <c r="E2783" s="3">
        <f>IFERROR(__xludf.DUMMYFUNCTION("""COMPUTED_VALUE"""),5326.6)</f>
        <v>5326.6</v>
      </c>
      <c r="F2783" s="3">
        <f>IFERROR(__xludf.DUMMYFUNCTION("""COMPUTED_VALUE"""),0.0)</f>
        <v>0</v>
      </c>
    </row>
    <row r="2784">
      <c r="A2784" s="7">
        <f>IFERROR(__xludf.DUMMYFUNCTION("""COMPUTED_VALUE"""),40848.645833333336)</f>
        <v>40848.64583</v>
      </c>
      <c r="B2784" s="3">
        <f>IFERROR(__xludf.DUMMYFUNCTION("""COMPUTED_VALUE"""),5278.6)</f>
        <v>5278.6</v>
      </c>
      <c r="C2784" s="3">
        <f>IFERROR(__xludf.DUMMYFUNCTION("""COMPUTED_VALUE"""),5310.85)</f>
        <v>5310.85</v>
      </c>
      <c r="D2784" s="3">
        <f>IFERROR(__xludf.DUMMYFUNCTION("""COMPUTED_VALUE"""),5238.3)</f>
        <v>5238.3</v>
      </c>
      <c r="E2784" s="3">
        <f>IFERROR(__xludf.DUMMYFUNCTION("""COMPUTED_VALUE"""),5257.95)</f>
        <v>5257.95</v>
      </c>
      <c r="F2784" s="3">
        <f>IFERROR(__xludf.DUMMYFUNCTION("""COMPUTED_VALUE"""),0.0)</f>
        <v>0</v>
      </c>
    </row>
    <row r="2785">
      <c r="A2785" s="7">
        <f>IFERROR(__xludf.DUMMYFUNCTION("""COMPUTED_VALUE"""),40849.645833333336)</f>
        <v>40849.64583</v>
      </c>
      <c r="B2785" s="3">
        <f>IFERROR(__xludf.DUMMYFUNCTION("""COMPUTED_VALUE"""),5216.75)</f>
        <v>5216.75</v>
      </c>
      <c r="C2785" s="3">
        <f>IFERROR(__xludf.DUMMYFUNCTION("""COMPUTED_VALUE"""),5300.1)</f>
        <v>5300.1</v>
      </c>
      <c r="D2785" s="3">
        <f>IFERROR(__xludf.DUMMYFUNCTION("""COMPUTED_VALUE"""),5204.95)</f>
        <v>5204.95</v>
      </c>
      <c r="E2785" s="3">
        <f>IFERROR(__xludf.DUMMYFUNCTION("""COMPUTED_VALUE"""),5258.45)</f>
        <v>5258.45</v>
      </c>
      <c r="F2785" s="3">
        <f>IFERROR(__xludf.DUMMYFUNCTION("""COMPUTED_VALUE"""),0.0)</f>
        <v>0</v>
      </c>
    </row>
    <row r="2786">
      <c r="A2786" s="7">
        <f>IFERROR(__xludf.DUMMYFUNCTION("""COMPUTED_VALUE"""),40850.645833333336)</f>
        <v>40850.64583</v>
      </c>
      <c r="B2786" s="3">
        <f>IFERROR(__xludf.DUMMYFUNCTION("""COMPUTED_VALUE"""),5241.55)</f>
        <v>5241.55</v>
      </c>
      <c r="C2786" s="3">
        <f>IFERROR(__xludf.DUMMYFUNCTION("""COMPUTED_VALUE"""),5281.6)</f>
        <v>5281.6</v>
      </c>
      <c r="D2786" s="3">
        <f>IFERROR(__xludf.DUMMYFUNCTION("""COMPUTED_VALUE"""),5201.85)</f>
        <v>5201.85</v>
      </c>
      <c r="E2786" s="3">
        <f>IFERROR(__xludf.DUMMYFUNCTION("""COMPUTED_VALUE"""),5265.75)</f>
        <v>5265.75</v>
      </c>
      <c r="F2786" s="3">
        <f>IFERROR(__xludf.DUMMYFUNCTION("""COMPUTED_VALUE"""),0.0)</f>
        <v>0</v>
      </c>
    </row>
    <row r="2787">
      <c r="A2787" s="7">
        <f>IFERROR(__xludf.DUMMYFUNCTION("""COMPUTED_VALUE"""),40851.645833333336)</f>
        <v>40851.64583</v>
      </c>
      <c r="B2787" s="3">
        <f>IFERROR(__xludf.DUMMYFUNCTION("""COMPUTED_VALUE"""),5325.4)</f>
        <v>5325.4</v>
      </c>
      <c r="C2787" s="3">
        <f>IFERROR(__xludf.DUMMYFUNCTION("""COMPUTED_VALUE"""),5326.45)</f>
        <v>5326.45</v>
      </c>
      <c r="D2787" s="3">
        <f>IFERROR(__xludf.DUMMYFUNCTION("""COMPUTED_VALUE"""),5256.8)</f>
        <v>5256.8</v>
      </c>
      <c r="E2787" s="3">
        <f>IFERROR(__xludf.DUMMYFUNCTION("""COMPUTED_VALUE"""),5284.2)</f>
        <v>5284.2</v>
      </c>
      <c r="F2787" s="3">
        <f>IFERROR(__xludf.DUMMYFUNCTION("""COMPUTED_VALUE"""),0.0)</f>
        <v>0</v>
      </c>
    </row>
    <row r="2788">
      <c r="A2788" s="7">
        <f>IFERROR(__xludf.DUMMYFUNCTION("""COMPUTED_VALUE"""),40855.645833333336)</f>
        <v>40855.64583</v>
      </c>
      <c r="B2788" s="3">
        <f>IFERROR(__xludf.DUMMYFUNCTION("""COMPUTED_VALUE"""),5292.25)</f>
        <v>5292.25</v>
      </c>
      <c r="C2788" s="3">
        <f>IFERROR(__xludf.DUMMYFUNCTION("""COMPUTED_VALUE"""),5304.25)</f>
        <v>5304.25</v>
      </c>
      <c r="D2788" s="3">
        <f>IFERROR(__xludf.DUMMYFUNCTION("""COMPUTED_VALUE"""),5252.0)</f>
        <v>5252</v>
      </c>
      <c r="E2788" s="3">
        <f>IFERROR(__xludf.DUMMYFUNCTION("""COMPUTED_VALUE"""),5289.35)</f>
        <v>5289.35</v>
      </c>
      <c r="F2788" s="3">
        <f>IFERROR(__xludf.DUMMYFUNCTION("""COMPUTED_VALUE"""),0.0)</f>
        <v>0</v>
      </c>
    </row>
    <row r="2789">
      <c r="A2789" s="7">
        <f>IFERROR(__xludf.DUMMYFUNCTION("""COMPUTED_VALUE"""),40856.645833333336)</f>
        <v>40856.64583</v>
      </c>
      <c r="B2789" s="3">
        <f>IFERROR(__xludf.DUMMYFUNCTION("""COMPUTED_VALUE"""),5309.7)</f>
        <v>5309.7</v>
      </c>
      <c r="C2789" s="3">
        <f>IFERROR(__xludf.DUMMYFUNCTION("""COMPUTED_VALUE"""),5317.5)</f>
        <v>5317.5</v>
      </c>
      <c r="D2789" s="3">
        <f>IFERROR(__xludf.DUMMYFUNCTION("""COMPUTED_VALUE"""),5211.75)</f>
        <v>5211.75</v>
      </c>
      <c r="E2789" s="3">
        <f>IFERROR(__xludf.DUMMYFUNCTION("""COMPUTED_VALUE"""),5221.05)</f>
        <v>5221.05</v>
      </c>
      <c r="F2789" s="3">
        <f>IFERROR(__xludf.DUMMYFUNCTION("""COMPUTED_VALUE"""),0.0)</f>
        <v>0</v>
      </c>
    </row>
    <row r="2790">
      <c r="A2790" s="7">
        <f>IFERROR(__xludf.DUMMYFUNCTION("""COMPUTED_VALUE"""),40858.645833333336)</f>
        <v>40858.64583</v>
      </c>
      <c r="B2790" s="3">
        <f>IFERROR(__xludf.DUMMYFUNCTION("""COMPUTED_VALUE"""),5159.75)</f>
        <v>5159.75</v>
      </c>
      <c r="C2790" s="3">
        <f>IFERROR(__xludf.DUMMYFUNCTION("""COMPUTED_VALUE"""),5198.6)</f>
        <v>5198.6</v>
      </c>
      <c r="D2790" s="3">
        <f>IFERROR(__xludf.DUMMYFUNCTION("""COMPUTED_VALUE"""),5142.25)</f>
        <v>5142.25</v>
      </c>
      <c r="E2790" s="3">
        <f>IFERROR(__xludf.DUMMYFUNCTION("""COMPUTED_VALUE"""),5168.85)</f>
        <v>5168.85</v>
      </c>
      <c r="F2790" s="3">
        <f>IFERROR(__xludf.DUMMYFUNCTION("""COMPUTED_VALUE"""),0.0)</f>
        <v>0</v>
      </c>
    </row>
    <row r="2791">
      <c r="A2791" s="7">
        <f>IFERROR(__xludf.DUMMYFUNCTION("""COMPUTED_VALUE"""),40861.645833333336)</f>
        <v>40861.64583</v>
      </c>
      <c r="B2791" s="3">
        <f>IFERROR(__xludf.DUMMYFUNCTION("""COMPUTED_VALUE"""),5217.35)</f>
        <v>5217.35</v>
      </c>
      <c r="C2791" s="3">
        <f>IFERROR(__xludf.DUMMYFUNCTION("""COMPUTED_VALUE"""),5228.9)</f>
        <v>5228.9</v>
      </c>
      <c r="D2791" s="3">
        <f>IFERROR(__xludf.DUMMYFUNCTION("""COMPUTED_VALUE"""),5140.55)</f>
        <v>5140.55</v>
      </c>
      <c r="E2791" s="3">
        <f>IFERROR(__xludf.DUMMYFUNCTION("""COMPUTED_VALUE"""),5148.35)</f>
        <v>5148.35</v>
      </c>
      <c r="F2791" s="3">
        <f>IFERROR(__xludf.DUMMYFUNCTION("""COMPUTED_VALUE"""),0.0)</f>
        <v>0</v>
      </c>
    </row>
    <row r="2792">
      <c r="A2792" s="7">
        <f>IFERROR(__xludf.DUMMYFUNCTION("""COMPUTED_VALUE"""),40862.645833333336)</f>
        <v>40862.64583</v>
      </c>
      <c r="B2792" s="3">
        <f>IFERROR(__xludf.DUMMYFUNCTION("""COMPUTED_VALUE"""),5131.2)</f>
        <v>5131.2</v>
      </c>
      <c r="C2792" s="3">
        <f>IFERROR(__xludf.DUMMYFUNCTION("""COMPUTED_VALUE"""),5158.75)</f>
        <v>5158.75</v>
      </c>
      <c r="D2792" s="3">
        <f>IFERROR(__xludf.DUMMYFUNCTION("""COMPUTED_VALUE"""),5052.85)</f>
        <v>5052.85</v>
      </c>
      <c r="E2792" s="3">
        <f>IFERROR(__xludf.DUMMYFUNCTION("""COMPUTED_VALUE"""),5068.5)</f>
        <v>5068.5</v>
      </c>
      <c r="F2792" s="3">
        <f>IFERROR(__xludf.DUMMYFUNCTION("""COMPUTED_VALUE"""),0.0)</f>
        <v>0</v>
      </c>
    </row>
    <row r="2793">
      <c r="A2793" s="7">
        <f>IFERROR(__xludf.DUMMYFUNCTION("""COMPUTED_VALUE"""),40863.645833333336)</f>
        <v>40863.64583</v>
      </c>
      <c r="B2793" s="3">
        <f>IFERROR(__xludf.DUMMYFUNCTION("""COMPUTED_VALUE"""),5059.1)</f>
        <v>5059.1</v>
      </c>
      <c r="C2793" s="3">
        <f>IFERROR(__xludf.DUMMYFUNCTION("""COMPUTED_VALUE"""),5065.2)</f>
        <v>5065.2</v>
      </c>
      <c r="D2793" s="3">
        <f>IFERROR(__xludf.DUMMYFUNCTION("""COMPUTED_VALUE"""),4989.5)</f>
        <v>4989.5</v>
      </c>
      <c r="E2793" s="3">
        <f>IFERROR(__xludf.DUMMYFUNCTION("""COMPUTED_VALUE"""),5030.45)</f>
        <v>5030.45</v>
      </c>
      <c r="F2793" s="3">
        <f>IFERROR(__xludf.DUMMYFUNCTION("""COMPUTED_VALUE"""),0.0)</f>
        <v>0</v>
      </c>
    </row>
    <row r="2794">
      <c r="A2794" s="7">
        <f>IFERROR(__xludf.DUMMYFUNCTION("""COMPUTED_VALUE"""),40864.645833333336)</f>
        <v>40864.64583</v>
      </c>
      <c r="B2794" s="3">
        <f>IFERROR(__xludf.DUMMYFUNCTION("""COMPUTED_VALUE"""),5027.1)</f>
        <v>5027.1</v>
      </c>
      <c r="C2794" s="3">
        <f>IFERROR(__xludf.DUMMYFUNCTION("""COMPUTED_VALUE"""),5036.8)</f>
        <v>5036.8</v>
      </c>
      <c r="D2794" s="3">
        <f>IFERROR(__xludf.DUMMYFUNCTION("""COMPUTED_VALUE"""),4919.45)</f>
        <v>4919.45</v>
      </c>
      <c r="E2794" s="3">
        <f>IFERROR(__xludf.DUMMYFUNCTION("""COMPUTED_VALUE"""),4934.75)</f>
        <v>4934.75</v>
      </c>
      <c r="F2794" s="3">
        <f>IFERROR(__xludf.DUMMYFUNCTION("""COMPUTED_VALUE"""),0.0)</f>
        <v>0</v>
      </c>
    </row>
    <row r="2795">
      <c r="A2795" s="7">
        <f>IFERROR(__xludf.DUMMYFUNCTION("""COMPUTED_VALUE"""),40865.645833333336)</f>
        <v>40865.64583</v>
      </c>
      <c r="B2795" s="3">
        <f>IFERROR(__xludf.DUMMYFUNCTION("""COMPUTED_VALUE"""),4899.15)</f>
        <v>4899.15</v>
      </c>
      <c r="C2795" s="3">
        <f>IFERROR(__xludf.DUMMYFUNCTION("""COMPUTED_VALUE"""),4915.9)</f>
        <v>4915.9</v>
      </c>
      <c r="D2795" s="3">
        <f>IFERROR(__xludf.DUMMYFUNCTION("""COMPUTED_VALUE"""),4837.95)</f>
        <v>4837.95</v>
      </c>
      <c r="E2795" s="3">
        <f>IFERROR(__xludf.DUMMYFUNCTION("""COMPUTED_VALUE"""),4905.8)</f>
        <v>4905.8</v>
      </c>
      <c r="F2795" s="3">
        <f>IFERROR(__xludf.DUMMYFUNCTION("""COMPUTED_VALUE"""),0.0)</f>
        <v>0</v>
      </c>
    </row>
    <row r="2796">
      <c r="A2796" s="7">
        <f>IFERROR(__xludf.DUMMYFUNCTION("""COMPUTED_VALUE"""),40868.645833333336)</f>
        <v>40868.64583</v>
      </c>
      <c r="B2796" s="3">
        <f>IFERROR(__xludf.DUMMYFUNCTION("""COMPUTED_VALUE"""),4873.8)</f>
        <v>4873.8</v>
      </c>
      <c r="C2796" s="3">
        <f>IFERROR(__xludf.DUMMYFUNCTION("""COMPUTED_VALUE"""),4873.8)</f>
        <v>4873.8</v>
      </c>
      <c r="D2796" s="3">
        <f>IFERROR(__xludf.DUMMYFUNCTION("""COMPUTED_VALUE"""),4764.8)</f>
        <v>4764.8</v>
      </c>
      <c r="E2796" s="3">
        <f>IFERROR(__xludf.DUMMYFUNCTION("""COMPUTED_VALUE"""),4778.35)</f>
        <v>4778.35</v>
      </c>
      <c r="F2796" s="3">
        <f>IFERROR(__xludf.DUMMYFUNCTION("""COMPUTED_VALUE"""),0.0)</f>
        <v>0</v>
      </c>
    </row>
    <row r="2797">
      <c r="A2797" s="7">
        <f>IFERROR(__xludf.DUMMYFUNCTION("""COMPUTED_VALUE"""),40869.645833333336)</f>
        <v>40869.64583</v>
      </c>
      <c r="B2797" s="3">
        <f>IFERROR(__xludf.DUMMYFUNCTION("""COMPUTED_VALUE"""),4794.85)</f>
        <v>4794.85</v>
      </c>
      <c r="C2797" s="3">
        <f>IFERROR(__xludf.DUMMYFUNCTION("""COMPUTED_VALUE"""),4854.0)</f>
        <v>4854</v>
      </c>
      <c r="D2797" s="3">
        <f>IFERROR(__xludf.DUMMYFUNCTION("""COMPUTED_VALUE"""),4782.55)</f>
        <v>4782.55</v>
      </c>
      <c r="E2797" s="3">
        <f>IFERROR(__xludf.DUMMYFUNCTION("""COMPUTED_VALUE"""),4812.35)</f>
        <v>4812.35</v>
      </c>
      <c r="F2797" s="3">
        <f>IFERROR(__xludf.DUMMYFUNCTION("""COMPUTED_VALUE"""),0.0)</f>
        <v>0</v>
      </c>
    </row>
    <row r="2798">
      <c r="A2798" s="7">
        <f>IFERROR(__xludf.DUMMYFUNCTION("""COMPUTED_VALUE"""),40870.645833333336)</f>
        <v>40870.64583</v>
      </c>
      <c r="B2798" s="3">
        <f>IFERROR(__xludf.DUMMYFUNCTION("""COMPUTED_VALUE"""),4779.5)</f>
        <v>4779.5</v>
      </c>
      <c r="C2798" s="3">
        <f>IFERROR(__xludf.DUMMYFUNCTION("""COMPUTED_VALUE"""),4779.5)</f>
        <v>4779.5</v>
      </c>
      <c r="D2798" s="3">
        <f>IFERROR(__xludf.DUMMYFUNCTION("""COMPUTED_VALUE"""),4640.95)</f>
        <v>4640.95</v>
      </c>
      <c r="E2798" s="3">
        <f>IFERROR(__xludf.DUMMYFUNCTION("""COMPUTED_VALUE"""),4706.45)</f>
        <v>4706.45</v>
      </c>
      <c r="F2798" s="3">
        <f>IFERROR(__xludf.DUMMYFUNCTION("""COMPUTED_VALUE"""),0.0)</f>
        <v>0</v>
      </c>
    </row>
    <row r="2799">
      <c r="A2799" s="7">
        <f>IFERROR(__xludf.DUMMYFUNCTION("""COMPUTED_VALUE"""),40871.645833333336)</f>
        <v>40871.64583</v>
      </c>
      <c r="B2799" s="3">
        <f>IFERROR(__xludf.DUMMYFUNCTION("""COMPUTED_VALUE"""),4707.55)</f>
        <v>4707.55</v>
      </c>
      <c r="C2799" s="3">
        <f>IFERROR(__xludf.DUMMYFUNCTION("""COMPUTED_VALUE"""),4771.1)</f>
        <v>4771.1</v>
      </c>
      <c r="D2799" s="3">
        <f>IFERROR(__xludf.DUMMYFUNCTION("""COMPUTED_VALUE"""),4639.1)</f>
        <v>4639.1</v>
      </c>
      <c r="E2799" s="3">
        <f>IFERROR(__xludf.DUMMYFUNCTION("""COMPUTED_VALUE"""),4756.45)</f>
        <v>4756.45</v>
      </c>
      <c r="F2799" s="3">
        <f>IFERROR(__xludf.DUMMYFUNCTION("""COMPUTED_VALUE"""),0.0)</f>
        <v>0</v>
      </c>
    </row>
    <row r="2800">
      <c r="A2800" s="7">
        <f>IFERROR(__xludf.DUMMYFUNCTION("""COMPUTED_VALUE"""),40872.645833333336)</f>
        <v>40872.64583</v>
      </c>
      <c r="B2800" s="3">
        <f>IFERROR(__xludf.DUMMYFUNCTION("""COMPUTED_VALUE"""),4731.3)</f>
        <v>4731.3</v>
      </c>
      <c r="C2800" s="3">
        <f>IFERROR(__xludf.DUMMYFUNCTION("""COMPUTED_VALUE"""),4767.3)</f>
        <v>4767.3</v>
      </c>
      <c r="D2800" s="3">
        <f>IFERROR(__xludf.DUMMYFUNCTION("""COMPUTED_VALUE"""),4693.1)</f>
        <v>4693.1</v>
      </c>
      <c r="E2800" s="3">
        <f>IFERROR(__xludf.DUMMYFUNCTION("""COMPUTED_VALUE"""),4710.05)</f>
        <v>4710.05</v>
      </c>
      <c r="F2800" s="3">
        <f>IFERROR(__xludf.DUMMYFUNCTION("""COMPUTED_VALUE"""),0.0)</f>
        <v>0</v>
      </c>
    </row>
    <row r="2801">
      <c r="A2801" s="7">
        <f>IFERROR(__xludf.DUMMYFUNCTION("""COMPUTED_VALUE"""),40875.645833333336)</f>
        <v>40875.64583</v>
      </c>
      <c r="B2801" s="3">
        <f>IFERROR(__xludf.DUMMYFUNCTION("""COMPUTED_VALUE"""),4769.3)</f>
        <v>4769.3</v>
      </c>
      <c r="C2801" s="3">
        <f>IFERROR(__xludf.DUMMYFUNCTION("""COMPUTED_VALUE"""),4859.1)</f>
        <v>4859.1</v>
      </c>
      <c r="D2801" s="3">
        <f>IFERROR(__xludf.DUMMYFUNCTION("""COMPUTED_VALUE"""),4766.4)</f>
        <v>4766.4</v>
      </c>
      <c r="E2801" s="3">
        <f>IFERROR(__xludf.DUMMYFUNCTION("""COMPUTED_VALUE"""),4851.3)</f>
        <v>4851.3</v>
      </c>
      <c r="F2801" s="3">
        <f>IFERROR(__xludf.DUMMYFUNCTION("""COMPUTED_VALUE"""),0.0)</f>
        <v>0</v>
      </c>
    </row>
    <row r="2802">
      <c r="A2802" s="7">
        <f>IFERROR(__xludf.DUMMYFUNCTION("""COMPUTED_VALUE"""),40876.645833333336)</f>
        <v>40876.64583</v>
      </c>
      <c r="B2802" s="3">
        <f>IFERROR(__xludf.DUMMYFUNCTION("""COMPUTED_VALUE"""),4864.2)</f>
        <v>4864.2</v>
      </c>
      <c r="C2802" s="3">
        <f>IFERROR(__xludf.DUMMYFUNCTION("""COMPUTED_VALUE"""),4866.1)</f>
        <v>4866.1</v>
      </c>
      <c r="D2802" s="3">
        <f>IFERROR(__xludf.DUMMYFUNCTION("""COMPUTED_VALUE"""),4787.1)</f>
        <v>4787.1</v>
      </c>
      <c r="E2802" s="3">
        <f>IFERROR(__xludf.DUMMYFUNCTION("""COMPUTED_VALUE"""),4805.1)</f>
        <v>4805.1</v>
      </c>
      <c r="F2802" s="3">
        <f>IFERROR(__xludf.DUMMYFUNCTION("""COMPUTED_VALUE"""),0.0)</f>
        <v>0</v>
      </c>
    </row>
    <row r="2803">
      <c r="A2803" s="7">
        <f>IFERROR(__xludf.DUMMYFUNCTION("""COMPUTED_VALUE"""),40877.645833333336)</f>
        <v>40877.64583</v>
      </c>
      <c r="B2803" s="3">
        <f>IFERROR(__xludf.DUMMYFUNCTION("""COMPUTED_VALUE"""),4766.15)</f>
        <v>4766.15</v>
      </c>
      <c r="C2803" s="3">
        <f>IFERROR(__xludf.DUMMYFUNCTION("""COMPUTED_VALUE"""),4851.55)</f>
        <v>4851.55</v>
      </c>
      <c r="D2803" s="3">
        <f>IFERROR(__xludf.DUMMYFUNCTION("""COMPUTED_VALUE"""),4754.8)</f>
        <v>4754.8</v>
      </c>
      <c r="E2803" s="3">
        <f>IFERROR(__xludf.DUMMYFUNCTION("""COMPUTED_VALUE"""),4832.05)</f>
        <v>4832.05</v>
      </c>
      <c r="F2803" s="3">
        <f>IFERROR(__xludf.DUMMYFUNCTION("""COMPUTED_VALUE"""),0.0)</f>
        <v>0</v>
      </c>
    </row>
    <row r="2804">
      <c r="A2804" s="7">
        <f>IFERROR(__xludf.DUMMYFUNCTION("""COMPUTED_VALUE"""),40878.645833333336)</f>
        <v>40878.64583</v>
      </c>
      <c r="B2804" s="3">
        <f>IFERROR(__xludf.DUMMYFUNCTION("""COMPUTED_VALUE"""),4970.85)</f>
        <v>4970.85</v>
      </c>
      <c r="C2804" s="3">
        <f>IFERROR(__xludf.DUMMYFUNCTION("""COMPUTED_VALUE"""),5011.9)</f>
        <v>5011.9</v>
      </c>
      <c r="D2804" s="3">
        <f>IFERROR(__xludf.DUMMYFUNCTION("""COMPUTED_VALUE"""),4916.7)</f>
        <v>4916.7</v>
      </c>
      <c r="E2804" s="3">
        <f>IFERROR(__xludf.DUMMYFUNCTION("""COMPUTED_VALUE"""),4936.85)</f>
        <v>4936.85</v>
      </c>
      <c r="F2804" s="3">
        <f>IFERROR(__xludf.DUMMYFUNCTION("""COMPUTED_VALUE"""),0.0)</f>
        <v>0</v>
      </c>
    </row>
    <row r="2805">
      <c r="A2805" s="7">
        <f>IFERROR(__xludf.DUMMYFUNCTION("""COMPUTED_VALUE"""),40879.645833333336)</f>
        <v>40879.64583</v>
      </c>
      <c r="B2805" s="3">
        <f>IFERROR(__xludf.DUMMYFUNCTION("""COMPUTED_VALUE"""),4940.85)</f>
        <v>4940.85</v>
      </c>
      <c r="C2805" s="3">
        <f>IFERROR(__xludf.DUMMYFUNCTION("""COMPUTED_VALUE"""),5062.55)</f>
        <v>5062.55</v>
      </c>
      <c r="D2805" s="3">
        <f>IFERROR(__xludf.DUMMYFUNCTION("""COMPUTED_VALUE"""),4918.4)</f>
        <v>4918.4</v>
      </c>
      <c r="E2805" s="3">
        <f>IFERROR(__xludf.DUMMYFUNCTION("""COMPUTED_VALUE"""),5050.15)</f>
        <v>5050.15</v>
      </c>
      <c r="F2805" s="3">
        <f>IFERROR(__xludf.DUMMYFUNCTION("""COMPUTED_VALUE"""),0.0)</f>
        <v>0</v>
      </c>
    </row>
    <row r="2806">
      <c r="A2806" s="7">
        <f>IFERROR(__xludf.DUMMYFUNCTION("""COMPUTED_VALUE"""),40882.645833333336)</f>
        <v>40882.64583</v>
      </c>
      <c r="B2806" s="3">
        <f>IFERROR(__xludf.DUMMYFUNCTION("""COMPUTED_VALUE"""),5036.5)</f>
        <v>5036.5</v>
      </c>
      <c r="C2806" s="3">
        <f>IFERROR(__xludf.DUMMYFUNCTION("""COMPUTED_VALUE"""),5055.4)</f>
        <v>5055.4</v>
      </c>
      <c r="D2806" s="3">
        <f>IFERROR(__xludf.DUMMYFUNCTION("""COMPUTED_VALUE"""),5002.55)</f>
        <v>5002.55</v>
      </c>
      <c r="E2806" s="3">
        <f>IFERROR(__xludf.DUMMYFUNCTION("""COMPUTED_VALUE"""),5039.15)</f>
        <v>5039.15</v>
      </c>
      <c r="F2806" s="3">
        <f>IFERROR(__xludf.DUMMYFUNCTION("""COMPUTED_VALUE"""),0.0)</f>
        <v>0</v>
      </c>
    </row>
    <row r="2807">
      <c r="A2807" s="7">
        <f>IFERROR(__xludf.DUMMYFUNCTION("""COMPUTED_VALUE"""),40884.645833333336)</f>
        <v>40884.64583</v>
      </c>
      <c r="B2807" s="3">
        <f>IFERROR(__xludf.DUMMYFUNCTION("""COMPUTED_VALUE"""),5050.1)</f>
        <v>5050.1</v>
      </c>
      <c r="C2807" s="3">
        <f>IFERROR(__xludf.DUMMYFUNCTION("""COMPUTED_VALUE"""),5099.25)</f>
        <v>5099.25</v>
      </c>
      <c r="D2807" s="3">
        <f>IFERROR(__xludf.DUMMYFUNCTION("""COMPUTED_VALUE"""),5032.25)</f>
        <v>5032.25</v>
      </c>
      <c r="E2807" s="3">
        <f>IFERROR(__xludf.DUMMYFUNCTION("""COMPUTED_VALUE"""),5062.6)</f>
        <v>5062.6</v>
      </c>
      <c r="F2807" s="3">
        <f>IFERROR(__xludf.DUMMYFUNCTION("""COMPUTED_VALUE"""),0.0)</f>
        <v>0</v>
      </c>
    </row>
    <row r="2808">
      <c r="A2808" s="7">
        <f>IFERROR(__xludf.DUMMYFUNCTION("""COMPUTED_VALUE"""),40885.645833333336)</f>
        <v>40885.64583</v>
      </c>
      <c r="B2808" s="3">
        <f>IFERROR(__xludf.DUMMYFUNCTION("""COMPUTED_VALUE"""),5037.4)</f>
        <v>5037.4</v>
      </c>
      <c r="C2808" s="3">
        <f>IFERROR(__xludf.DUMMYFUNCTION("""COMPUTED_VALUE"""),5049.05)</f>
        <v>5049.05</v>
      </c>
      <c r="D2808" s="3">
        <f>IFERROR(__xludf.DUMMYFUNCTION("""COMPUTED_VALUE"""),4921.45)</f>
        <v>4921.45</v>
      </c>
      <c r="E2808" s="3">
        <f>IFERROR(__xludf.DUMMYFUNCTION("""COMPUTED_VALUE"""),4943.65)</f>
        <v>4943.65</v>
      </c>
      <c r="F2808" s="3">
        <f>IFERROR(__xludf.DUMMYFUNCTION("""COMPUTED_VALUE"""),0.0)</f>
        <v>0</v>
      </c>
    </row>
    <row r="2809">
      <c r="A2809" s="7">
        <f>IFERROR(__xludf.DUMMYFUNCTION("""COMPUTED_VALUE"""),40886.645833333336)</f>
        <v>40886.64583</v>
      </c>
      <c r="B2809" s="3">
        <f>IFERROR(__xludf.DUMMYFUNCTION("""COMPUTED_VALUE"""),4870.75)</f>
        <v>4870.75</v>
      </c>
      <c r="C2809" s="3">
        <f>IFERROR(__xludf.DUMMYFUNCTION("""COMPUTED_VALUE"""),4918.35)</f>
        <v>4918.35</v>
      </c>
      <c r="D2809" s="3">
        <f>IFERROR(__xludf.DUMMYFUNCTION("""COMPUTED_VALUE"""),4841.75)</f>
        <v>4841.75</v>
      </c>
      <c r="E2809" s="3">
        <f>IFERROR(__xludf.DUMMYFUNCTION("""COMPUTED_VALUE"""),4866.7)</f>
        <v>4866.7</v>
      </c>
      <c r="F2809" s="3">
        <f>IFERROR(__xludf.DUMMYFUNCTION("""COMPUTED_VALUE"""),0.0)</f>
        <v>0</v>
      </c>
    </row>
    <row r="2810">
      <c r="A2810" s="7">
        <f>IFERROR(__xludf.DUMMYFUNCTION("""COMPUTED_VALUE"""),40889.645833333336)</f>
        <v>40889.64583</v>
      </c>
      <c r="B2810" s="3">
        <f>IFERROR(__xludf.DUMMYFUNCTION("""COMPUTED_VALUE"""),4906.85)</f>
        <v>4906.85</v>
      </c>
      <c r="C2810" s="3">
        <f>IFERROR(__xludf.DUMMYFUNCTION("""COMPUTED_VALUE"""),4910.25)</f>
        <v>4910.25</v>
      </c>
      <c r="D2810" s="3">
        <f>IFERROR(__xludf.DUMMYFUNCTION("""COMPUTED_VALUE"""),4755.55)</f>
        <v>4755.55</v>
      </c>
      <c r="E2810" s="3">
        <f>IFERROR(__xludf.DUMMYFUNCTION("""COMPUTED_VALUE"""),4764.6)</f>
        <v>4764.6</v>
      </c>
      <c r="F2810" s="3">
        <f>IFERROR(__xludf.DUMMYFUNCTION("""COMPUTED_VALUE"""),0.0)</f>
        <v>0</v>
      </c>
    </row>
    <row r="2811">
      <c r="A2811" s="7">
        <f>IFERROR(__xludf.DUMMYFUNCTION("""COMPUTED_VALUE"""),40890.645833333336)</f>
        <v>40890.64583</v>
      </c>
      <c r="B2811" s="3">
        <f>IFERROR(__xludf.DUMMYFUNCTION("""COMPUTED_VALUE"""),4733.6)</f>
        <v>4733.6</v>
      </c>
      <c r="C2811" s="3">
        <f>IFERROR(__xludf.DUMMYFUNCTION("""COMPUTED_VALUE"""),4824.7)</f>
        <v>4824.7</v>
      </c>
      <c r="D2811" s="3">
        <f>IFERROR(__xludf.DUMMYFUNCTION("""COMPUTED_VALUE"""),4728.5)</f>
        <v>4728.5</v>
      </c>
      <c r="E2811" s="3">
        <f>IFERROR(__xludf.DUMMYFUNCTION("""COMPUTED_VALUE"""),4800.6)</f>
        <v>4800.6</v>
      </c>
      <c r="F2811" s="3">
        <f>IFERROR(__xludf.DUMMYFUNCTION("""COMPUTED_VALUE"""),0.0)</f>
        <v>0</v>
      </c>
    </row>
    <row r="2812">
      <c r="A2812" s="7">
        <f>IFERROR(__xludf.DUMMYFUNCTION("""COMPUTED_VALUE"""),40891.645833333336)</f>
        <v>40891.64583</v>
      </c>
      <c r="B2812" s="3">
        <f>IFERROR(__xludf.DUMMYFUNCTION("""COMPUTED_VALUE"""),4788.7)</f>
        <v>4788.7</v>
      </c>
      <c r="C2812" s="3">
        <f>IFERROR(__xludf.DUMMYFUNCTION("""COMPUTED_VALUE"""),4839.55)</f>
        <v>4839.55</v>
      </c>
      <c r="D2812" s="3">
        <f>IFERROR(__xludf.DUMMYFUNCTION("""COMPUTED_VALUE"""),4750.4)</f>
        <v>4750.4</v>
      </c>
      <c r="E2812" s="3">
        <f>IFERROR(__xludf.DUMMYFUNCTION("""COMPUTED_VALUE"""),4763.25)</f>
        <v>4763.25</v>
      </c>
      <c r="F2812" s="3">
        <f>IFERROR(__xludf.DUMMYFUNCTION("""COMPUTED_VALUE"""),0.0)</f>
        <v>0</v>
      </c>
    </row>
    <row r="2813">
      <c r="A2813" s="7">
        <f>IFERROR(__xludf.DUMMYFUNCTION("""COMPUTED_VALUE"""),40892.645833333336)</f>
        <v>40892.64583</v>
      </c>
      <c r="B2813" s="3">
        <f>IFERROR(__xludf.DUMMYFUNCTION("""COMPUTED_VALUE"""),4712.8)</f>
        <v>4712.8</v>
      </c>
      <c r="C2813" s="3">
        <f>IFERROR(__xludf.DUMMYFUNCTION("""COMPUTED_VALUE"""),4768.65)</f>
        <v>4768.65</v>
      </c>
      <c r="D2813" s="3">
        <f>IFERROR(__xludf.DUMMYFUNCTION("""COMPUTED_VALUE"""),4673.85)</f>
        <v>4673.85</v>
      </c>
      <c r="E2813" s="3">
        <f>IFERROR(__xludf.DUMMYFUNCTION("""COMPUTED_VALUE"""),4746.35)</f>
        <v>4746.35</v>
      </c>
      <c r="F2813" s="3">
        <f>IFERROR(__xludf.DUMMYFUNCTION("""COMPUTED_VALUE"""),0.0)</f>
        <v>0</v>
      </c>
    </row>
    <row r="2814">
      <c r="A2814" s="7">
        <f>IFERROR(__xludf.DUMMYFUNCTION("""COMPUTED_VALUE"""),40893.645833333336)</f>
        <v>40893.64583</v>
      </c>
      <c r="B2814" s="3">
        <f>IFERROR(__xludf.DUMMYFUNCTION("""COMPUTED_VALUE"""),4752.5)</f>
        <v>4752.5</v>
      </c>
      <c r="C2814" s="3">
        <f>IFERROR(__xludf.DUMMYFUNCTION("""COMPUTED_VALUE"""),4818.85)</f>
        <v>4818.85</v>
      </c>
      <c r="D2814" s="3">
        <f>IFERROR(__xludf.DUMMYFUNCTION("""COMPUTED_VALUE"""),4628.2)</f>
        <v>4628.2</v>
      </c>
      <c r="E2814" s="3">
        <f>IFERROR(__xludf.DUMMYFUNCTION("""COMPUTED_VALUE"""),4651.6)</f>
        <v>4651.6</v>
      </c>
      <c r="F2814" s="3">
        <f>IFERROR(__xludf.DUMMYFUNCTION("""COMPUTED_VALUE"""),0.0)</f>
        <v>0</v>
      </c>
    </row>
    <row r="2815">
      <c r="A2815" s="7">
        <f>IFERROR(__xludf.DUMMYFUNCTION("""COMPUTED_VALUE"""),40896.645833333336)</f>
        <v>40896.64583</v>
      </c>
      <c r="B2815" s="3">
        <f>IFERROR(__xludf.DUMMYFUNCTION("""COMPUTED_VALUE"""),4623.15)</f>
        <v>4623.15</v>
      </c>
      <c r="C2815" s="3">
        <f>IFERROR(__xludf.DUMMYFUNCTION("""COMPUTED_VALUE"""),4623.15)</f>
        <v>4623.15</v>
      </c>
      <c r="D2815" s="3">
        <f>IFERROR(__xludf.DUMMYFUNCTION("""COMPUTED_VALUE"""),4555.9)</f>
        <v>4555.9</v>
      </c>
      <c r="E2815" s="3">
        <f>IFERROR(__xludf.DUMMYFUNCTION("""COMPUTED_VALUE"""),4613.1)</f>
        <v>4613.1</v>
      </c>
      <c r="F2815" s="3">
        <f>IFERROR(__xludf.DUMMYFUNCTION("""COMPUTED_VALUE"""),0.0)</f>
        <v>0</v>
      </c>
    </row>
    <row r="2816">
      <c r="A2816" s="7">
        <f>IFERROR(__xludf.DUMMYFUNCTION("""COMPUTED_VALUE"""),40897.645833333336)</f>
        <v>40897.64583</v>
      </c>
      <c r="B2816" s="3">
        <f>IFERROR(__xludf.DUMMYFUNCTION("""COMPUTED_VALUE"""),4635.8)</f>
        <v>4635.8</v>
      </c>
      <c r="C2816" s="3">
        <f>IFERROR(__xludf.DUMMYFUNCTION("""COMPUTED_VALUE"""),4637.25)</f>
        <v>4637.25</v>
      </c>
      <c r="D2816" s="3">
        <f>IFERROR(__xludf.DUMMYFUNCTION("""COMPUTED_VALUE"""),4531.15)</f>
        <v>4531.15</v>
      </c>
      <c r="E2816" s="3">
        <f>IFERROR(__xludf.DUMMYFUNCTION("""COMPUTED_VALUE"""),4544.2)</f>
        <v>4544.2</v>
      </c>
      <c r="F2816" s="3">
        <f>IFERROR(__xludf.DUMMYFUNCTION("""COMPUTED_VALUE"""),0.0)</f>
        <v>0</v>
      </c>
    </row>
    <row r="2817">
      <c r="A2817" s="7">
        <f>IFERROR(__xludf.DUMMYFUNCTION("""COMPUTED_VALUE"""),40898.645833333336)</f>
        <v>40898.64583</v>
      </c>
      <c r="B2817" s="3">
        <f>IFERROR(__xludf.DUMMYFUNCTION("""COMPUTED_VALUE"""),4636.45)</f>
        <v>4636.45</v>
      </c>
      <c r="C2817" s="3">
        <f>IFERROR(__xludf.DUMMYFUNCTION("""COMPUTED_VALUE"""),4707.35)</f>
        <v>4707.35</v>
      </c>
      <c r="D2817" s="3">
        <f>IFERROR(__xludf.DUMMYFUNCTION("""COMPUTED_VALUE"""),4601.95)</f>
        <v>4601.95</v>
      </c>
      <c r="E2817" s="3">
        <f>IFERROR(__xludf.DUMMYFUNCTION("""COMPUTED_VALUE"""),4693.15)</f>
        <v>4693.15</v>
      </c>
      <c r="F2817" s="3">
        <f>IFERROR(__xludf.DUMMYFUNCTION("""COMPUTED_VALUE"""),0.0)</f>
        <v>0</v>
      </c>
    </row>
    <row r="2818">
      <c r="A2818" s="7">
        <f>IFERROR(__xludf.DUMMYFUNCTION("""COMPUTED_VALUE"""),40899.645833333336)</f>
        <v>40899.64583</v>
      </c>
      <c r="B2818" s="3">
        <f>IFERROR(__xludf.DUMMYFUNCTION("""COMPUTED_VALUE"""),4636.9)</f>
        <v>4636.9</v>
      </c>
      <c r="C2818" s="3">
        <f>IFERROR(__xludf.DUMMYFUNCTION("""COMPUTED_VALUE"""),4740.6)</f>
        <v>4740.6</v>
      </c>
      <c r="D2818" s="3">
        <f>IFERROR(__xludf.DUMMYFUNCTION("""COMPUTED_VALUE"""),4632.95)</f>
        <v>4632.95</v>
      </c>
      <c r="E2818" s="3">
        <f>IFERROR(__xludf.DUMMYFUNCTION("""COMPUTED_VALUE"""),4733.85)</f>
        <v>4733.85</v>
      </c>
      <c r="F2818" s="3">
        <f>IFERROR(__xludf.DUMMYFUNCTION("""COMPUTED_VALUE"""),0.0)</f>
        <v>0</v>
      </c>
    </row>
    <row r="2819">
      <c r="A2819" s="7">
        <f>IFERROR(__xludf.DUMMYFUNCTION("""COMPUTED_VALUE"""),40900.645833333336)</f>
        <v>40900.64583</v>
      </c>
      <c r="B2819" s="3">
        <f>IFERROR(__xludf.DUMMYFUNCTION("""COMPUTED_VALUE"""),4763.2)</f>
        <v>4763.2</v>
      </c>
      <c r="C2819" s="3">
        <f>IFERROR(__xludf.DUMMYFUNCTION("""COMPUTED_VALUE"""),4763.45)</f>
        <v>4763.45</v>
      </c>
      <c r="D2819" s="3">
        <f>IFERROR(__xludf.DUMMYFUNCTION("""COMPUTED_VALUE"""),4693.2)</f>
        <v>4693.2</v>
      </c>
      <c r="E2819" s="3">
        <f>IFERROR(__xludf.DUMMYFUNCTION("""COMPUTED_VALUE"""),4714.0)</f>
        <v>4714</v>
      </c>
      <c r="F2819" s="3">
        <f>IFERROR(__xludf.DUMMYFUNCTION("""COMPUTED_VALUE"""),0.0)</f>
        <v>0</v>
      </c>
    </row>
    <row r="2820">
      <c r="A2820" s="7">
        <f>IFERROR(__xludf.DUMMYFUNCTION("""COMPUTED_VALUE"""),40903.645833333336)</f>
        <v>40903.64583</v>
      </c>
      <c r="B2820" s="3">
        <f>IFERROR(__xludf.DUMMYFUNCTION("""COMPUTED_VALUE"""),4718.15)</f>
        <v>4718.15</v>
      </c>
      <c r="C2820" s="3">
        <f>IFERROR(__xludf.DUMMYFUNCTION("""COMPUTED_VALUE"""),4787.25)</f>
        <v>4787.25</v>
      </c>
      <c r="D2820" s="3">
        <f>IFERROR(__xludf.DUMMYFUNCTION("""COMPUTED_VALUE"""),4718.15)</f>
        <v>4718.15</v>
      </c>
      <c r="E2820" s="3">
        <f>IFERROR(__xludf.DUMMYFUNCTION("""COMPUTED_VALUE"""),4779.0)</f>
        <v>4779</v>
      </c>
      <c r="F2820" s="3">
        <f>IFERROR(__xludf.DUMMYFUNCTION("""COMPUTED_VALUE"""),0.0)</f>
        <v>0</v>
      </c>
    </row>
    <row r="2821">
      <c r="A2821" s="7">
        <f>IFERROR(__xludf.DUMMYFUNCTION("""COMPUTED_VALUE"""),40904.645833333336)</f>
        <v>40904.64583</v>
      </c>
      <c r="B2821" s="3">
        <f>IFERROR(__xludf.DUMMYFUNCTION("""COMPUTED_VALUE"""),4780.2)</f>
        <v>4780.2</v>
      </c>
      <c r="C2821" s="3">
        <f>IFERROR(__xludf.DUMMYFUNCTION("""COMPUTED_VALUE"""),4800.5)</f>
        <v>4800.5</v>
      </c>
      <c r="D2821" s="3">
        <f>IFERROR(__xludf.DUMMYFUNCTION("""COMPUTED_VALUE"""),4723.65)</f>
        <v>4723.65</v>
      </c>
      <c r="E2821" s="3">
        <f>IFERROR(__xludf.DUMMYFUNCTION("""COMPUTED_VALUE"""),4750.5)</f>
        <v>4750.5</v>
      </c>
      <c r="F2821" s="3">
        <f>IFERROR(__xludf.DUMMYFUNCTION("""COMPUTED_VALUE"""),0.0)</f>
        <v>0</v>
      </c>
    </row>
    <row r="2822">
      <c r="A2822" s="7">
        <f>IFERROR(__xludf.DUMMYFUNCTION("""COMPUTED_VALUE"""),40905.645833333336)</f>
        <v>40905.64583</v>
      </c>
      <c r="B2822" s="3">
        <f>IFERROR(__xludf.DUMMYFUNCTION("""COMPUTED_VALUE"""),4756.2)</f>
        <v>4756.2</v>
      </c>
      <c r="C2822" s="3">
        <f>IFERROR(__xludf.DUMMYFUNCTION("""COMPUTED_VALUE"""),4756.2)</f>
        <v>4756.2</v>
      </c>
      <c r="D2822" s="3">
        <f>IFERROR(__xludf.DUMMYFUNCTION("""COMPUTED_VALUE"""),4685.65)</f>
        <v>4685.65</v>
      </c>
      <c r="E2822" s="3">
        <f>IFERROR(__xludf.DUMMYFUNCTION("""COMPUTED_VALUE"""),4705.8)</f>
        <v>4705.8</v>
      </c>
      <c r="F2822" s="3">
        <f>IFERROR(__xludf.DUMMYFUNCTION("""COMPUTED_VALUE"""),0.0)</f>
        <v>0</v>
      </c>
    </row>
    <row r="2823">
      <c r="A2823" s="7">
        <f>IFERROR(__xludf.DUMMYFUNCTION("""COMPUTED_VALUE"""),40906.645833333336)</f>
        <v>40906.64583</v>
      </c>
      <c r="B2823" s="3">
        <f>IFERROR(__xludf.DUMMYFUNCTION("""COMPUTED_VALUE"""),4681.15)</f>
        <v>4681.15</v>
      </c>
      <c r="C2823" s="3">
        <f>IFERROR(__xludf.DUMMYFUNCTION("""COMPUTED_VALUE"""),4701.8)</f>
        <v>4701.8</v>
      </c>
      <c r="D2823" s="3">
        <f>IFERROR(__xludf.DUMMYFUNCTION("""COMPUTED_VALUE"""),4639.05)</f>
        <v>4639.05</v>
      </c>
      <c r="E2823" s="3">
        <f>IFERROR(__xludf.DUMMYFUNCTION("""COMPUTED_VALUE"""),4646.25)</f>
        <v>4646.25</v>
      </c>
      <c r="F2823" s="3">
        <f>IFERROR(__xludf.DUMMYFUNCTION("""COMPUTED_VALUE"""),0.0)</f>
        <v>0</v>
      </c>
    </row>
    <row r="2824">
      <c r="A2824" s="7">
        <f>IFERROR(__xludf.DUMMYFUNCTION("""COMPUTED_VALUE"""),40907.645833333336)</f>
        <v>40907.64583</v>
      </c>
      <c r="B2824" s="3">
        <f>IFERROR(__xludf.DUMMYFUNCTION("""COMPUTED_VALUE"""),4659.95)</f>
        <v>4659.95</v>
      </c>
      <c r="C2824" s="3">
        <f>IFERROR(__xludf.DUMMYFUNCTION("""COMPUTED_VALUE"""),4690.45)</f>
        <v>4690.45</v>
      </c>
      <c r="D2824" s="3">
        <f>IFERROR(__xludf.DUMMYFUNCTION("""COMPUTED_VALUE"""),4608.9)</f>
        <v>4608.9</v>
      </c>
      <c r="E2824" s="3">
        <f>IFERROR(__xludf.DUMMYFUNCTION("""COMPUTED_VALUE"""),4624.3)</f>
        <v>4624.3</v>
      </c>
      <c r="F2824" s="3">
        <f>IFERROR(__xludf.DUMMYFUNCTION("""COMPUTED_VALUE"""),0.0)</f>
        <v>0</v>
      </c>
    </row>
    <row r="2825">
      <c r="A2825" s="7">
        <f>IFERROR(__xludf.DUMMYFUNCTION("""COMPUTED_VALUE"""),40910.645833333336)</f>
        <v>40910.64583</v>
      </c>
      <c r="B2825" s="3">
        <f>IFERROR(__xludf.DUMMYFUNCTION("""COMPUTED_VALUE"""),4640.2)</f>
        <v>4640.2</v>
      </c>
      <c r="C2825" s="3">
        <f>IFERROR(__xludf.DUMMYFUNCTION("""COMPUTED_VALUE"""),4645.95)</f>
        <v>4645.95</v>
      </c>
      <c r="D2825" s="3">
        <f>IFERROR(__xludf.DUMMYFUNCTION("""COMPUTED_VALUE"""),4588.05)</f>
        <v>4588.05</v>
      </c>
      <c r="E2825" s="3">
        <f>IFERROR(__xludf.DUMMYFUNCTION("""COMPUTED_VALUE"""),4636.75)</f>
        <v>4636.75</v>
      </c>
      <c r="F2825" s="3">
        <f>IFERROR(__xludf.DUMMYFUNCTION("""COMPUTED_VALUE"""),0.0)</f>
        <v>0</v>
      </c>
    </row>
    <row r="2826">
      <c r="A2826" s="7">
        <f>IFERROR(__xludf.DUMMYFUNCTION("""COMPUTED_VALUE"""),40911.645833333336)</f>
        <v>40911.64583</v>
      </c>
      <c r="B2826" s="3">
        <f>IFERROR(__xludf.DUMMYFUNCTION("""COMPUTED_VALUE"""),4675.8)</f>
        <v>4675.8</v>
      </c>
      <c r="C2826" s="3">
        <f>IFERROR(__xludf.DUMMYFUNCTION("""COMPUTED_VALUE"""),4773.1)</f>
        <v>4773.1</v>
      </c>
      <c r="D2826" s="3">
        <f>IFERROR(__xludf.DUMMYFUNCTION("""COMPUTED_VALUE"""),4675.8)</f>
        <v>4675.8</v>
      </c>
      <c r="E2826" s="3">
        <f>IFERROR(__xludf.DUMMYFUNCTION("""COMPUTED_VALUE"""),4765.3)</f>
        <v>4765.3</v>
      </c>
      <c r="F2826" s="3">
        <f>IFERROR(__xludf.DUMMYFUNCTION("""COMPUTED_VALUE"""),0.0)</f>
        <v>0</v>
      </c>
    </row>
    <row r="2827">
      <c r="A2827" s="7">
        <f>IFERROR(__xludf.DUMMYFUNCTION("""COMPUTED_VALUE"""),40912.645833333336)</f>
        <v>40912.64583</v>
      </c>
      <c r="B2827" s="3">
        <f>IFERROR(__xludf.DUMMYFUNCTION("""COMPUTED_VALUE"""),4774.95)</f>
        <v>4774.95</v>
      </c>
      <c r="C2827" s="3">
        <f>IFERROR(__xludf.DUMMYFUNCTION("""COMPUTED_VALUE"""),4782.85)</f>
        <v>4782.85</v>
      </c>
      <c r="D2827" s="3">
        <f>IFERROR(__xludf.DUMMYFUNCTION("""COMPUTED_VALUE"""),4728.85)</f>
        <v>4728.85</v>
      </c>
      <c r="E2827" s="3">
        <f>IFERROR(__xludf.DUMMYFUNCTION("""COMPUTED_VALUE"""),4749.65)</f>
        <v>4749.65</v>
      </c>
      <c r="F2827" s="3">
        <f>IFERROR(__xludf.DUMMYFUNCTION("""COMPUTED_VALUE"""),0.0)</f>
        <v>0</v>
      </c>
    </row>
    <row r="2828">
      <c r="A2828" s="7">
        <f>IFERROR(__xludf.DUMMYFUNCTION("""COMPUTED_VALUE"""),40913.645833333336)</f>
        <v>40913.64583</v>
      </c>
      <c r="B2828" s="3">
        <f>IFERROR(__xludf.DUMMYFUNCTION("""COMPUTED_VALUE"""),4749.0)</f>
        <v>4749</v>
      </c>
      <c r="C2828" s="3">
        <f>IFERROR(__xludf.DUMMYFUNCTION("""COMPUTED_VALUE"""),4779.8)</f>
        <v>4779.8</v>
      </c>
      <c r="D2828" s="3">
        <f>IFERROR(__xludf.DUMMYFUNCTION("""COMPUTED_VALUE"""),4730.15)</f>
        <v>4730.15</v>
      </c>
      <c r="E2828" s="3">
        <f>IFERROR(__xludf.DUMMYFUNCTION("""COMPUTED_VALUE"""),4749.95)</f>
        <v>4749.95</v>
      </c>
      <c r="F2828" s="3">
        <f>IFERROR(__xludf.DUMMYFUNCTION("""COMPUTED_VALUE"""),0.0)</f>
        <v>0</v>
      </c>
    </row>
    <row r="2829">
      <c r="A2829" s="7">
        <f>IFERROR(__xludf.DUMMYFUNCTION("""COMPUTED_VALUE"""),40914.645833333336)</f>
        <v>40914.64583</v>
      </c>
      <c r="B2829" s="3">
        <f>IFERROR(__xludf.DUMMYFUNCTION("""COMPUTED_VALUE"""),4724.15)</f>
        <v>4724.15</v>
      </c>
      <c r="C2829" s="3">
        <f>IFERROR(__xludf.DUMMYFUNCTION("""COMPUTED_VALUE"""),4794.9)</f>
        <v>4794.9</v>
      </c>
      <c r="D2829" s="3">
        <f>IFERROR(__xludf.DUMMYFUNCTION("""COMPUTED_VALUE"""),4686.85)</f>
        <v>4686.85</v>
      </c>
      <c r="E2829" s="3">
        <f>IFERROR(__xludf.DUMMYFUNCTION("""COMPUTED_VALUE"""),4754.1)</f>
        <v>4754.1</v>
      </c>
      <c r="F2829" s="3">
        <f>IFERROR(__xludf.DUMMYFUNCTION("""COMPUTED_VALUE"""),0.0)</f>
        <v>0</v>
      </c>
    </row>
    <row r="2830">
      <c r="A2830" s="7">
        <f>IFERROR(__xludf.DUMMYFUNCTION("""COMPUTED_VALUE"""),40917.645833333336)</f>
        <v>40917.64583</v>
      </c>
      <c r="B2830" s="3">
        <f>IFERROR(__xludf.DUMMYFUNCTION("""COMPUTED_VALUE"""),4747.55)</f>
        <v>4747.55</v>
      </c>
      <c r="C2830" s="3">
        <f>IFERROR(__xludf.DUMMYFUNCTION("""COMPUTED_VALUE"""),4758.7)</f>
        <v>4758.7</v>
      </c>
      <c r="D2830" s="3">
        <f>IFERROR(__xludf.DUMMYFUNCTION("""COMPUTED_VALUE"""),4695.45)</f>
        <v>4695.45</v>
      </c>
      <c r="E2830" s="3">
        <f>IFERROR(__xludf.DUMMYFUNCTION("""COMPUTED_VALUE"""),4742.8)</f>
        <v>4742.8</v>
      </c>
      <c r="F2830" s="3">
        <f>IFERROR(__xludf.DUMMYFUNCTION("""COMPUTED_VALUE"""),0.0)</f>
        <v>0</v>
      </c>
    </row>
    <row r="2831">
      <c r="A2831" s="7">
        <f>IFERROR(__xludf.DUMMYFUNCTION("""COMPUTED_VALUE"""),40918.645833333336)</f>
        <v>40918.64583</v>
      </c>
      <c r="B2831" s="3">
        <f>IFERROR(__xludf.DUMMYFUNCTION("""COMPUTED_VALUE"""),4771.85)</f>
        <v>4771.85</v>
      </c>
      <c r="C2831" s="3">
        <f>IFERROR(__xludf.DUMMYFUNCTION("""COMPUTED_VALUE"""),4855.9)</f>
        <v>4855.9</v>
      </c>
      <c r="D2831" s="3">
        <f>IFERROR(__xludf.DUMMYFUNCTION("""COMPUTED_VALUE"""),4768.25)</f>
        <v>4768.25</v>
      </c>
      <c r="E2831" s="3">
        <f>IFERROR(__xludf.DUMMYFUNCTION("""COMPUTED_VALUE"""),4849.55)</f>
        <v>4849.55</v>
      </c>
      <c r="F2831" s="3">
        <f>IFERROR(__xludf.DUMMYFUNCTION("""COMPUTED_VALUE"""),0.0)</f>
        <v>0</v>
      </c>
    </row>
    <row r="2832">
      <c r="A2832" s="7">
        <f>IFERROR(__xludf.DUMMYFUNCTION("""COMPUTED_VALUE"""),40919.645833333336)</f>
        <v>40919.64583</v>
      </c>
      <c r="B2832" s="3">
        <f>IFERROR(__xludf.DUMMYFUNCTION("""COMPUTED_VALUE"""),4863.15)</f>
        <v>4863.15</v>
      </c>
      <c r="C2832" s="3">
        <f>IFERROR(__xludf.DUMMYFUNCTION("""COMPUTED_VALUE"""),4877.2)</f>
        <v>4877.2</v>
      </c>
      <c r="D2832" s="3">
        <f>IFERROR(__xludf.DUMMYFUNCTION("""COMPUTED_VALUE"""),4841.6)</f>
        <v>4841.6</v>
      </c>
      <c r="E2832" s="3">
        <f>IFERROR(__xludf.DUMMYFUNCTION("""COMPUTED_VALUE"""),4860.95)</f>
        <v>4860.95</v>
      </c>
      <c r="F2832" s="3">
        <f>IFERROR(__xludf.DUMMYFUNCTION("""COMPUTED_VALUE"""),0.0)</f>
        <v>0</v>
      </c>
    </row>
    <row r="2833">
      <c r="A2833" s="7">
        <f>IFERROR(__xludf.DUMMYFUNCTION("""COMPUTED_VALUE"""),40920.645833333336)</f>
        <v>40920.64583</v>
      </c>
      <c r="B2833" s="3">
        <f>IFERROR(__xludf.DUMMYFUNCTION("""COMPUTED_VALUE"""),4840.95)</f>
        <v>4840.95</v>
      </c>
      <c r="C2833" s="3">
        <f>IFERROR(__xludf.DUMMYFUNCTION("""COMPUTED_VALUE"""),4869.2)</f>
        <v>4869.2</v>
      </c>
      <c r="D2833" s="3">
        <f>IFERROR(__xludf.DUMMYFUNCTION("""COMPUTED_VALUE"""),4803.9)</f>
        <v>4803.9</v>
      </c>
      <c r="E2833" s="3">
        <f>IFERROR(__xludf.DUMMYFUNCTION("""COMPUTED_VALUE"""),4831.25)</f>
        <v>4831.25</v>
      </c>
      <c r="F2833" s="3">
        <f>IFERROR(__xludf.DUMMYFUNCTION("""COMPUTED_VALUE"""),0.0)</f>
        <v>0</v>
      </c>
    </row>
    <row r="2834">
      <c r="A2834" s="7">
        <f>IFERROR(__xludf.DUMMYFUNCTION("""COMPUTED_VALUE"""),40921.645833333336)</f>
        <v>40921.64583</v>
      </c>
      <c r="B2834" s="3">
        <f>IFERROR(__xludf.DUMMYFUNCTION("""COMPUTED_VALUE"""),4861.95)</f>
        <v>4861.95</v>
      </c>
      <c r="C2834" s="3">
        <f>IFERROR(__xludf.DUMMYFUNCTION("""COMPUTED_VALUE"""),4898.85)</f>
        <v>4898.85</v>
      </c>
      <c r="D2834" s="3">
        <f>IFERROR(__xludf.DUMMYFUNCTION("""COMPUTED_VALUE"""),4834.2)</f>
        <v>4834.2</v>
      </c>
      <c r="E2834" s="3">
        <f>IFERROR(__xludf.DUMMYFUNCTION("""COMPUTED_VALUE"""),4866.0)</f>
        <v>4866</v>
      </c>
      <c r="F2834" s="3">
        <f>IFERROR(__xludf.DUMMYFUNCTION("""COMPUTED_VALUE"""),0.0)</f>
        <v>0</v>
      </c>
    </row>
    <row r="2835">
      <c r="A2835" s="7">
        <f>IFERROR(__xludf.DUMMYFUNCTION("""COMPUTED_VALUE"""),40924.645833333336)</f>
        <v>40924.64583</v>
      </c>
      <c r="B2835" s="3">
        <f>IFERROR(__xludf.DUMMYFUNCTION("""COMPUTED_VALUE"""),4844.0)</f>
        <v>4844</v>
      </c>
      <c r="C2835" s="3">
        <f>IFERROR(__xludf.DUMMYFUNCTION("""COMPUTED_VALUE"""),4880.8)</f>
        <v>4880.8</v>
      </c>
      <c r="D2835" s="3">
        <f>IFERROR(__xludf.DUMMYFUNCTION("""COMPUTED_VALUE"""),4827.05)</f>
        <v>4827.05</v>
      </c>
      <c r="E2835" s="3">
        <f>IFERROR(__xludf.DUMMYFUNCTION("""COMPUTED_VALUE"""),4873.9)</f>
        <v>4873.9</v>
      </c>
      <c r="F2835" s="3">
        <f>IFERROR(__xludf.DUMMYFUNCTION("""COMPUTED_VALUE"""),0.0)</f>
        <v>0</v>
      </c>
    </row>
    <row r="2836">
      <c r="A2836" s="7">
        <f>IFERROR(__xludf.DUMMYFUNCTION("""COMPUTED_VALUE"""),40925.645833333336)</f>
        <v>40925.64583</v>
      </c>
      <c r="B2836" s="3">
        <f>IFERROR(__xludf.DUMMYFUNCTION("""COMPUTED_VALUE"""),4904.5)</f>
        <v>4904.5</v>
      </c>
      <c r="C2836" s="3">
        <f>IFERROR(__xludf.DUMMYFUNCTION("""COMPUTED_VALUE"""),4975.55)</f>
        <v>4975.55</v>
      </c>
      <c r="D2836" s="3">
        <f>IFERROR(__xludf.DUMMYFUNCTION("""COMPUTED_VALUE"""),4904.0)</f>
        <v>4904</v>
      </c>
      <c r="E2836" s="3">
        <f>IFERROR(__xludf.DUMMYFUNCTION("""COMPUTED_VALUE"""),4967.3)</f>
        <v>4967.3</v>
      </c>
      <c r="F2836" s="3">
        <f>IFERROR(__xludf.DUMMYFUNCTION("""COMPUTED_VALUE"""),0.0)</f>
        <v>0</v>
      </c>
    </row>
    <row r="2837">
      <c r="A2837" s="7">
        <f>IFERROR(__xludf.DUMMYFUNCTION("""COMPUTED_VALUE"""),40926.645833333336)</f>
        <v>40926.64583</v>
      </c>
      <c r="B2837" s="3">
        <f>IFERROR(__xludf.DUMMYFUNCTION("""COMPUTED_VALUE"""),4977.75)</f>
        <v>4977.75</v>
      </c>
      <c r="C2837" s="3">
        <f>IFERROR(__xludf.DUMMYFUNCTION("""COMPUTED_VALUE"""),4980.65)</f>
        <v>4980.65</v>
      </c>
      <c r="D2837" s="3">
        <f>IFERROR(__xludf.DUMMYFUNCTION("""COMPUTED_VALUE"""),4931.05)</f>
        <v>4931.05</v>
      </c>
      <c r="E2837" s="3">
        <f>IFERROR(__xludf.DUMMYFUNCTION("""COMPUTED_VALUE"""),4955.8)</f>
        <v>4955.8</v>
      </c>
      <c r="F2837" s="3">
        <f>IFERROR(__xludf.DUMMYFUNCTION("""COMPUTED_VALUE"""),0.0)</f>
        <v>0</v>
      </c>
    </row>
    <row r="2838">
      <c r="A2838" s="7">
        <f>IFERROR(__xludf.DUMMYFUNCTION("""COMPUTED_VALUE"""),40927.645833333336)</f>
        <v>40927.64583</v>
      </c>
      <c r="B2838" s="3">
        <f>IFERROR(__xludf.DUMMYFUNCTION("""COMPUTED_VALUE"""),4995.0)</f>
        <v>4995</v>
      </c>
      <c r="C2838" s="3">
        <f>IFERROR(__xludf.DUMMYFUNCTION("""COMPUTED_VALUE"""),5023.8)</f>
        <v>5023.8</v>
      </c>
      <c r="D2838" s="3">
        <f>IFERROR(__xludf.DUMMYFUNCTION("""COMPUTED_VALUE"""),4991.4)</f>
        <v>4991.4</v>
      </c>
      <c r="E2838" s="3">
        <f>IFERROR(__xludf.DUMMYFUNCTION("""COMPUTED_VALUE"""),5018.4)</f>
        <v>5018.4</v>
      </c>
      <c r="F2838" s="3">
        <f>IFERROR(__xludf.DUMMYFUNCTION("""COMPUTED_VALUE"""),0.0)</f>
        <v>0</v>
      </c>
    </row>
    <row r="2839">
      <c r="A2839" s="7">
        <f>IFERROR(__xludf.DUMMYFUNCTION("""COMPUTED_VALUE"""),40928.645833333336)</f>
        <v>40928.64583</v>
      </c>
      <c r="B2839" s="3">
        <f>IFERROR(__xludf.DUMMYFUNCTION("""COMPUTED_VALUE"""),5044.85)</f>
        <v>5044.85</v>
      </c>
      <c r="C2839" s="3">
        <f>IFERROR(__xludf.DUMMYFUNCTION("""COMPUTED_VALUE"""),5064.15)</f>
        <v>5064.15</v>
      </c>
      <c r="D2839" s="3">
        <f>IFERROR(__xludf.DUMMYFUNCTION("""COMPUTED_VALUE"""),5004.3)</f>
        <v>5004.3</v>
      </c>
      <c r="E2839" s="3">
        <f>IFERROR(__xludf.DUMMYFUNCTION("""COMPUTED_VALUE"""),5048.6)</f>
        <v>5048.6</v>
      </c>
      <c r="F2839" s="3">
        <f>IFERROR(__xludf.DUMMYFUNCTION("""COMPUTED_VALUE"""),0.0)</f>
        <v>0</v>
      </c>
    </row>
    <row r="2840">
      <c r="A2840" s="7">
        <f>IFERROR(__xludf.DUMMYFUNCTION("""COMPUTED_VALUE"""),40931.645833333336)</f>
        <v>40931.64583</v>
      </c>
      <c r="B2840" s="3">
        <f>IFERROR(__xludf.DUMMYFUNCTION("""COMPUTED_VALUE"""),5025.35)</f>
        <v>5025.35</v>
      </c>
      <c r="C2840" s="3">
        <f>IFERROR(__xludf.DUMMYFUNCTION("""COMPUTED_VALUE"""),5059.55)</f>
        <v>5059.55</v>
      </c>
      <c r="D2840" s="3">
        <f>IFERROR(__xludf.DUMMYFUNCTION("""COMPUTED_VALUE"""),5021.35)</f>
        <v>5021.35</v>
      </c>
      <c r="E2840" s="3">
        <f>IFERROR(__xludf.DUMMYFUNCTION("""COMPUTED_VALUE"""),5046.25)</f>
        <v>5046.25</v>
      </c>
      <c r="F2840" s="3">
        <f>IFERROR(__xludf.DUMMYFUNCTION("""COMPUTED_VALUE"""),0.0)</f>
        <v>0</v>
      </c>
    </row>
    <row r="2841">
      <c r="A2841" s="7">
        <f>IFERROR(__xludf.DUMMYFUNCTION("""COMPUTED_VALUE"""),40932.645833333336)</f>
        <v>40932.64583</v>
      </c>
      <c r="B2841" s="3">
        <f>IFERROR(__xludf.DUMMYFUNCTION("""COMPUTED_VALUE"""),5064.8)</f>
        <v>5064.8</v>
      </c>
      <c r="C2841" s="3">
        <f>IFERROR(__xludf.DUMMYFUNCTION("""COMPUTED_VALUE"""),5141.05)</f>
        <v>5141.05</v>
      </c>
      <c r="D2841" s="3">
        <f>IFERROR(__xludf.DUMMYFUNCTION("""COMPUTED_VALUE"""),5049.8)</f>
        <v>5049.8</v>
      </c>
      <c r="E2841" s="3">
        <f>IFERROR(__xludf.DUMMYFUNCTION("""COMPUTED_VALUE"""),5127.35)</f>
        <v>5127.35</v>
      </c>
      <c r="F2841" s="3">
        <f>IFERROR(__xludf.DUMMYFUNCTION("""COMPUTED_VALUE"""),0.0)</f>
        <v>0</v>
      </c>
    </row>
    <row r="2842">
      <c r="A2842" s="7">
        <f>IFERROR(__xludf.DUMMYFUNCTION("""COMPUTED_VALUE"""),40933.645833333336)</f>
        <v>40933.64583</v>
      </c>
      <c r="B2842" s="3">
        <f>IFERROR(__xludf.DUMMYFUNCTION("""COMPUTED_VALUE"""),5151.5)</f>
        <v>5151.5</v>
      </c>
      <c r="C2842" s="3">
        <f>IFERROR(__xludf.DUMMYFUNCTION("""COMPUTED_VALUE"""),5174.15)</f>
        <v>5174.15</v>
      </c>
      <c r="D2842" s="3">
        <f>IFERROR(__xludf.DUMMYFUNCTION("""COMPUTED_VALUE"""),5130.25)</f>
        <v>5130.25</v>
      </c>
      <c r="E2842" s="3">
        <f>IFERROR(__xludf.DUMMYFUNCTION("""COMPUTED_VALUE"""),5158.3)</f>
        <v>5158.3</v>
      </c>
      <c r="F2842" s="3">
        <f>IFERROR(__xludf.DUMMYFUNCTION("""COMPUTED_VALUE"""),0.0)</f>
        <v>0</v>
      </c>
    </row>
    <row r="2843">
      <c r="A2843" s="7">
        <f>IFERROR(__xludf.DUMMYFUNCTION("""COMPUTED_VALUE"""),40935.645833333336)</f>
        <v>40935.64583</v>
      </c>
      <c r="B2843" s="3">
        <f>IFERROR(__xludf.DUMMYFUNCTION("""COMPUTED_VALUE"""),5216.75)</f>
        <v>5216.75</v>
      </c>
      <c r="C2843" s="3">
        <f>IFERROR(__xludf.DUMMYFUNCTION("""COMPUTED_VALUE"""),5217.0)</f>
        <v>5217</v>
      </c>
      <c r="D2843" s="3">
        <f>IFERROR(__xludf.DUMMYFUNCTION("""COMPUTED_VALUE"""),5162.4)</f>
        <v>5162.4</v>
      </c>
      <c r="E2843" s="3">
        <f>IFERROR(__xludf.DUMMYFUNCTION("""COMPUTED_VALUE"""),5204.7)</f>
        <v>5204.7</v>
      </c>
      <c r="F2843" s="3">
        <f>IFERROR(__xludf.DUMMYFUNCTION("""COMPUTED_VALUE"""),0.0)</f>
        <v>0</v>
      </c>
    </row>
    <row r="2844">
      <c r="A2844" s="7">
        <f>IFERROR(__xludf.DUMMYFUNCTION("""COMPUTED_VALUE"""),40938.645833333336)</f>
        <v>40938.64583</v>
      </c>
      <c r="B2844" s="3">
        <f>IFERROR(__xludf.DUMMYFUNCTION("""COMPUTED_VALUE"""),5163.55)</f>
        <v>5163.55</v>
      </c>
      <c r="C2844" s="3">
        <f>IFERROR(__xludf.DUMMYFUNCTION("""COMPUTED_VALUE"""),5166.15)</f>
        <v>5166.15</v>
      </c>
      <c r="D2844" s="3">
        <f>IFERROR(__xludf.DUMMYFUNCTION("""COMPUTED_VALUE"""),5076.7)</f>
        <v>5076.7</v>
      </c>
      <c r="E2844" s="3">
        <f>IFERROR(__xludf.DUMMYFUNCTION("""COMPUTED_VALUE"""),5087.3)</f>
        <v>5087.3</v>
      </c>
      <c r="F2844" s="3">
        <f>IFERROR(__xludf.DUMMYFUNCTION("""COMPUTED_VALUE"""),0.0)</f>
        <v>0</v>
      </c>
    </row>
    <row r="2845">
      <c r="A2845" s="7">
        <f>IFERROR(__xludf.DUMMYFUNCTION("""COMPUTED_VALUE"""),40939.645833333336)</f>
        <v>40939.64583</v>
      </c>
      <c r="B2845" s="3">
        <f>IFERROR(__xludf.DUMMYFUNCTION("""COMPUTED_VALUE"""),5125.25)</f>
        <v>5125.25</v>
      </c>
      <c r="C2845" s="3">
        <f>IFERROR(__xludf.DUMMYFUNCTION("""COMPUTED_VALUE"""),5215.4)</f>
        <v>5215.4</v>
      </c>
      <c r="D2845" s="3">
        <f>IFERROR(__xludf.DUMMYFUNCTION("""COMPUTED_VALUE"""),5120.15)</f>
        <v>5120.15</v>
      </c>
      <c r="E2845" s="3">
        <f>IFERROR(__xludf.DUMMYFUNCTION("""COMPUTED_VALUE"""),5199.25)</f>
        <v>5199.25</v>
      </c>
      <c r="F2845" s="3">
        <f>IFERROR(__xludf.DUMMYFUNCTION("""COMPUTED_VALUE"""),0.0)</f>
        <v>0</v>
      </c>
    </row>
    <row r="2846">
      <c r="A2846" s="7">
        <f>IFERROR(__xludf.DUMMYFUNCTION("""COMPUTED_VALUE"""),40940.645833333336)</f>
        <v>40940.64583</v>
      </c>
      <c r="B2846" s="3">
        <f>IFERROR(__xludf.DUMMYFUNCTION("""COMPUTED_VALUE"""),5198.15)</f>
        <v>5198.15</v>
      </c>
      <c r="C2846" s="3">
        <f>IFERROR(__xludf.DUMMYFUNCTION("""COMPUTED_VALUE"""),5244.6)</f>
        <v>5244.6</v>
      </c>
      <c r="D2846" s="3">
        <f>IFERROR(__xludf.DUMMYFUNCTION("""COMPUTED_VALUE"""),5159.0)</f>
        <v>5159</v>
      </c>
      <c r="E2846" s="3">
        <f>IFERROR(__xludf.DUMMYFUNCTION("""COMPUTED_VALUE"""),5235.7)</f>
        <v>5235.7</v>
      </c>
      <c r="F2846" s="3">
        <f>IFERROR(__xludf.DUMMYFUNCTION("""COMPUTED_VALUE"""),0.0)</f>
        <v>0</v>
      </c>
    </row>
    <row r="2847">
      <c r="A2847" s="7">
        <f>IFERROR(__xludf.DUMMYFUNCTION("""COMPUTED_VALUE"""),40941.645833333336)</f>
        <v>40941.64583</v>
      </c>
      <c r="B2847" s="3">
        <f>IFERROR(__xludf.DUMMYFUNCTION("""COMPUTED_VALUE"""),5272.1)</f>
        <v>5272.1</v>
      </c>
      <c r="C2847" s="3">
        <f>IFERROR(__xludf.DUMMYFUNCTION("""COMPUTED_VALUE"""),5289.95)</f>
        <v>5289.95</v>
      </c>
      <c r="D2847" s="3">
        <f>IFERROR(__xludf.DUMMYFUNCTION("""COMPUTED_VALUE"""),5225.75)</f>
        <v>5225.75</v>
      </c>
      <c r="E2847" s="3">
        <f>IFERROR(__xludf.DUMMYFUNCTION("""COMPUTED_VALUE"""),5269.9)</f>
        <v>5269.9</v>
      </c>
      <c r="F2847" s="3">
        <f>IFERROR(__xludf.DUMMYFUNCTION("""COMPUTED_VALUE"""),0.0)</f>
        <v>0</v>
      </c>
    </row>
    <row r="2848">
      <c r="A2848" s="7">
        <f>IFERROR(__xludf.DUMMYFUNCTION("""COMPUTED_VALUE"""),40942.645833333336)</f>
        <v>40942.64583</v>
      </c>
      <c r="B2848" s="3">
        <f>IFERROR(__xludf.DUMMYFUNCTION("""COMPUTED_VALUE"""),5276.1)</f>
        <v>5276.1</v>
      </c>
      <c r="C2848" s="3">
        <f>IFERROR(__xludf.DUMMYFUNCTION("""COMPUTED_VALUE"""),5334.85)</f>
        <v>5334.85</v>
      </c>
      <c r="D2848" s="3">
        <f>IFERROR(__xludf.DUMMYFUNCTION("""COMPUTED_VALUE"""),5255.55)</f>
        <v>5255.55</v>
      </c>
      <c r="E2848" s="3">
        <f>IFERROR(__xludf.DUMMYFUNCTION("""COMPUTED_VALUE"""),5325.85)</f>
        <v>5325.85</v>
      </c>
      <c r="F2848" s="3">
        <f>IFERROR(__xludf.DUMMYFUNCTION("""COMPUTED_VALUE"""),0.0)</f>
        <v>0</v>
      </c>
    </row>
    <row r="2849">
      <c r="A2849" s="7">
        <f>IFERROR(__xludf.DUMMYFUNCTION("""COMPUTED_VALUE"""),40945.645833333336)</f>
        <v>40945.64583</v>
      </c>
      <c r="B2849" s="3">
        <f>IFERROR(__xludf.DUMMYFUNCTION("""COMPUTED_VALUE"""),5379.45)</f>
        <v>5379.45</v>
      </c>
      <c r="C2849" s="3">
        <f>IFERROR(__xludf.DUMMYFUNCTION("""COMPUTED_VALUE"""),5390.05)</f>
        <v>5390.05</v>
      </c>
      <c r="D2849" s="3">
        <f>IFERROR(__xludf.DUMMYFUNCTION("""COMPUTED_VALUE"""),5327.25)</f>
        <v>5327.25</v>
      </c>
      <c r="E2849" s="3">
        <f>IFERROR(__xludf.DUMMYFUNCTION("""COMPUTED_VALUE"""),5361.65)</f>
        <v>5361.65</v>
      </c>
      <c r="F2849" s="3">
        <f>IFERROR(__xludf.DUMMYFUNCTION("""COMPUTED_VALUE"""),0.0)</f>
        <v>0</v>
      </c>
    </row>
    <row r="2850">
      <c r="A2850" s="7">
        <f>IFERROR(__xludf.DUMMYFUNCTION("""COMPUTED_VALUE"""),40946.645833333336)</f>
        <v>40946.64583</v>
      </c>
      <c r="B2850" s="3">
        <f>IFERROR(__xludf.DUMMYFUNCTION("""COMPUTED_VALUE"""),5412.95)</f>
        <v>5412.95</v>
      </c>
      <c r="C2850" s="3">
        <f>IFERROR(__xludf.DUMMYFUNCTION("""COMPUTED_VALUE"""),5413.35)</f>
        <v>5413.35</v>
      </c>
      <c r="D2850" s="3">
        <f>IFERROR(__xludf.DUMMYFUNCTION("""COMPUTED_VALUE"""),5322.95)</f>
        <v>5322.95</v>
      </c>
      <c r="E2850" s="3">
        <f>IFERROR(__xludf.DUMMYFUNCTION("""COMPUTED_VALUE"""),5335.15)</f>
        <v>5335.15</v>
      </c>
      <c r="F2850" s="3">
        <f>IFERROR(__xludf.DUMMYFUNCTION("""COMPUTED_VALUE"""),0.0)</f>
        <v>0</v>
      </c>
    </row>
    <row r="2851">
      <c r="A2851" s="7">
        <f>IFERROR(__xludf.DUMMYFUNCTION("""COMPUTED_VALUE"""),40947.645833333336)</f>
        <v>40947.64583</v>
      </c>
      <c r="B2851" s="3">
        <f>IFERROR(__xludf.DUMMYFUNCTION("""COMPUTED_VALUE"""),5343.8)</f>
        <v>5343.8</v>
      </c>
      <c r="C2851" s="3">
        <f>IFERROR(__xludf.DUMMYFUNCTION("""COMPUTED_VALUE"""),5396.9)</f>
        <v>5396.9</v>
      </c>
      <c r="D2851" s="3">
        <f>IFERROR(__xludf.DUMMYFUNCTION("""COMPUTED_VALUE"""),5325.2)</f>
        <v>5325.2</v>
      </c>
      <c r="E2851" s="3">
        <f>IFERROR(__xludf.DUMMYFUNCTION("""COMPUTED_VALUE"""),5368.15)</f>
        <v>5368.15</v>
      </c>
      <c r="F2851" s="3">
        <f>IFERROR(__xludf.DUMMYFUNCTION("""COMPUTED_VALUE"""),0.0)</f>
        <v>0</v>
      </c>
    </row>
    <row r="2852">
      <c r="A2852" s="7">
        <f>IFERROR(__xludf.DUMMYFUNCTION("""COMPUTED_VALUE"""),40948.645833333336)</f>
        <v>40948.64583</v>
      </c>
      <c r="B2852" s="3">
        <f>IFERROR(__xludf.DUMMYFUNCTION("""COMPUTED_VALUE"""),5343.05)</f>
        <v>5343.05</v>
      </c>
      <c r="C2852" s="3">
        <f>IFERROR(__xludf.DUMMYFUNCTION("""COMPUTED_VALUE"""),5423.4)</f>
        <v>5423.4</v>
      </c>
      <c r="D2852" s="3">
        <f>IFERROR(__xludf.DUMMYFUNCTION("""COMPUTED_VALUE"""),5338.9)</f>
        <v>5338.9</v>
      </c>
      <c r="E2852" s="3">
        <f>IFERROR(__xludf.DUMMYFUNCTION("""COMPUTED_VALUE"""),5412.35)</f>
        <v>5412.35</v>
      </c>
      <c r="F2852" s="3">
        <f>IFERROR(__xludf.DUMMYFUNCTION("""COMPUTED_VALUE"""),0.0)</f>
        <v>0</v>
      </c>
    </row>
    <row r="2853">
      <c r="A2853" s="7">
        <f>IFERROR(__xludf.DUMMYFUNCTION("""COMPUTED_VALUE"""),40949.645833333336)</f>
        <v>40949.64583</v>
      </c>
      <c r="B2853" s="3">
        <f>IFERROR(__xludf.DUMMYFUNCTION("""COMPUTED_VALUE"""),5399.8)</f>
        <v>5399.8</v>
      </c>
      <c r="C2853" s="3">
        <f>IFERROR(__xludf.DUMMYFUNCTION("""COMPUTED_VALUE"""),5427.75)</f>
        <v>5427.75</v>
      </c>
      <c r="D2853" s="3">
        <f>IFERROR(__xludf.DUMMYFUNCTION("""COMPUTED_VALUE"""),5341.05)</f>
        <v>5341.05</v>
      </c>
      <c r="E2853" s="3">
        <f>IFERROR(__xludf.DUMMYFUNCTION("""COMPUTED_VALUE"""),5381.6)</f>
        <v>5381.6</v>
      </c>
      <c r="F2853" s="3">
        <f>IFERROR(__xludf.DUMMYFUNCTION("""COMPUTED_VALUE"""),0.0)</f>
        <v>0</v>
      </c>
    </row>
    <row r="2854">
      <c r="A2854" s="7">
        <f>IFERROR(__xludf.DUMMYFUNCTION("""COMPUTED_VALUE"""),40952.645833333336)</f>
        <v>40952.64583</v>
      </c>
      <c r="B2854" s="3">
        <f>IFERROR(__xludf.DUMMYFUNCTION("""COMPUTED_VALUE"""),5382.1)</f>
        <v>5382.1</v>
      </c>
      <c r="C2854" s="3">
        <f>IFERROR(__xludf.DUMMYFUNCTION("""COMPUTED_VALUE"""),5421.05)</f>
        <v>5421.05</v>
      </c>
      <c r="D2854" s="3">
        <f>IFERROR(__xludf.DUMMYFUNCTION("""COMPUTED_VALUE"""),5351.4)</f>
        <v>5351.4</v>
      </c>
      <c r="E2854" s="3">
        <f>IFERROR(__xludf.DUMMYFUNCTION("""COMPUTED_VALUE"""),5390.2)</f>
        <v>5390.2</v>
      </c>
      <c r="F2854" s="3">
        <f>IFERROR(__xludf.DUMMYFUNCTION("""COMPUTED_VALUE"""),0.0)</f>
        <v>0</v>
      </c>
    </row>
    <row r="2855">
      <c r="A2855" s="7">
        <f>IFERROR(__xludf.DUMMYFUNCTION("""COMPUTED_VALUE"""),40953.645833333336)</f>
        <v>40953.64583</v>
      </c>
      <c r="B2855" s="3">
        <f>IFERROR(__xludf.DUMMYFUNCTION("""COMPUTED_VALUE"""),5380.8)</f>
        <v>5380.8</v>
      </c>
      <c r="C2855" s="3">
        <f>IFERROR(__xludf.DUMMYFUNCTION("""COMPUTED_VALUE"""),5428.05)</f>
        <v>5428.05</v>
      </c>
      <c r="D2855" s="3">
        <f>IFERROR(__xludf.DUMMYFUNCTION("""COMPUTED_VALUE"""),5377.95)</f>
        <v>5377.95</v>
      </c>
      <c r="E2855" s="3">
        <f>IFERROR(__xludf.DUMMYFUNCTION("""COMPUTED_VALUE"""),5416.05)</f>
        <v>5416.05</v>
      </c>
      <c r="F2855" s="3">
        <f>IFERROR(__xludf.DUMMYFUNCTION("""COMPUTED_VALUE"""),0.0)</f>
        <v>0</v>
      </c>
    </row>
    <row r="2856">
      <c r="A2856" s="7">
        <f>IFERROR(__xludf.DUMMYFUNCTION("""COMPUTED_VALUE"""),40954.645833333336)</f>
        <v>40954.64583</v>
      </c>
      <c r="B2856" s="3">
        <f>IFERROR(__xludf.DUMMYFUNCTION("""COMPUTED_VALUE"""),5460.6)</f>
        <v>5460.6</v>
      </c>
      <c r="C2856" s="3">
        <f>IFERROR(__xludf.DUMMYFUNCTION("""COMPUTED_VALUE"""),5542.1)</f>
        <v>5542.1</v>
      </c>
      <c r="D2856" s="3">
        <f>IFERROR(__xludf.DUMMYFUNCTION("""COMPUTED_VALUE"""),5460.6)</f>
        <v>5460.6</v>
      </c>
      <c r="E2856" s="3">
        <f>IFERROR(__xludf.DUMMYFUNCTION("""COMPUTED_VALUE"""),5531.95)</f>
        <v>5531.95</v>
      </c>
      <c r="F2856" s="3">
        <f>IFERROR(__xludf.DUMMYFUNCTION("""COMPUTED_VALUE"""),0.0)</f>
        <v>0</v>
      </c>
    </row>
    <row r="2857">
      <c r="A2857" s="7">
        <f>IFERROR(__xludf.DUMMYFUNCTION("""COMPUTED_VALUE"""),40955.645833333336)</f>
        <v>40955.64583</v>
      </c>
      <c r="B2857" s="3">
        <f>IFERROR(__xludf.DUMMYFUNCTION("""COMPUTED_VALUE"""),5513.75)</f>
        <v>5513.75</v>
      </c>
      <c r="C2857" s="3">
        <f>IFERROR(__xludf.DUMMYFUNCTION("""COMPUTED_VALUE"""),5531.4)</f>
        <v>5531.4</v>
      </c>
      <c r="D2857" s="3">
        <f>IFERROR(__xludf.DUMMYFUNCTION("""COMPUTED_VALUE"""),5483.75)</f>
        <v>5483.75</v>
      </c>
      <c r="E2857" s="3">
        <f>IFERROR(__xludf.DUMMYFUNCTION("""COMPUTED_VALUE"""),5521.95)</f>
        <v>5521.95</v>
      </c>
      <c r="F2857" s="3">
        <f>IFERROR(__xludf.DUMMYFUNCTION("""COMPUTED_VALUE"""),0.0)</f>
        <v>0</v>
      </c>
    </row>
    <row r="2858">
      <c r="A2858" s="7">
        <f>IFERROR(__xludf.DUMMYFUNCTION("""COMPUTED_VALUE"""),40956.645833333336)</f>
        <v>40956.64583</v>
      </c>
      <c r="B2858" s="3">
        <f>IFERROR(__xludf.DUMMYFUNCTION("""COMPUTED_VALUE"""),5574.2)</f>
        <v>5574.2</v>
      </c>
      <c r="C2858" s="3">
        <f>IFERROR(__xludf.DUMMYFUNCTION("""COMPUTED_VALUE"""),5606.7)</f>
        <v>5606.7</v>
      </c>
      <c r="D2858" s="3">
        <f>IFERROR(__xludf.DUMMYFUNCTION("""COMPUTED_VALUE"""),5545.2)</f>
        <v>5545.2</v>
      </c>
      <c r="E2858" s="3">
        <f>IFERROR(__xludf.DUMMYFUNCTION("""COMPUTED_VALUE"""),5564.3)</f>
        <v>5564.3</v>
      </c>
      <c r="F2858" s="3">
        <f>IFERROR(__xludf.DUMMYFUNCTION("""COMPUTED_VALUE"""),0.0)</f>
        <v>0</v>
      </c>
    </row>
    <row r="2859">
      <c r="A2859" s="7">
        <f>IFERROR(__xludf.DUMMYFUNCTION("""COMPUTED_VALUE"""),40960.645833333336)</f>
        <v>40960.64583</v>
      </c>
      <c r="B2859" s="3">
        <f>IFERROR(__xludf.DUMMYFUNCTION("""COMPUTED_VALUE"""),5561.9)</f>
        <v>5561.9</v>
      </c>
      <c r="C2859" s="3">
        <f>IFERROR(__xludf.DUMMYFUNCTION("""COMPUTED_VALUE"""),5621.5)</f>
        <v>5621.5</v>
      </c>
      <c r="D2859" s="3">
        <f>IFERROR(__xludf.DUMMYFUNCTION("""COMPUTED_VALUE"""),5561.75)</f>
        <v>5561.75</v>
      </c>
      <c r="E2859" s="3">
        <f>IFERROR(__xludf.DUMMYFUNCTION("""COMPUTED_VALUE"""),5607.15)</f>
        <v>5607.15</v>
      </c>
      <c r="F2859" s="3">
        <f>IFERROR(__xludf.DUMMYFUNCTION("""COMPUTED_VALUE"""),0.0)</f>
        <v>0</v>
      </c>
    </row>
    <row r="2860">
      <c r="A2860" s="7">
        <f>IFERROR(__xludf.DUMMYFUNCTION("""COMPUTED_VALUE"""),40961.645833333336)</f>
        <v>40961.64583</v>
      </c>
      <c r="B2860" s="3">
        <f>IFERROR(__xludf.DUMMYFUNCTION("""COMPUTED_VALUE"""),5609.75)</f>
        <v>5609.75</v>
      </c>
      <c r="C2860" s="3">
        <f>IFERROR(__xludf.DUMMYFUNCTION("""COMPUTED_VALUE"""),5629.95)</f>
        <v>5629.95</v>
      </c>
      <c r="D2860" s="3">
        <f>IFERROR(__xludf.DUMMYFUNCTION("""COMPUTED_VALUE"""),5491.35)</f>
        <v>5491.35</v>
      </c>
      <c r="E2860" s="3">
        <f>IFERROR(__xludf.DUMMYFUNCTION("""COMPUTED_VALUE"""),5505.35)</f>
        <v>5505.35</v>
      </c>
      <c r="F2860" s="3">
        <f>IFERROR(__xludf.DUMMYFUNCTION("""COMPUTED_VALUE"""),0.0)</f>
        <v>0</v>
      </c>
    </row>
    <row r="2861">
      <c r="A2861" s="7">
        <f>IFERROR(__xludf.DUMMYFUNCTION("""COMPUTED_VALUE"""),40962.645833333336)</f>
        <v>40962.64583</v>
      </c>
      <c r="B2861" s="3">
        <f>IFERROR(__xludf.DUMMYFUNCTION("""COMPUTED_VALUE"""),5490.05)</f>
        <v>5490.05</v>
      </c>
      <c r="C2861" s="3">
        <f>IFERROR(__xludf.DUMMYFUNCTION("""COMPUTED_VALUE"""),5537.4)</f>
        <v>5537.4</v>
      </c>
      <c r="D2861" s="3">
        <f>IFERROR(__xludf.DUMMYFUNCTION("""COMPUTED_VALUE"""),5460.8)</f>
        <v>5460.8</v>
      </c>
      <c r="E2861" s="3">
        <f>IFERROR(__xludf.DUMMYFUNCTION("""COMPUTED_VALUE"""),5483.3)</f>
        <v>5483.3</v>
      </c>
      <c r="F2861" s="3">
        <f>IFERROR(__xludf.DUMMYFUNCTION("""COMPUTED_VALUE"""),0.0)</f>
        <v>0</v>
      </c>
    </row>
    <row r="2862">
      <c r="A2862" s="7">
        <f>IFERROR(__xludf.DUMMYFUNCTION("""COMPUTED_VALUE"""),40963.645833333336)</f>
        <v>40963.64583</v>
      </c>
      <c r="B2862" s="3">
        <f>IFERROR(__xludf.DUMMYFUNCTION("""COMPUTED_VALUE"""),5479.15)</f>
        <v>5479.15</v>
      </c>
      <c r="C2862" s="3">
        <f>IFERROR(__xludf.DUMMYFUNCTION("""COMPUTED_VALUE"""),5521.4)</f>
        <v>5521.4</v>
      </c>
      <c r="D2862" s="3">
        <f>IFERROR(__xludf.DUMMYFUNCTION("""COMPUTED_VALUE"""),5405.9)</f>
        <v>5405.9</v>
      </c>
      <c r="E2862" s="3">
        <f>IFERROR(__xludf.DUMMYFUNCTION("""COMPUTED_VALUE"""),5429.3)</f>
        <v>5429.3</v>
      </c>
      <c r="F2862" s="3">
        <f>IFERROR(__xludf.DUMMYFUNCTION("""COMPUTED_VALUE"""),0.0)</f>
        <v>0</v>
      </c>
    </row>
    <row r="2863">
      <c r="A2863" s="7">
        <f>IFERROR(__xludf.DUMMYFUNCTION("""COMPUTED_VALUE"""),40966.645833333336)</f>
        <v>40966.64583</v>
      </c>
      <c r="B2863" s="3">
        <f>IFERROR(__xludf.DUMMYFUNCTION("""COMPUTED_VALUE"""),5448.1)</f>
        <v>5448.1</v>
      </c>
      <c r="C2863" s="3">
        <f>IFERROR(__xludf.DUMMYFUNCTION("""COMPUTED_VALUE"""),5449.8)</f>
        <v>5449.8</v>
      </c>
      <c r="D2863" s="3">
        <f>IFERROR(__xludf.DUMMYFUNCTION("""COMPUTED_VALUE"""),5268.15)</f>
        <v>5268.15</v>
      </c>
      <c r="E2863" s="3">
        <f>IFERROR(__xludf.DUMMYFUNCTION("""COMPUTED_VALUE"""),5281.2)</f>
        <v>5281.2</v>
      </c>
      <c r="F2863" s="3">
        <f>IFERROR(__xludf.DUMMYFUNCTION("""COMPUTED_VALUE"""),0.0)</f>
        <v>0</v>
      </c>
    </row>
    <row r="2864">
      <c r="A2864" s="7">
        <f>IFERROR(__xludf.DUMMYFUNCTION("""COMPUTED_VALUE"""),40967.645833333336)</f>
        <v>40967.64583</v>
      </c>
      <c r="B2864" s="3">
        <f>IFERROR(__xludf.DUMMYFUNCTION("""COMPUTED_VALUE"""),5310.5)</f>
        <v>5310.5</v>
      </c>
      <c r="C2864" s="3">
        <f>IFERROR(__xludf.DUMMYFUNCTION("""COMPUTED_VALUE"""),5391.1)</f>
        <v>5391.1</v>
      </c>
      <c r="D2864" s="3">
        <f>IFERROR(__xludf.DUMMYFUNCTION("""COMPUTED_VALUE"""),5306.45)</f>
        <v>5306.45</v>
      </c>
      <c r="E2864" s="3">
        <f>IFERROR(__xludf.DUMMYFUNCTION("""COMPUTED_VALUE"""),5375.5)</f>
        <v>5375.5</v>
      </c>
      <c r="F2864" s="3">
        <f>IFERROR(__xludf.DUMMYFUNCTION("""COMPUTED_VALUE"""),0.0)</f>
        <v>0</v>
      </c>
    </row>
    <row r="2865">
      <c r="A2865" s="7">
        <f>IFERROR(__xludf.DUMMYFUNCTION("""COMPUTED_VALUE"""),40968.645833333336)</f>
        <v>40968.64583</v>
      </c>
      <c r="B2865" s="3">
        <f>IFERROR(__xludf.DUMMYFUNCTION("""COMPUTED_VALUE"""),5424.95)</f>
        <v>5424.95</v>
      </c>
      <c r="C2865" s="3">
        <f>IFERROR(__xludf.DUMMYFUNCTION("""COMPUTED_VALUE"""),5458.8)</f>
        <v>5458.8</v>
      </c>
      <c r="D2865" s="3">
        <f>IFERROR(__xludf.DUMMYFUNCTION("""COMPUTED_VALUE"""),5352.25)</f>
        <v>5352.25</v>
      </c>
      <c r="E2865" s="3">
        <f>IFERROR(__xludf.DUMMYFUNCTION("""COMPUTED_VALUE"""),5385.2)</f>
        <v>5385.2</v>
      </c>
      <c r="F2865" s="3">
        <f>IFERROR(__xludf.DUMMYFUNCTION("""COMPUTED_VALUE"""),0.0)</f>
        <v>0</v>
      </c>
    </row>
    <row r="2866">
      <c r="A2866" s="7">
        <f>IFERROR(__xludf.DUMMYFUNCTION("""COMPUTED_VALUE"""),40969.645833333336)</f>
        <v>40969.64583</v>
      </c>
      <c r="B2866" s="3">
        <f>IFERROR(__xludf.DUMMYFUNCTION("""COMPUTED_VALUE"""),5366.0)</f>
        <v>5366</v>
      </c>
      <c r="C2866" s="3">
        <f>IFERROR(__xludf.DUMMYFUNCTION("""COMPUTED_VALUE"""),5372.45)</f>
        <v>5372.45</v>
      </c>
      <c r="D2866" s="3">
        <f>IFERROR(__xludf.DUMMYFUNCTION("""COMPUTED_VALUE"""),5297.5)</f>
        <v>5297.5</v>
      </c>
      <c r="E2866" s="3">
        <f>IFERROR(__xludf.DUMMYFUNCTION("""COMPUTED_VALUE"""),5339.75)</f>
        <v>5339.75</v>
      </c>
      <c r="F2866" s="3">
        <f>IFERROR(__xludf.DUMMYFUNCTION("""COMPUTED_VALUE"""),0.0)</f>
        <v>0</v>
      </c>
    </row>
    <row r="2867">
      <c r="A2867" s="7">
        <f>IFERROR(__xludf.DUMMYFUNCTION("""COMPUTED_VALUE"""),40970.645833333336)</f>
        <v>40970.64583</v>
      </c>
      <c r="B2867" s="3">
        <f>IFERROR(__xludf.DUMMYFUNCTION("""COMPUTED_VALUE"""),5369.45)</f>
        <v>5369.45</v>
      </c>
      <c r="C2867" s="3">
        <f>IFERROR(__xludf.DUMMYFUNCTION("""COMPUTED_VALUE"""),5392.55)</f>
        <v>5392.55</v>
      </c>
      <c r="D2867" s="3">
        <f>IFERROR(__xludf.DUMMYFUNCTION("""COMPUTED_VALUE"""),5315.05)</f>
        <v>5315.05</v>
      </c>
      <c r="E2867" s="3">
        <f>IFERROR(__xludf.DUMMYFUNCTION("""COMPUTED_VALUE"""),5359.35)</f>
        <v>5359.35</v>
      </c>
      <c r="F2867" s="3">
        <f>IFERROR(__xludf.DUMMYFUNCTION("""COMPUTED_VALUE"""),0.0)</f>
        <v>0</v>
      </c>
    </row>
    <row r="2868">
      <c r="A2868" s="7">
        <f>IFERROR(__xludf.DUMMYFUNCTION("""COMPUTED_VALUE"""),40973.645833333336)</f>
        <v>40973.64583</v>
      </c>
      <c r="B2868" s="3">
        <f>IFERROR(__xludf.DUMMYFUNCTION("""COMPUTED_VALUE"""),5342.55)</f>
        <v>5342.55</v>
      </c>
      <c r="C2868" s="3">
        <f>IFERROR(__xludf.DUMMYFUNCTION("""COMPUTED_VALUE"""),5344.5)</f>
        <v>5344.5</v>
      </c>
      <c r="D2868" s="3">
        <f>IFERROR(__xludf.DUMMYFUNCTION("""COMPUTED_VALUE"""),5265.7)</f>
        <v>5265.7</v>
      </c>
      <c r="E2868" s="3">
        <f>IFERROR(__xludf.DUMMYFUNCTION("""COMPUTED_VALUE"""),5280.35)</f>
        <v>5280.35</v>
      </c>
      <c r="F2868" s="3">
        <f>IFERROR(__xludf.DUMMYFUNCTION("""COMPUTED_VALUE"""),0.0)</f>
        <v>0</v>
      </c>
    </row>
    <row r="2869">
      <c r="A2869" s="7">
        <f>IFERROR(__xludf.DUMMYFUNCTION("""COMPUTED_VALUE"""),40974.645833333336)</f>
        <v>40974.64583</v>
      </c>
      <c r="B2869" s="3">
        <f>IFERROR(__xludf.DUMMYFUNCTION("""COMPUTED_VALUE"""),5266.0)</f>
        <v>5266</v>
      </c>
      <c r="C2869" s="3">
        <f>IFERROR(__xludf.DUMMYFUNCTION("""COMPUTED_VALUE"""),5382.05)</f>
        <v>5382.05</v>
      </c>
      <c r="D2869" s="3">
        <f>IFERROR(__xludf.DUMMYFUNCTION("""COMPUTED_VALUE"""),5206.4)</f>
        <v>5206.4</v>
      </c>
      <c r="E2869" s="3">
        <f>IFERROR(__xludf.DUMMYFUNCTION("""COMPUTED_VALUE"""),5222.4)</f>
        <v>5222.4</v>
      </c>
      <c r="F2869" s="3">
        <f>IFERROR(__xludf.DUMMYFUNCTION("""COMPUTED_VALUE"""),0.0)</f>
        <v>0</v>
      </c>
    </row>
    <row r="2870">
      <c r="A2870" s="7">
        <f>IFERROR(__xludf.DUMMYFUNCTION("""COMPUTED_VALUE"""),40975.645833333336)</f>
        <v>40975.64583</v>
      </c>
      <c r="B2870" s="3">
        <f>IFERROR(__xludf.DUMMYFUNCTION("""COMPUTED_VALUE"""),5207.05)</f>
        <v>5207.05</v>
      </c>
      <c r="C2870" s="3">
        <f>IFERROR(__xludf.DUMMYFUNCTION("""COMPUTED_VALUE"""),5243.85)</f>
        <v>5243.85</v>
      </c>
      <c r="D2870" s="3">
        <f>IFERROR(__xludf.DUMMYFUNCTION("""COMPUTED_VALUE"""),5171.45)</f>
        <v>5171.45</v>
      </c>
      <c r="E2870" s="3">
        <f>IFERROR(__xludf.DUMMYFUNCTION("""COMPUTED_VALUE"""),5220.45)</f>
        <v>5220.45</v>
      </c>
      <c r="F2870" s="3">
        <f>IFERROR(__xludf.DUMMYFUNCTION("""COMPUTED_VALUE"""),0.0)</f>
        <v>0</v>
      </c>
    </row>
    <row r="2871">
      <c r="A2871" s="7">
        <f>IFERROR(__xludf.DUMMYFUNCTION("""COMPUTED_VALUE"""),40977.645833333336)</f>
        <v>40977.64583</v>
      </c>
      <c r="B2871" s="3">
        <f>IFERROR(__xludf.DUMMYFUNCTION("""COMPUTED_VALUE"""),5294.1)</f>
        <v>5294.1</v>
      </c>
      <c r="C2871" s="3">
        <f>IFERROR(__xludf.DUMMYFUNCTION("""COMPUTED_VALUE"""),5342.3)</f>
        <v>5342.3</v>
      </c>
      <c r="D2871" s="3">
        <f>IFERROR(__xludf.DUMMYFUNCTION("""COMPUTED_VALUE"""),5291.6)</f>
        <v>5291.6</v>
      </c>
      <c r="E2871" s="3">
        <f>IFERROR(__xludf.DUMMYFUNCTION("""COMPUTED_VALUE"""),5333.55)</f>
        <v>5333.55</v>
      </c>
      <c r="F2871" s="3">
        <f>IFERROR(__xludf.DUMMYFUNCTION("""COMPUTED_VALUE"""),0.0)</f>
        <v>0</v>
      </c>
    </row>
    <row r="2872">
      <c r="A2872" s="7">
        <f>IFERROR(__xludf.DUMMYFUNCTION("""COMPUTED_VALUE"""),40980.645833333336)</f>
        <v>40980.64583</v>
      </c>
      <c r="B2872" s="3">
        <f>IFERROR(__xludf.DUMMYFUNCTION("""COMPUTED_VALUE"""),5420.1)</f>
        <v>5420.1</v>
      </c>
      <c r="C2872" s="3">
        <f>IFERROR(__xludf.DUMMYFUNCTION("""COMPUTED_VALUE"""),5421.9)</f>
        <v>5421.9</v>
      </c>
      <c r="D2872" s="3">
        <f>IFERROR(__xludf.DUMMYFUNCTION("""COMPUTED_VALUE"""),5327.3)</f>
        <v>5327.3</v>
      </c>
      <c r="E2872" s="3">
        <f>IFERROR(__xludf.DUMMYFUNCTION("""COMPUTED_VALUE"""),5359.55)</f>
        <v>5359.55</v>
      </c>
      <c r="F2872" s="3">
        <f>IFERROR(__xludf.DUMMYFUNCTION("""COMPUTED_VALUE"""),0.0)</f>
        <v>0</v>
      </c>
    </row>
    <row r="2873">
      <c r="A2873" s="7">
        <f>IFERROR(__xludf.DUMMYFUNCTION("""COMPUTED_VALUE"""),40981.645833333336)</f>
        <v>40981.64583</v>
      </c>
      <c r="B2873" s="3">
        <f>IFERROR(__xludf.DUMMYFUNCTION("""COMPUTED_VALUE"""),5391.05)</f>
        <v>5391.05</v>
      </c>
      <c r="C2873" s="3">
        <f>IFERROR(__xludf.DUMMYFUNCTION("""COMPUTED_VALUE"""),5438.65)</f>
        <v>5438.65</v>
      </c>
      <c r="D2873" s="3">
        <f>IFERROR(__xludf.DUMMYFUNCTION("""COMPUTED_VALUE"""),5390.8)</f>
        <v>5390.8</v>
      </c>
      <c r="E2873" s="3">
        <f>IFERROR(__xludf.DUMMYFUNCTION("""COMPUTED_VALUE"""),5429.5)</f>
        <v>5429.5</v>
      </c>
      <c r="F2873" s="3">
        <f>IFERROR(__xludf.DUMMYFUNCTION("""COMPUTED_VALUE"""),0.0)</f>
        <v>0</v>
      </c>
    </row>
    <row r="2874">
      <c r="A2874" s="7">
        <f>IFERROR(__xludf.DUMMYFUNCTION("""COMPUTED_VALUE"""),40982.645833333336)</f>
        <v>40982.64583</v>
      </c>
      <c r="B2874" s="3">
        <f>IFERROR(__xludf.DUMMYFUNCTION("""COMPUTED_VALUE"""),5490.55)</f>
        <v>5490.55</v>
      </c>
      <c r="C2874" s="3">
        <f>IFERROR(__xludf.DUMMYFUNCTION("""COMPUTED_VALUE"""),5499.4)</f>
        <v>5499.4</v>
      </c>
      <c r="D2874" s="3">
        <f>IFERROR(__xludf.DUMMYFUNCTION("""COMPUTED_VALUE"""),5437.8)</f>
        <v>5437.8</v>
      </c>
      <c r="E2874" s="3">
        <f>IFERROR(__xludf.DUMMYFUNCTION("""COMPUTED_VALUE"""),5463.9)</f>
        <v>5463.9</v>
      </c>
      <c r="F2874" s="3">
        <f>IFERROR(__xludf.DUMMYFUNCTION("""COMPUTED_VALUE"""),0.0)</f>
        <v>0</v>
      </c>
    </row>
    <row r="2875">
      <c r="A2875" s="7">
        <f>IFERROR(__xludf.DUMMYFUNCTION("""COMPUTED_VALUE"""),40983.645833333336)</f>
        <v>40983.64583</v>
      </c>
      <c r="B2875" s="3">
        <f>IFERROR(__xludf.DUMMYFUNCTION("""COMPUTED_VALUE"""),5462.5)</f>
        <v>5462.5</v>
      </c>
      <c r="C2875" s="3">
        <f>IFERROR(__xludf.DUMMYFUNCTION("""COMPUTED_VALUE"""),5462.5)</f>
        <v>5462.5</v>
      </c>
      <c r="D2875" s="3">
        <f>IFERROR(__xludf.DUMMYFUNCTION("""COMPUTED_VALUE"""),5362.3)</f>
        <v>5362.3</v>
      </c>
      <c r="E2875" s="3">
        <f>IFERROR(__xludf.DUMMYFUNCTION("""COMPUTED_VALUE"""),5380.5)</f>
        <v>5380.5</v>
      </c>
      <c r="F2875" s="3">
        <f>IFERROR(__xludf.DUMMYFUNCTION("""COMPUTED_VALUE"""),0.0)</f>
        <v>0</v>
      </c>
    </row>
    <row r="2876">
      <c r="A2876" s="7">
        <f>IFERROR(__xludf.DUMMYFUNCTION("""COMPUTED_VALUE"""),40984.645833333336)</f>
        <v>40984.64583</v>
      </c>
      <c r="B2876" s="3">
        <f>IFERROR(__xludf.DUMMYFUNCTION("""COMPUTED_VALUE"""),5380.35)</f>
        <v>5380.35</v>
      </c>
      <c r="C2876" s="3">
        <f>IFERROR(__xludf.DUMMYFUNCTION("""COMPUTED_VALUE"""),5445.65)</f>
        <v>5445.65</v>
      </c>
      <c r="D2876" s="3">
        <f>IFERROR(__xludf.DUMMYFUNCTION("""COMPUTED_VALUE"""),5305.0)</f>
        <v>5305</v>
      </c>
      <c r="E2876" s="3">
        <f>IFERROR(__xludf.DUMMYFUNCTION("""COMPUTED_VALUE"""),5317.9)</f>
        <v>5317.9</v>
      </c>
      <c r="F2876" s="3">
        <f>IFERROR(__xludf.DUMMYFUNCTION("""COMPUTED_VALUE"""),0.0)</f>
        <v>0</v>
      </c>
    </row>
    <row r="2877">
      <c r="A2877" s="7">
        <f>IFERROR(__xludf.DUMMYFUNCTION("""COMPUTED_VALUE"""),40987.645833333336)</f>
        <v>40987.64583</v>
      </c>
      <c r="B2877" s="3">
        <f>IFERROR(__xludf.DUMMYFUNCTION("""COMPUTED_VALUE"""),5337.35)</f>
        <v>5337.35</v>
      </c>
      <c r="C2877" s="3">
        <f>IFERROR(__xludf.DUMMYFUNCTION("""COMPUTED_VALUE"""),5340.7)</f>
        <v>5340.7</v>
      </c>
      <c r="D2877" s="3">
        <f>IFERROR(__xludf.DUMMYFUNCTION("""COMPUTED_VALUE"""),5238.55)</f>
        <v>5238.55</v>
      </c>
      <c r="E2877" s="3">
        <f>IFERROR(__xludf.DUMMYFUNCTION("""COMPUTED_VALUE"""),5257.05)</f>
        <v>5257.05</v>
      </c>
      <c r="F2877" s="3">
        <f>IFERROR(__xludf.DUMMYFUNCTION("""COMPUTED_VALUE"""),0.0)</f>
        <v>0</v>
      </c>
    </row>
    <row r="2878">
      <c r="A2878" s="7">
        <f>IFERROR(__xludf.DUMMYFUNCTION("""COMPUTED_VALUE"""),40988.645833333336)</f>
        <v>40988.64583</v>
      </c>
      <c r="B2878" s="3">
        <f>IFERROR(__xludf.DUMMYFUNCTION("""COMPUTED_VALUE"""),5257.15)</f>
        <v>5257.15</v>
      </c>
      <c r="C2878" s="3">
        <f>IFERROR(__xludf.DUMMYFUNCTION("""COMPUTED_VALUE"""),5297.35)</f>
        <v>5297.35</v>
      </c>
      <c r="D2878" s="3">
        <f>IFERROR(__xludf.DUMMYFUNCTION("""COMPUTED_VALUE"""),5233.25)</f>
        <v>5233.25</v>
      </c>
      <c r="E2878" s="3">
        <f>IFERROR(__xludf.DUMMYFUNCTION("""COMPUTED_VALUE"""),5274.85)</f>
        <v>5274.85</v>
      </c>
      <c r="F2878" s="3">
        <f>IFERROR(__xludf.DUMMYFUNCTION("""COMPUTED_VALUE"""),0.0)</f>
        <v>0</v>
      </c>
    </row>
    <row r="2879">
      <c r="A2879" s="7">
        <f>IFERROR(__xludf.DUMMYFUNCTION("""COMPUTED_VALUE"""),40989.645833333336)</f>
        <v>40989.64583</v>
      </c>
      <c r="B2879" s="3">
        <f>IFERROR(__xludf.DUMMYFUNCTION("""COMPUTED_VALUE"""),5267.2)</f>
        <v>5267.2</v>
      </c>
      <c r="C2879" s="3">
        <f>IFERROR(__xludf.DUMMYFUNCTION("""COMPUTED_VALUE"""),5372.35)</f>
        <v>5372.35</v>
      </c>
      <c r="D2879" s="3">
        <f>IFERROR(__xludf.DUMMYFUNCTION("""COMPUTED_VALUE"""),5256.0)</f>
        <v>5256</v>
      </c>
      <c r="E2879" s="3">
        <f>IFERROR(__xludf.DUMMYFUNCTION("""COMPUTED_VALUE"""),5364.95)</f>
        <v>5364.95</v>
      </c>
      <c r="F2879" s="3">
        <f>IFERROR(__xludf.DUMMYFUNCTION("""COMPUTED_VALUE"""),0.0)</f>
        <v>0</v>
      </c>
    </row>
    <row r="2880">
      <c r="A2880" s="7">
        <f>IFERROR(__xludf.DUMMYFUNCTION("""COMPUTED_VALUE"""),40990.645833333336)</f>
        <v>40990.64583</v>
      </c>
      <c r="B2880" s="3">
        <f>IFERROR(__xludf.DUMMYFUNCTION("""COMPUTED_VALUE"""),5361.1)</f>
        <v>5361.1</v>
      </c>
      <c r="C2880" s="3">
        <f>IFERROR(__xludf.DUMMYFUNCTION("""COMPUTED_VALUE"""),5385.95)</f>
        <v>5385.95</v>
      </c>
      <c r="D2880" s="3">
        <f>IFERROR(__xludf.DUMMYFUNCTION("""COMPUTED_VALUE"""),5205.65)</f>
        <v>5205.65</v>
      </c>
      <c r="E2880" s="3">
        <f>IFERROR(__xludf.DUMMYFUNCTION("""COMPUTED_VALUE"""),5228.45)</f>
        <v>5228.45</v>
      </c>
      <c r="F2880" s="3">
        <f>IFERROR(__xludf.DUMMYFUNCTION("""COMPUTED_VALUE"""),0.0)</f>
        <v>0</v>
      </c>
    </row>
    <row r="2881">
      <c r="A2881" s="7">
        <f>IFERROR(__xludf.DUMMYFUNCTION("""COMPUTED_VALUE"""),40991.645833333336)</f>
        <v>40991.64583</v>
      </c>
      <c r="B2881" s="3">
        <f>IFERROR(__xludf.DUMMYFUNCTION("""COMPUTED_VALUE"""),5255.65)</f>
        <v>5255.65</v>
      </c>
      <c r="C2881" s="3">
        <f>IFERROR(__xludf.DUMMYFUNCTION("""COMPUTED_VALUE"""),5312.0)</f>
        <v>5312</v>
      </c>
      <c r="D2881" s="3">
        <f>IFERROR(__xludf.DUMMYFUNCTION("""COMPUTED_VALUE"""),5220.0)</f>
        <v>5220</v>
      </c>
      <c r="E2881" s="3">
        <f>IFERROR(__xludf.DUMMYFUNCTION("""COMPUTED_VALUE"""),5278.2)</f>
        <v>5278.2</v>
      </c>
      <c r="F2881" s="3">
        <f>IFERROR(__xludf.DUMMYFUNCTION("""COMPUTED_VALUE"""),0.0)</f>
        <v>0</v>
      </c>
    </row>
    <row r="2882">
      <c r="A2882" s="7">
        <f>IFERROR(__xludf.DUMMYFUNCTION("""COMPUTED_VALUE"""),40994.645833333336)</f>
        <v>40994.64583</v>
      </c>
      <c r="B2882" s="3">
        <f>IFERROR(__xludf.DUMMYFUNCTION("""COMPUTED_VALUE"""),5274.35)</f>
        <v>5274.35</v>
      </c>
      <c r="C2882" s="3">
        <f>IFERROR(__xludf.DUMMYFUNCTION("""COMPUTED_VALUE"""),5274.95)</f>
        <v>5274.95</v>
      </c>
      <c r="D2882" s="3">
        <f>IFERROR(__xludf.DUMMYFUNCTION("""COMPUTED_VALUE"""),5174.9)</f>
        <v>5174.9</v>
      </c>
      <c r="E2882" s="3">
        <f>IFERROR(__xludf.DUMMYFUNCTION("""COMPUTED_VALUE"""),5184.25)</f>
        <v>5184.25</v>
      </c>
      <c r="F2882" s="3">
        <f>IFERROR(__xludf.DUMMYFUNCTION("""COMPUTED_VALUE"""),0.0)</f>
        <v>0</v>
      </c>
    </row>
    <row r="2883">
      <c r="A2883" s="7">
        <f>IFERROR(__xludf.DUMMYFUNCTION("""COMPUTED_VALUE"""),40995.645833333336)</f>
        <v>40995.64583</v>
      </c>
      <c r="B2883" s="3">
        <f>IFERROR(__xludf.DUMMYFUNCTION("""COMPUTED_VALUE"""),5242.95)</f>
        <v>5242.95</v>
      </c>
      <c r="C2883" s="3">
        <f>IFERROR(__xludf.DUMMYFUNCTION("""COMPUTED_VALUE"""),5277.95)</f>
        <v>5277.95</v>
      </c>
      <c r="D2883" s="3">
        <f>IFERROR(__xludf.DUMMYFUNCTION("""COMPUTED_VALUE"""),5184.65)</f>
        <v>5184.65</v>
      </c>
      <c r="E2883" s="3">
        <f>IFERROR(__xludf.DUMMYFUNCTION("""COMPUTED_VALUE"""),5243.15)</f>
        <v>5243.15</v>
      </c>
      <c r="F2883" s="3">
        <f>IFERROR(__xludf.DUMMYFUNCTION("""COMPUTED_VALUE"""),0.0)</f>
        <v>0</v>
      </c>
    </row>
    <row r="2884">
      <c r="A2884" s="7">
        <f>IFERROR(__xludf.DUMMYFUNCTION("""COMPUTED_VALUE"""),40996.645833333336)</f>
        <v>40996.64583</v>
      </c>
      <c r="B2884" s="3">
        <f>IFERROR(__xludf.DUMMYFUNCTION("""COMPUTED_VALUE"""),5231.7)</f>
        <v>5231.7</v>
      </c>
      <c r="C2884" s="3">
        <f>IFERROR(__xludf.DUMMYFUNCTION("""COMPUTED_VALUE"""),5236.55)</f>
        <v>5236.55</v>
      </c>
      <c r="D2884" s="3">
        <f>IFERROR(__xludf.DUMMYFUNCTION("""COMPUTED_VALUE"""),5169.6)</f>
        <v>5169.6</v>
      </c>
      <c r="E2884" s="3">
        <f>IFERROR(__xludf.DUMMYFUNCTION("""COMPUTED_VALUE"""),5194.75)</f>
        <v>5194.75</v>
      </c>
      <c r="F2884" s="3">
        <f>IFERROR(__xludf.DUMMYFUNCTION("""COMPUTED_VALUE"""),0.0)</f>
        <v>0</v>
      </c>
    </row>
    <row r="2885">
      <c r="A2885" s="7">
        <f>IFERROR(__xludf.DUMMYFUNCTION("""COMPUTED_VALUE"""),40997.645833333336)</f>
        <v>40997.64583</v>
      </c>
      <c r="B2885" s="3">
        <f>IFERROR(__xludf.DUMMYFUNCTION("""COMPUTED_VALUE"""),5145.95)</f>
        <v>5145.95</v>
      </c>
      <c r="C2885" s="3">
        <f>IFERROR(__xludf.DUMMYFUNCTION("""COMPUTED_VALUE"""),5194.3)</f>
        <v>5194.3</v>
      </c>
      <c r="D2885" s="3">
        <f>IFERROR(__xludf.DUMMYFUNCTION("""COMPUTED_VALUE"""),5135.95)</f>
        <v>5135.95</v>
      </c>
      <c r="E2885" s="3">
        <f>IFERROR(__xludf.DUMMYFUNCTION("""COMPUTED_VALUE"""),5178.85)</f>
        <v>5178.85</v>
      </c>
      <c r="F2885" s="3">
        <f>IFERROR(__xludf.DUMMYFUNCTION("""COMPUTED_VALUE"""),0.0)</f>
        <v>0</v>
      </c>
    </row>
    <row r="2886">
      <c r="A2886" s="7">
        <f>IFERROR(__xludf.DUMMYFUNCTION("""COMPUTED_VALUE"""),40998.645833333336)</f>
        <v>40998.64583</v>
      </c>
      <c r="B2886" s="3">
        <f>IFERROR(__xludf.DUMMYFUNCTION("""COMPUTED_VALUE"""),5206.6)</f>
        <v>5206.6</v>
      </c>
      <c r="C2886" s="3">
        <f>IFERROR(__xludf.DUMMYFUNCTION("""COMPUTED_VALUE"""),5307.1)</f>
        <v>5307.1</v>
      </c>
      <c r="D2886" s="3">
        <f>IFERROR(__xludf.DUMMYFUNCTION("""COMPUTED_VALUE"""),5203.65)</f>
        <v>5203.65</v>
      </c>
      <c r="E2886" s="3">
        <f>IFERROR(__xludf.DUMMYFUNCTION("""COMPUTED_VALUE"""),5295.55)</f>
        <v>5295.55</v>
      </c>
      <c r="F2886" s="3">
        <f>IFERROR(__xludf.DUMMYFUNCTION("""COMPUTED_VALUE"""),0.0)</f>
        <v>0</v>
      </c>
    </row>
    <row r="2887">
      <c r="A2887" s="7">
        <f>IFERROR(__xludf.DUMMYFUNCTION("""COMPUTED_VALUE"""),41001.645833333336)</f>
        <v>41001.64583</v>
      </c>
      <c r="B2887" s="3">
        <f>IFERROR(__xludf.DUMMYFUNCTION("""COMPUTED_VALUE"""),5296.35)</f>
        <v>5296.35</v>
      </c>
      <c r="C2887" s="3">
        <f>IFERROR(__xludf.DUMMYFUNCTION("""COMPUTED_VALUE"""),5331.55)</f>
        <v>5331.55</v>
      </c>
      <c r="D2887" s="3">
        <f>IFERROR(__xludf.DUMMYFUNCTION("""COMPUTED_VALUE"""),5278.8)</f>
        <v>5278.8</v>
      </c>
      <c r="E2887" s="3">
        <f>IFERROR(__xludf.DUMMYFUNCTION("""COMPUTED_VALUE"""),5317.9)</f>
        <v>5317.9</v>
      </c>
      <c r="F2887" s="3">
        <f>IFERROR(__xludf.DUMMYFUNCTION("""COMPUTED_VALUE"""),0.0)</f>
        <v>0</v>
      </c>
    </row>
    <row r="2888">
      <c r="A2888" s="7">
        <f>IFERROR(__xludf.DUMMYFUNCTION("""COMPUTED_VALUE"""),41002.645833333336)</f>
        <v>41002.64583</v>
      </c>
      <c r="B2888" s="3">
        <f>IFERROR(__xludf.DUMMYFUNCTION("""COMPUTED_VALUE"""),5353.2)</f>
        <v>5353.2</v>
      </c>
      <c r="C2888" s="3">
        <f>IFERROR(__xludf.DUMMYFUNCTION("""COMPUTED_VALUE"""),5378.75)</f>
        <v>5378.75</v>
      </c>
      <c r="D2888" s="3">
        <f>IFERROR(__xludf.DUMMYFUNCTION("""COMPUTED_VALUE"""),5344.45)</f>
        <v>5344.45</v>
      </c>
      <c r="E2888" s="3">
        <f>IFERROR(__xludf.DUMMYFUNCTION("""COMPUTED_VALUE"""),5358.5)</f>
        <v>5358.5</v>
      </c>
      <c r="F2888" s="3">
        <f>IFERROR(__xludf.DUMMYFUNCTION("""COMPUTED_VALUE"""),0.0)</f>
        <v>0</v>
      </c>
    </row>
    <row r="2889">
      <c r="A2889" s="7">
        <f>IFERROR(__xludf.DUMMYFUNCTION("""COMPUTED_VALUE"""),41003.645833333336)</f>
        <v>41003.64583</v>
      </c>
      <c r="B2889" s="3">
        <f>IFERROR(__xludf.DUMMYFUNCTION("""COMPUTED_VALUE"""),5328.65)</f>
        <v>5328.65</v>
      </c>
      <c r="C2889" s="3">
        <f>IFERROR(__xludf.DUMMYFUNCTION("""COMPUTED_VALUE"""),5338.4)</f>
        <v>5338.4</v>
      </c>
      <c r="D2889" s="3">
        <f>IFERROR(__xludf.DUMMYFUNCTION("""COMPUTED_VALUE"""),5305.3)</f>
        <v>5305.3</v>
      </c>
      <c r="E2889" s="3">
        <f>IFERROR(__xludf.DUMMYFUNCTION("""COMPUTED_VALUE"""),5322.9)</f>
        <v>5322.9</v>
      </c>
      <c r="F2889" s="3">
        <f>IFERROR(__xludf.DUMMYFUNCTION("""COMPUTED_VALUE"""),0.0)</f>
        <v>0</v>
      </c>
    </row>
    <row r="2890">
      <c r="A2890" s="7">
        <f>IFERROR(__xludf.DUMMYFUNCTION("""COMPUTED_VALUE"""),41008.645833333336)</f>
        <v>41008.64583</v>
      </c>
      <c r="B2890" s="3">
        <f>IFERROR(__xludf.DUMMYFUNCTION("""COMPUTED_VALUE"""),5282.5)</f>
        <v>5282.5</v>
      </c>
      <c r="C2890" s="3">
        <f>IFERROR(__xludf.DUMMYFUNCTION("""COMPUTED_VALUE"""),5287.9)</f>
        <v>5287.9</v>
      </c>
      <c r="D2890" s="3">
        <f>IFERROR(__xludf.DUMMYFUNCTION("""COMPUTED_VALUE"""),5228.0)</f>
        <v>5228</v>
      </c>
      <c r="E2890" s="3">
        <f>IFERROR(__xludf.DUMMYFUNCTION("""COMPUTED_VALUE"""),5234.4)</f>
        <v>5234.4</v>
      </c>
      <c r="F2890" s="3">
        <f>IFERROR(__xludf.DUMMYFUNCTION("""COMPUTED_VALUE"""),0.0)</f>
        <v>0</v>
      </c>
    </row>
    <row r="2891">
      <c r="A2891" s="7">
        <f>IFERROR(__xludf.DUMMYFUNCTION("""COMPUTED_VALUE"""),41009.645833333336)</f>
        <v>41009.64583</v>
      </c>
      <c r="B2891" s="3">
        <f>IFERROR(__xludf.DUMMYFUNCTION("""COMPUTED_VALUE"""),5254.1)</f>
        <v>5254.1</v>
      </c>
      <c r="C2891" s="3">
        <f>IFERROR(__xludf.DUMMYFUNCTION("""COMPUTED_VALUE"""),5255.8)</f>
        <v>5255.8</v>
      </c>
      <c r="D2891" s="3">
        <f>IFERROR(__xludf.DUMMYFUNCTION("""COMPUTED_VALUE"""),5211.85)</f>
        <v>5211.85</v>
      </c>
      <c r="E2891" s="3">
        <f>IFERROR(__xludf.DUMMYFUNCTION("""COMPUTED_VALUE"""),5243.6)</f>
        <v>5243.6</v>
      </c>
      <c r="F2891" s="3">
        <f>IFERROR(__xludf.DUMMYFUNCTION("""COMPUTED_VALUE"""),0.0)</f>
        <v>0</v>
      </c>
    </row>
    <row r="2892">
      <c r="A2892" s="7">
        <f>IFERROR(__xludf.DUMMYFUNCTION("""COMPUTED_VALUE"""),41010.645833333336)</f>
        <v>41010.64583</v>
      </c>
      <c r="B2892" s="3">
        <f>IFERROR(__xludf.DUMMYFUNCTION("""COMPUTED_VALUE"""),5209.45)</f>
        <v>5209.45</v>
      </c>
      <c r="C2892" s="3">
        <f>IFERROR(__xludf.DUMMYFUNCTION("""COMPUTED_VALUE"""),5263.65)</f>
        <v>5263.65</v>
      </c>
      <c r="D2892" s="3">
        <f>IFERROR(__xludf.DUMMYFUNCTION("""COMPUTED_VALUE"""),5190.8)</f>
        <v>5190.8</v>
      </c>
      <c r="E2892" s="3">
        <f>IFERROR(__xludf.DUMMYFUNCTION("""COMPUTED_VALUE"""),5226.85)</f>
        <v>5226.85</v>
      </c>
      <c r="F2892" s="3">
        <f>IFERROR(__xludf.DUMMYFUNCTION("""COMPUTED_VALUE"""),0.0)</f>
        <v>0</v>
      </c>
    </row>
    <row r="2893">
      <c r="A2893" s="7">
        <f>IFERROR(__xludf.DUMMYFUNCTION("""COMPUTED_VALUE"""),41011.645833333336)</f>
        <v>41011.64583</v>
      </c>
      <c r="B2893" s="3">
        <f>IFERROR(__xludf.DUMMYFUNCTION("""COMPUTED_VALUE"""),5246.75)</f>
        <v>5246.75</v>
      </c>
      <c r="C2893" s="3">
        <f>IFERROR(__xludf.DUMMYFUNCTION("""COMPUTED_VALUE"""),5290.6)</f>
        <v>5290.6</v>
      </c>
      <c r="D2893" s="3">
        <f>IFERROR(__xludf.DUMMYFUNCTION("""COMPUTED_VALUE"""),5246.75)</f>
        <v>5246.75</v>
      </c>
      <c r="E2893" s="3">
        <f>IFERROR(__xludf.DUMMYFUNCTION("""COMPUTED_VALUE"""),5276.85)</f>
        <v>5276.85</v>
      </c>
      <c r="F2893" s="3">
        <f>IFERROR(__xludf.DUMMYFUNCTION("""COMPUTED_VALUE"""),0.0)</f>
        <v>0</v>
      </c>
    </row>
    <row r="2894">
      <c r="A2894" s="7">
        <f>IFERROR(__xludf.DUMMYFUNCTION("""COMPUTED_VALUE"""),41012.645833333336)</f>
        <v>41012.64583</v>
      </c>
      <c r="B2894" s="3">
        <f>IFERROR(__xludf.DUMMYFUNCTION("""COMPUTED_VALUE"""),5255.7)</f>
        <v>5255.7</v>
      </c>
      <c r="C2894" s="3">
        <f>IFERROR(__xludf.DUMMYFUNCTION("""COMPUTED_VALUE"""),5306.75)</f>
        <v>5306.75</v>
      </c>
      <c r="D2894" s="3">
        <f>IFERROR(__xludf.DUMMYFUNCTION("""COMPUTED_VALUE"""),5185.4)</f>
        <v>5185.4</v>
      </c>
      <c r="E2894" s="3">
        <f>IFERROR(__xludf.DUMMYFUNCTION("""COMPUTED_VALUE"""),5207.45)</f>
        <v>5207.45</v>
      </c>
      <c r="F2894" s="3">
        <f>IFERROR(__xludf.DUMMYFUNCTION("""COMPUTED_VALUE"""),0.0)</f>
        <v>0</v>
      </c>
    </row>
    <row r="2895">
      <c r="A2895" s="7">
        <f>IFERROR(__xludf.DUMMYFUNCTION("""COMPUTED_VALUE"""),41015.645833333336)</f>
        <v>41015.64583</v>
      </c>
      <c r="B2895" s="3">
        <f>IFERROR(__xludf.DUMMYFUNCTION("""COMPUTED_VALUE"""),5190.6)</f>
        <v>5190.6</v>
      </c>
      <c r="C2895" s="3">
        <f>IFERROR(__xludf.DUMMYFUNCTION("""COMPUTED_VALUE"""),5233.5)</f>
        <v>5233.5</v>
      </c>
      <c r="D2895" s="3">
        <f>IFERROR(__xludf.DUMMYFUNCTION("""COMPUTED_VALUE"""),5183.5)</f>
        <v>5183.5</v>
      </c>
      <c r="E2895" s="3">
        <f>IFERROR(__xludf.DUMMYFUNCTION("""COMPUTED_VALUE"""),5226.2)</f>
        <v>5226.2</v>
      </c>
      <c r="F2895" s="3">
        <f>IFERROR(__xludf.DUMMYFUNCTION("""COMPUTED_VALUE"""),0.0)</f>
        <v>0</v>
      </c>
    </row>
    <row r="2896">
      <c r="A2896" s="7">
        <f>IFERROR(__xludf.DUMMYFUNCTION("""COMPUTED_VALUE"""),41016.645833333336)</f>
        <v>41016.64583</v>
      </c>
      <c r="B2896" s="3">
        <f>IFERROR(__xludf.DUMMYFUNCTION("""COMPUTED_VALUE"""),5266.6)</f>
        <v>5266.6</v>
      </c>
      <c r="C2896" s="3">
        <f>IFERROR(__xludf.DUMMYFUNCTION("""COMPUTED_VALUE"""),5298.2)</f>
        <v>5298.2</v>
      </c>
      <c r="D2896" s="3">
        <f>IFERROR(__xludf.DUMMYFUNCTION("""COMPUTED_VALUE"""),5208.35)</f>
        <v>5208.35</v>
      </c>
      <c r="E2896" s="3">
        <f>IFERROR(__xludf.DUMMYFUNCTION("""COMPUTED_VALUE"""),5289.7)</f>
        <v>5289.7</v>
      </c>
      <c r="F2896" s="3">
        <f>IFERROR(__xludf.DUMMYFUNCTION("""COMPUTED_VALUE"""),0.0)</f>
        <v>0</v>
      </c>
    </row>
    <row r="2897">
      <c r="A2897" s="7">
        <f>IFERROR(__xludf.DUMMYFUNCTION("""COMPUTED_VALUE"""),41017.645833333336)</f>
        <v>41017.64583</v>
      </c>
      <c r="B2897" s="3">
        <f>IFERROR(__xludf.DUMMYFUNCTION("""COMPUTED_VALUE"""),5320.7)</f>
        <v>5320.7</v>
      </c>
      <c r="C2897" s="3">
        <f>IFERROR(__xludf.DUMMYFUNCTION("""COMPUTED_VALUE"""),5342.0)</f>
        <v>5342</v>
      </c>
      <c r="D2897" s="3">
        <f>IFERROR(__xludf.DUMMYFUNCTION("""COMPUTED_VALUE"""),5293.45)</f>
        <v>5293.45</v>
      </c>
      <c r="E2897" s="3">
        <f>IFERROR(__xludf.DUMMYFUNCTION("""COMPUTED_VALUE"""),5300.0)</f>
        <v>5300</v>
      </c>
      <c r="F2897" s="3">
        <f>IFERROR(__xludf.DUMMYFUNCTION("""COMPUTED_VALUE"""),0.0)</f>
        <v>0</v>
      </c>
    </row>
    <row r="2898">
      <c r="A2898" s="7">
        <f>IFERROR(__xludf.DUMMYFUNCTION("""COMPUTED_VALUE"""),41018.645833333336)</f>
        <v>41018.64583</v>
      </c>
      <c r="B2898" s="3">
        <f>IFERROR(__xludf.DUMMYFUNCTION("""COMPUTED_VALUE"""),5320.6)</f>
        <v>5320.6</v>
      </c>
      <c r="C2898" s="3">
        <f>IFERROR(__xludf.DUMMYFUNCTION("""COMPUTED_VALUE"""),5342.45)</f>
        <v>5342.45</v>
      </c>
      <c r="D2898" s="3">
        <f>IFERROR(__xludf.DUMMYFUNCTION("""COMPUTED_VALUE"""),5291.3)</f>
        <v>5291.3</v>
      </c>
      <c r="E2898" s="3">
        <f>IFERROR(__xludf.DUMMYFUNCTION("""COMPUTED_VALUE"""),5332.4)</f>
        <v>5332.4</v>
      </c>
      <c r="F2898" s="3">
        <f>IFERROR(__xludf.DUMMYFUNCTION("""COMPUTED_VALUE"""),0.0)</f>
        <v>0</v>
      </c>
    </row>
    <row r="2899">
      <c r="A2899" s="7">
        <f>IFERROR(__xludf.DUMMYFUNCTION("""COMPUTED_VALUE"""),41019.645833333336)</f>
        <v>41019.64583</v>
      </c>
      <c r="B2899" s="3">
        <f>IFERROR(__xludf.DUMMYFUNCTION("""COMPUTED_VALUE"""),5313.95)</f>
        <v>5313.95</v>
      </c>
      <c r="C2899" s="3">
        <f>IFERROR(__xludf.DUMMYFUNCTION("""COMPUTED_VALUE"""),5336.15)</f>
        <v>5336.15</v>
      </c>
      <c r="D2899" s="3">
        <f>IFERROR(__xludf.DUMMYFUNCTION("""COMPUTED_VALUE"""),5245.45)</f>
        <v>5245.45</v>
      </c>
      <c r="E2899" s="3">
        <f>IFERROR(__xludf.DUMMYFUNCTION("""COMPUTED_VALUE"""),5290.85)</f>
        <v>5290.85</v>
      </c>
      <c r="F2899" s="3">
        <f>IFERROR(__xludf.DUMMYFUNCTION("""COMPUTED_VALUE"""),0.0)</f>
        <v>0</v>
      </c>
    </row>
    <row r="2900">
      <c r="A2900" s="7">
        <f>IFERROR(__xludf.DUMMYFUNCTION("""COMPUTED_VALUE"""),41022.645833333336)</f>
        <v>41022.64583</v>
      </c>
      <c r="B2900" s="3">
        <f>IFERROR(__xludf.DUMMYFUNCTION("""COMPUTED_VALUE"""),5277.4)</f>
        <v>5277.4</v>
      </c>
      <c r="C2900" s="3">
        <f>IFERROR(__xludf.DUMMYFUNCTION("""COMPUTED_VALUE"""),5310.55)</f>
        <v>5310.55</v>
      </c>
      <c r="D2900" s="3">
        <f>IFERROR(__xludf.DUMMYFUNCTION("""COMPUTED_VALUE"""),5187.15)</f>
        <v>5187.15</v>
      </c>
      <c r="E2900" s="3">
        <f>IFERROR(__xludf.DUMMYFUNCTION("""COMPUTED_VALUE"""),5200.6)</f>
        <v>5200.6</v>
      </c>
      <c r="F2900" s="3">
        <f>IFERROR(__xludf.DUMMYFUNCTION("""COMPUTED_VALUE"""),0.0)</f>
        <v>0</v>
      </c>
    </row>
    <row r="2901">
      <c r="A2901" s="7">
        <f>IFERROR(__xludf.DUMMYFUNCTION("""COMPUTED_VALUE"""),41023.645833333336)</f>
        <v>41023.64583</v>
      </c>
      <c r="B2901" s="3">
        <f>IFERROR(__xludf.DUMMYFUNCTION("""COMPUTED_VALUE"""),5215.9)</f>
        <v>5215.9</v>
      </c>
      <c r="C2901" s="3">
        <f>IFERROR(__xludf.DUMMYFUNCTION("""COMPUTED_VALUE"""),5232.35)</f>
        <v>5232.35</v>
      </c>
      <c r="D2901" s="3">
        <f>IFERROR(__xludf.DUMMYFUNCTION("""COMPUTED_VALUE"""),5180.35)</f>
        <v>5180.35</v>
      </c>
      <c r="E2901" s="3">
        <f>IFERROR(__xludf.DUMMYFUNCTION("""COMPUTED_VALUE"""),5222.65)</f>
        <v>5222.65</v>
      </c>
      <c r="F2901" s="3">
        <f>IFERROR(__xludf.DUMMYFUNCTION("""COMPUTED_VALUE"""),0.0)</f>
        <v>0</v>
      </c>
    </row>
    <row r="2902">
      <c r="A2902" s="7">
        <f>IFERROR(__xludf.DUMMYFUNCTION("""COMPUTED_VALUE"""),41024.645833333336)</f>
        <v>41024.64583</v>
      </c>
      <c r="B2902" s="3">
        <f>IFERROR(__xludf.DUMMYFUNCTION("""COMPUTED_VALUE"""),5222.2)</f>
        <v>5222.2</v>
      </c>
      <c r="C2902" s="3">
        <f>IFERROR(__xludf.DUMMYFUNCTION("""COMPUTED_VALUE"""),5236.1)</f>
        <v>5236.1</v>
      </c>
      <c r="D2902" s="3">
        <f>IFERROR(__xludf.DUMMYFUNCTION("""COMPUTED_VALUE"""),5160.65)</f>
        <v>5160.65</v>
      </c>
      <c r="E2902" s="3">
        <f>IFERROR(__xludf.DUMMYFUNCTION("""COMPUTED_VALUE"""),5202.0)</f>
        <v>5202</v>
      </c>
      <c r="F2902" s="3">
        <f>IFERROR(__xludf.DUMMYFUNCTION("""COMPUTED_VALUE"""),0.0)</f>
        <v>0</v>
      </c>
    </row>
    <row r="2903">
      <c r="A2903" s="7">
        <f>IFERROR(__xludf.DUMMYFUNCTION("""COMPUTED_VALUE"""),41025.645833333336)</f>
        <v>41025.64583</v>
      </c>
      <c r="B2903" s="3">
        <f>IFERROR(__xludf.DUMMYFUNCTION("""COMPUTED_VALUE"""),5214.75)</f>
        <v>5214.75</v>
      </c>
      <c r="C2903" s="3">
        <f>IFERROR(__xludf.DUMMYFUNCTION("""COMPUTED_VALUE"""),5215.6)</f>
        <v>5215.6</v>
      </c>
      <c r="D2903" s="3">
        <f>IFERROR(__xludf.DUMMYFUNCTION("""COMPUTED_VALUE"""),5179.05)</f>
        <v>5179.05</v>
      </c>
      <c r="E2903" s="3">
        <f>IFERROR(__xludf.DUMMYFUNCTION("""COMPUTED_VALUE"""),5189.0)</f>
        <v>5189</v>
      </c>
      <c r="F2903" s="3">
        <f>IFERROR(__xludf.DUMMYFUNCTION("""COMPUTED_VALUE"""),0.0)</f>
        <v>0</v>
      </c>
    </row>
    <row r="2904">
      <c r="A2904" s="7">
        <f>IFERROR(__xludf.DUMMYFUNCTION("""COMPUTED_VALUE"""),41026.645833333336)</f>
        <v>41026.64583</v>
      </c>
      <c r="B2904" s="3">
        <f>IFERROR(__xludf.DUMMYFUNCTION("""COMPUTED_VALUE"""),5189.0)</f>
        <v>5189</v>
      </c>
      <c r="C2904" s="3">
        <f>IFERROR(__xludf.DUMMYFUNCTION("""COMPUTED_VALUE"""),5223.05)</f>
        <v>5223.05</v>
      </c>
      <c r="D2904" s="3">
        <f>IFERROR(__xludf.DUMMYFUNCTION("""COMPUTED_VALUE"""),5154.3)</f>
        <v>5154.3</v>
      </c>
      <c r="E2904" s="3">
        <f>IFERROR(__xludf.DUMMYFUNCTION("""COMPUTED_VALUE"""),5190.6)</f>
        <v>5190.6</v>
      </c>
      <c r="F2904" s="3">
        <f>IFERROR(__xludf.DUMMYFUNCTION("""COMPUTED_VALUE"""),0.0)</f>
        <v>0</v>
      </c>
    </row>
    <row r="2905">
      <c r="A2905" s="7">
        <f>IFERROR(__xludf.DUMMYFUNCTION("""COMPUTED_VALUE"""),41029.645833333336)</f>
        <v>41029.64583</v>
      </c>
      <c r="B2905" s="3">
        <f>IFERROR(__xludf.DUMMYFUNCTION("""COMPUTED_VALUE"""),5201.45)</f>
        <v>5201.45</v>
      </c>
      <c r="C2905" s="3">
        <f>IFERROR(__xludf.DUMMYFUNCTION("""COMPUTED_VALUE"""),5262.15)</f>
        <v>5262.15</v>
      </c>
      <c r="D2905" s="3">
        <f>IFERROR(__xludf.DUMMYFUNCTION("""COMPUTED_VALUE"""),5201.45)</f>
        <v>5201.45</v>
      </c>
      <c r="E2905" s="3">
        <f>IFERROR(__xludf.DUMMYFUNCTION("""COMPUTED_VALUE"""),5248.15)</f>
        <v>5248.15</v>
      </c>
      <c r="F2905" s="3">
        <f>IFERROR(__xludf.DUMMYFUNCTION("""COMPUTED_VALUE"""),0.0)</f>
        <v>0</v>
      </c>
    </row>
    <row r="2906">
      <c r="A2906" s="7">
        <f>IFERROR(__xludf.DUMMYFUNCTION("""COMPUTED_VALUE"""),41031.645833333336)</f>
        <v>41031.64583</v>
      </c>
      <c r="B2906" s="3">
        <f>IFERROR(__xludf.DUMMYFUNCTION("""COMPUTED_VALUE"""),5254.3)</f>
        <v>5254.3</v>
      </c>
      <c r="C2906" s="3">
        <f>IFERROR(__xludf.DUMMYFUNCTION("""COMPUTED_VALUE"""),5279.6)</f>
        <v>5279.6</v>
      </c>
      <c r="D2906" s="3">
        <f>IFERROR(__xludf.DUMMYFUNCTION("""COMPUTED_VALUE"""),5226.45)</f>
        <v>5226.45</v>
      </c>
      <c r="E2906" s="3">
        <f>IFERROR(__xludf.DUMMYFUNCTION("""COMPUTED_VALUE"""),5239.15)</f>
        <v>5239.15</v>
      </c>
      <c r="F2906" s="3">
        <f>IFERROR(__xludf.DUMMYFUNCTION("""COMPUTED_VALUE"""),0.0)</f>
        <v>0</v>
      </c>
    </row>
    <row r="2907">
      <c r="A2907" s="7">
        <f>IFERROR(__xludf.DUMMYFUNCTION("""COMPUTED_VALUE"""),41032.645833333336)</f>
        <v>41032.64583</v>
      </c>
      <c r="B2907" s="3">
        <f>IFERROR(__xludf.DUMMYFUNCTION("""COMPUTED_VALUE"""),5211.2)</f>
        <v>5211.2</v>
      </c>
      <c r="C2907" s="3">
        <f>IFERROR(__xludf.DUMMYFUNCTION("""COMPUTED_VALUE"""),5217.3)</f>
        <v>5217.3</v>
      </c>
      <c r="D2907" s="3">
        <f>IFERROR(__xludf.DUMMYFUNCTION("""COMPUTED_VALUE"""),5180.65)</f>
        <v>5180.65</v>
      </c>
      <c r="E2907" s="3">
        <f>IFERROR(__xludf.DUMMYFUNCTION("""COMPUTED_VALUE"""),5188.4)</f>
        <v>5188.4</v>
      </c>
      <c r="F2907" s="3">
        <f>IFERROR(__xludf.DUMMYFUNCTION("""COMPUTED_VALUE"""),0.0)</f>
        <v>0</v>
      </c>
    </row>
    <row r="2908">
      <c r="A2908" s="7">
        <f>IFERROR(__xludf.DUMMYFUNCTION("""COMPUTED_VALUE"""),41033.645833333336)</f>
        <v>41033.64583</v>
      </c>
      <c r="B2908" s="3">
        <f>IFERROR(__xludf.DUMMYFUNCTION("""COMPUTED_VALUE"""),5166.65)</f>
        <v>5166.65</v>
      </c>
      <c r="C2908" s="3">
        <f>IFERROR(__xludf.DUMMYFUNCTION("""COMPUTED_VALUE"""),5177.2)</f>
        <v>5177.2</v>
      </c>
      <c r="D2908" s="3">
        <f>IFERROR(__xludf.DUMMYFUNCTION("""COMPUTED_VALUE"""),5070.6)</f>
        <v>5070.6</v>
      </c>
      <c r="E2908" s="3">
        <f>IFERROR(__xludf.DUMMYFUNCTION("""COMPUTED_VALUE"""),5086.85)</f>
        <v>5086.85</v>
      </c>
      <c r="F2908" s="3">
        <f>IFERROR(__xludf.DUMMYFUNCTION("""COMPUTED_VALUE"""),0.0)</f>
        <v>0</v>
      </c>
    </row>
    <row r="2909">
      <c r="A2909" s="7">
        <f>IFERROR(__xludf.DUMMYFUNCTION("""COMPUTED_VALUE"""),41036.645833333336)</f>
        <v>41036.64583</v>
      </c>
      <c r="B2909" s="3">
        <f>IFERROR(__xludf.DUMMYFUNCTION("""COMPUTED_VALUE"""),5017.8)</f>
        <v>5017.8</v>
      </c>
      <c r="C2909" s="3">
        <f>IFERROR(__xludf.DUMMYFUNCTION("""COMPUTED_VALUE"""),5124.75)</f>
        <v>5124.75</v>
      </c>
      <c r="D2909" s="3">
        <f>IFERROR(__xludf.DUMMYFUNCTION("""COMPUTED_VALUE"""),4988.0)</f>
        <v>4988</v>
      </c>
      <c r="E2909" s="3">
        <f>IFERROR(__xludf.DUMMYFUNCTION("""COMPUTED_VALUE"""),5114.15)</f>
        <v>5114.15</v>
      </c>
      <c r="F2909" s="3">
        <f>IFERROR(__xludf.DUMMYFUNCTION("""COMPUTED_VALUE"""),0.0)</f>
        <v>0</v>
      </c>
    </row>
    <row r="2910">
      <c r="A2910" s="7">
        <f>IFERROR(__xludf.DUMMYFUNCTION("""COMPUTED_VALUE"""),41037.645833333336)</f>
        <v>41037.64583</v>
      </c>
      <c r="B2910" s="3">
        <f>IFERROR(__xludf.DUMMYFUNCTION("""COMPUTED_VALUE"""),5114.7)</f>
        <v>5114.7</v>
      </c>
      <c r="C2910" s="3">
        <f>IFERROR(__xludf.DUMMYFUNCTION("""COMPUTED_VALUE"""),5119.95)</f>
        <v>5119.95</v>
      </c>
      <c r="D2910" s="3">
        <f>IFERROR(__xludf.DUMMYFUNCTION("""COMPUTED_VALUE"""),4983.6)</f>
        <v>4983.6</v>
      </c>
      <c r="E2910" s="3">
        <f>IFERROR(__xludf.DUMMYFUNCTION("""COMPUTED_VALUE"""),4999.95)</f>
        <v>4999.95</v>
      </c>
      <c r="F2910" s="3">
        <f>IFERROR(__xludf.DUMMYFUNCTION("""COMPUTED_VALUE"""),0.0)</f>
        <v>0</v>
      </c>
    </row>
    <row r="2911">
      <c r="A2911" s="7">
        <f>IFERROR(__xludf.DUMMYFUNCTION("""COMPUTED_VALUE"""),41038.645833333336)</f>
        <v>41038.64583</v>
      </c>
      <c r="B2911" s="3">
        <f>IFERROR(__xludf.DUMMYFUNCTION("""COMPUTED_VALUE"""),4967.9)</f>
        <v>4967.9</v>
      </c>
      <c r="C2911" s="3">
        <f>IFERROR(__xludf.DUMMYFUNCTION("""COMPUTED_VALUE"""),5016.25)</f>
        <v>5016.25</v>
      </c>
      <c r="D2911" s="3">
        <f>IFERROR(__xludf.DUMMYFUNCTION("""COMPUTED_VALUE"""),4956.45)</f>
        <v>4956.45</v>
      </c>
      <c r="E2911" s="3">
        <f>IFERROR(__xludf.DUMMYFUNCTION("""COMPUTED_VALUE"""),4974.8)</f>
        <v>4974.8</v>
      </c>
      <c r="F2911" s="3">
        <f>IFERROR(__xludf.DUMMYFUNCTION("""COMPUTED_VALUE"""),0.0)</f>
        <v>0</v>
      </c>
    </row>
    <row r="2912">
      <c r="A2912" s="7">
        <f>IFERROR(__xludf.DUMMYFUNCTION("""COMPUTED_VALUE"""),41039.645833333336)</f>
        <v>41039.64583</v>
      </c>
      <c r="B2912" s="3">
        <f>IFERROR(__xludf.DUMMYFUNCTION("""COMPUTED_VALUE"""),4984.15)</f>
        <v>4984.15</v>
      </c>
      <c r="C2912" s="3">
        <f>IFERROR(__xludf.DUMMYFUNCTION("""COMPUTED_VALUE"""),5039.3)</f>
        <v>5039.3</v>
      </c>
      <c r="D2912" s="3">
        <f>IFERROR(__xludf.DUMMYFUNCTION("""COMPUTED_VALUE"""),4950.3)</f>
        <v>4950.3</v>
      </c>
      <c r="E2912" s="3">
        <f>IFERROR(__xludf.DUMMYFUNCTION("""COMPUTED_VALUE"""),4965.7)</f>
        <v>4965.7</v>
      </c>
      <c r="F2912" s="3">
        <f>IFERROR(__xludf.DUMMYFUNCTION("""COMPUTED_VALUE"""),0.0)</f>
        <v>0</v>
      </c>
    </row>
    <row r="2913">
      <c r="A2913" s="7">
        <f>IFERROR(__xludf.DUMMYFUNCTION("""COMPUTED_VALUE"""),41040.645833333336)</f>
        <v>41040.64583</v>
      </c>
      <c r="B2913" s="3">
        <f>IFERROR(__xludf.DUMMYFUNCTION("""COMPUTED_VALUE"""),4938.85)</f>
        <v>4938.85</v>
      </c>
      <c r="C2913" s="3">
        <f>IFERROR(__xludf.DUMMYFUNCTION("""COMPUTED_VALUE"""),4976.25)</f>
        <v>4976.25</v>
      </c>
      <c r="D2913" s="3">
        <f>IFERROR(__xludf.DUMMYFUNCTION("""COMPUTED_VALUE"""),4906.15)</f>
        <v>4906.15</v>
      </c>
      <c r="E2913" s="3">
        <f>IFERROR(__xludf.DUMMYFUNCTION("""COMPUTED_VALUE"""),4928.9)</f>
        <v>4928.9</v>
      </c>
      <c r="F2913" s="3">
        <f>IFERROR(__xludf.DUMMYFUNCTION("""COMPUTED_VALUE"""),0.0)</f>
        <v>0</v>
      </c>
    </row>
    <row r="2914">
      <c r="A2914" s="7">
        <f>IFERROR(__xludf.DUMMYFUNCTION("""COMPUTED_VALUE"""),41043.645833333336)</f>
        <v>41043.64583</v>
      </c>
      <c r="B2914" s="3">
        <f>IFERROR(__xludf.DUMMYFUNCTION("""COMPUTED_VALUE"""),4934.35)</f>
        <v>4934.35</v>
      </c>
      <c r="C2914" s="3">
        <f>IFERROR(__xludf.DUMMYFUNCTION("""COMPUTED_VALUE"""),4957.2)</f>
        <v>4957.2</v>
      </c>
      <c r="D2914" s="3">
        <f>IFERROR(__xludf.DUMMYFUNCTION("""COMPUTED_VALUE"""),4874.5)</f>
        <v>4874.5</v>
      </c>
      <c r="E2914" s="3">
        <f>IFERROR(__xludf.DUMMYFUNCTION("""COMPUTED_VALUE"""),4907.8)</f>
        <v>4907.8</v>
      </c>
      <c r="F2914" s="3">
        <f>IFERROR(__xludf.DUMMYFUNCTION("""COMPUTED_VALUE"""),0.0)</f>
        <v>0</v>
      </c>
    </row>
    <row r="2915">
      <c r="A2915" s="7">
        <f>IFERROR(__xludf.DUMMYFUNCTION("""COMPUTED_VALUE"""),41044.645833333336)</f>
        <v>41044.64583</v>
      </c>
      <c r="B2915" s="3">
        <f>IFERROR(__xludf.DUMMYFUNCTION("""COMPUTED_VALUE"""),4869.85)</f>
        <v>4869.85</v>
      </c>
      <c r="C2915" s="3">
        <f>IFERROR(__xludf.DUMMYFUNCTION("""COMPUTED_VALUE"""),4955.2)</f>
        <v>4955.2</v>
      </c>
      <c r="D2915" s="3">
        <f>IFERROR(__xludf.DUMMYFUNCTION("""COMPUTED_VALUE"""),4868.55)</f>
        <v>4868.55</v>
      </c>
      <c r="E2915" s="3">
        <f>IFERROR(__xludf.DUMMYFUNCTION("""COMPUTED_VALUE"""),4942.8)</f>
        <v>4942.8</v>
      </c>
      <c r="F2915" s="3">
        <f>IFERROR(__xludf.DUMMYFUNCTION("""COMPUTED_VALUE"""),0.0)</f>
        <v>0</v>
      </c>
    </row>
    <row r="2916">
      <c r="A2916" s="7">
        <f>IFERROR(__xludf.DUMMYFUNCTION("""COMPUTED_VALUE"""),41045.645833333336)</f>
        <v>41045.64583</v>
      </c>
      <c r="B2916" s="3">
        <f>IFERROR(__xludf.DUMMYFUNCTION("""COMPUTED_VALUE"""),4875.3)</f>
        <v>4875.3</v>
      </c>
      <c r="C2916" s="3">
        <f>IFERROR(__xludf.DUMMYFUNCTION("""COMPUTED_VALUE"""),4882.25)</f>
        <v>4882.25</v>
      </c>
      <c r="D2916" s="3">
        <f>IFERROR(__xludf.DUMMYFUNCTION("""COMPUTED_VALUE"""),4837.05)</f>
        <v>4837.05</v>
      </c>
      <c r="E2916" s="3">
        <f>IFERROR(__xludf.DUMMYFUNCTION("""COMPUTED_VALUE"""),4858.25)</f>
        <v>4858.25</v>
      </c>
      <c r="F2916" s="3">
        <f>IFERROR(__xludf.DUMMYFUNCTION("""COMPUTED_VALUE"""),0.0)</f>
        <v>0</v>
      </c>
    </row>
    <row r="2917">
      <c r="A2917" s="7">
        <f>IFERROR(__xludf.DUMMYFUNCTION("""COMPUTED_VALUE"""),41046.645833333336)</f>
        <v>41046.64583</v>
      </c>
      <c r="B2917" s="3">
        <f>IFERROR(__xludf.DUMMYFUNCTION("""COMPUTED_VALUE"""),4878.6)</f>
        <v>4878.6</v>
      </c>
      <c r="C2917" s="3">
        <f>IFERROR(__xludf.DUMMYFUNCTION("""COMPUTED_VALUE"""),4922.25)</f>
        <v>4922.25</v>
      </c>
      <c r="D2917" s="3">
        <f>IFERROR(__xludf.DUMMYFUNCTION("""COMPUTED_VALUE"""),4850.2)</f>
        <v>4850.2</v>
      </c>
      <c r="E2917" s="3">
        <f>IFERROR(__xludf.DUMMYFUNCTION("""COMPUTED_VALUE"""),4870.2)</f>
        <v>4870.2</v>
      </c>
      <c r="F2917" s="3">
        <f>IFERROR(__xludf.DUMMYFUNCTION("""COMPUTED_VALUE"""),0.0)</f>
        <v>0</v>
      </c>
    </row>
    <row r="2918">
      <c r="A2918" s="7">
        <f>IFERROR(__xludf.DUMMYFUNCTION("""COMPUTED_VALUE"""),41047.645833333336)</f>
        <v>41047.64583</v>
      </c>
      <c r="B2918" s="3">
        <f>IFERROR(__xludf.DUMMYFUNCTION("""COMPUTED_VALUE"""),4796.4)</f>
        <v>4796.4</v>
      </c>
      <c r="C2918" s="3">
        <f>IFERROR(__xludf.DUMMYFUNCTION("""COMPUTED_VALUE"""),4908.5)</f>
        <v>4908.5</v>
      </c>
      <c r="D2918" s="3">
        <f>IFERROR(__xludf.DUMMYFUNCTION("""COMPUTED_VALUE"""),4788.95)</f>
        <v>4788.95</v>
      </c>
      <c r="E2918" s="3">
        <f>IFERROR(__xludf.DUMMYFUNCTION("""COMPUTED_VALUE"""),4891.45)</f>
        <v>4891.45</v>
      </c>
      <c r="F2918" s="3">
        <f>IFERROR(__xludf.DUMMYFUNCTION("""COMPUTED_VALUE"""),0.0)</f>
        <v>0</v>
      </c>
    </row>
    <row r="2919">
      <c r="A2919" s="7">
        <f>IFERROR(__xludf.DUMMYFUNCTION("""COMPUTED_VALUE"""),41050.645833333336)</f>
        <v>41050.64583</v>
      </c>
      <c r="B2919" s="3">
        <f>IFERROR(__xludf.DUMMYFUNCTION("""COMPUTED_VALUE"""),4888.5)</f>
        <v>4888.5</v>
      </c>
      <c r="C2919" s="3">
        <f>IFERROR(__xludf.DUMMYFUNCTION("""COMPUTED_VALUE"""),4937.5)</f>
        <v>4937.5</v>
      </c>
      <c r="D2919" s="3">
        <f>IFERROR(__xludf.DUMMYFUNCTION("""COMPUTED_VALUE"""),4888.5)</f>
        <v>4888.5</v>
      </c>
      <c r="E2919" s="3">
        <f>IFERROR(__xludf.DUMMYFUNCTION("""COMPUTED_VALUE"""),4906.05)</f>
        <v>4906.05</v>
      </c>
      <c r="F2919" s="3">
        <f>IFERROR(__xludf.DUMMYFUNCTION("""COMPUTED_VALUE"""),0.0)</f>
        <v>0</v>
      </c>
    </row>
    <row r="2920">
      <c r="A2920" s="7">
        <f>IFERROR(__xludf.DUMMYFUNCTION("""COMPUTED_VALUE"""),41051.645833333336)</f>
        <v>41051.64583</v>
      </c>
      <c r="B2920" s="3">
        <f>IFERROR(__xludf.DUMMYFUNCTION("""COMPUTED_VALUE"""),4954.7)</f>
        <v>4954.7</v>
      </c>
      <c r="C2920" s="3">
        <f>IFERROR(__xludf.DUMMYFUNCTION("""COMPUTED_VALUE"""),4956.35)</f>
        <v>4956.35</v>
      </c>
      <c r="D2920" s="3">
        <f>IFERROR(__xludf.DUMMYFUNCTION("""COMPUTED_VALUE"""),4849.9)</f>
        <v>4849.9</v>
      </c>
      <c r="E2920" s="3">
        <f>IFERROR(__xludf.DUMMYFUNCTION("""COMPUTED_VALUE"""),4860.5)</f>
        <v>4860.5</v>
      </c>
      <c r="F2920" s="3">
        <f>IFERROR(__xludf.DUMMYFUNCTION("""COMPUTED_VALUE"""),0.0)</f>
        <v>0</v>
      </c>
    </row>
    <row r="2921">
      <c r="A2921" s="7">
        <f>IFERROR(__xludf.DUMMYFUNCTION("""COMPUTED_VALUE"""),41052.645833333336)</f>
        <v>41052.64583</v>
      </c>
      <c r="B2921" s="3">
        <f>IFERROR(__xludf.DUMMYFUNCTION("""COMPUTED_VALUE"""),4843.0)</f>
        <v>4843</v>
      </c>
      <c r="C2921" s="3">
        <f>IFERROR(__xludf.DUMMYFUNCTION("""COMPUTED_VALUE"""),4853.75)</f>
        <v>4853.75</v>
      </c>
      <c r="D2921" s="3">
        <f>IFERROR(__xludf.DUMMYFUNCTION("""COMPUTED_VALUE"""),4803.95)</f>
        <v>4803.95</v>
      </c>
      <c r="E2921" s="3">
        <f>IFERROR(__xludf.DUMMYFUNCTION("""COMPUTED_VALUE"""),4835.65)</f>
        <v>4835.65</v>
      </c>
      <c r="F2921" s="3">
        <f>IFERROR(__xludf.DUMMYFUNCTION("""COMPUTED_VALUE"""),0.0)</f>
        <v>0</v>
      </c>
    </row>
    <row r="2922">
      <c r="A2922" s="7">
        <f>IFERROR(__xludf.DUMMYFUNCTION("""COMPUTED_VALUE"""),41053.645833333336)</f>
        <v>41053.64583</v>
      </c>
      <c r="B2922" s="3">
        <f>IFERROR(__xludf.DUMMYFUNCTION("""COMPUTED_VALUE"""),4863.4)</f>
        <v>4863.4</v>
      </c>
      <c r="C2922" s="3">
        <f>IFERROR(__xludf.DUMMYFUNCTION("""COMPUTED_VALUE"""),4931.9)</f>
        <v>4931.9</v>
      </c>
      <c r="D2922" s="3">
        <f>IFERROR(__xludf.DUMMYFUNCTION("""COMPUTED_VALUE"""),4830.15)</f>
        <v>4830.15</v>
      </c>
      <c r="E2922" s="3">
        <f>IFERROR(__xludf.DUMMYFUNCTION("""COMPUTED_VALUE"""),4921.4)</f>
        <v>4921.4</v>
      </c>
      <c r="F2922" s="3">
        <f>IFERROR(__xludf.DUMMYFUNCTION("""COMPUTED_VALUE"""),0.0)</f>
        <v>0</v>
      </c>
    </row>
    <row r="2923">
      <c r="A2923" s="7">
        <f>IFERROR(__xludf.DUMMYFUNCTION("""COMPUTED_VALUE"""),41054.645833333336)</f>
        <v>41054.64583</v>
      </c>
      <c r="B2923" s="3">
        <f>IFERROR(__xludf.DUMMYFUNCTION("""COMPUTED_VALUE"""),4905.95)</f>
        <v>4905.95</v>
      </c>
      <c r="C2923" s="3">
        <f>IFERROR(__xludf.DUMMYFUNCTION("""COMPUTED_VALUE"""),4935.8)</f>
        <v>4935.8</v>
      </c>
      <c r="D2923" s="3">
        <f>IFERROR(__xludf.DUMMYFUNCTION("""COMPUTED_VALUE"""),4889.35)</f>
        <v>4889.35</v>
      </c>
      <c r="E2923" s="3">
        <f>IFERROR(__xludf.DUMMYFUNCTION("""COMPUTED_VALUE"""),4920.4)</f>
        <v>4920.4</v>
      </c>
      <c r="F2923" s="3">
        <f>IFERROR(__xludf.DUMMYFUNCTION("""COMPUTED_VALUE"""),0.0)</f>
        <v>0</v>
      </c>
    </row>
    <row r="2924">
      <c r="A2924" s="7">
        <f>IFERROR(__xludf.DUMMYFUNCTION("""COMPUTED_VALUE"""),41057.645833333336)</f>
        <v>41057.64583</v>
      </c>
      <c r="B2924" s="3">
        <f>IFERROR(__xludf.DUMMYFUNCTION("""COMPUTED_VALUE"""),4931.7)</f>
        <v>4931.7</v>
      </c>
      <c r="C2924" s="3">
        <f>IFERROR(__xludf.DUMMYFUNCTION("""COMPUTED_VALUE"""),4994.95)</f>
        <v>4994.95</v>
      </c>
      <c r="D2924" s="3">
        <f>IFERROR(__xludf.DUMMYFUNCTION("""COMPUTED_VALUE"""),4931.3)</f>
        <v>4931.3</v>
      </c>
      <c r="E2924" s="3">
        <f>IFERROR(__xludf.DUMMYFUNCTION("""COMPUTED_VALUE"""),4985.65)</f>
        <v>4985.65</v>
      </c>
      <c r="F2924" s="3">
        <f>IFERROR(__xludf.DUMMYFUNCTION("""COMPUTED_VALUE"""),0.0)</f>
        <v>0</v>
      </c>
    </row>
    <row r="2925">
      <c r="A2925" s="7">
        <f>IFERROR(__xludf.DUMMYFUNCTION("""COMPUTED_VALUE"""),41058.645833333336)</f>
        <v>41058.64583</v>
      </c>
      <c r="B2925" s="3">
        <f>IFERROR(__xludf.DUMMYFUNCTION("""COMPUTED_VALUE"""),5005.35)</f>
        <v>5005.35</v>
      </c>
      <c r="C2925" s="3">
        <f>IFERROR(__xludf.DUMMYFUNCTION("""COMPUTED_VALUE"""),5020.15)</f>
        <v>5020.15</v>
      </c>
      <c r="D2925" s="3">
        <f>IFERROR(__xludf.DUMMYFUNCTION("""COMPUTED_VALUE"""),4982.15)</f>
        <v>4982.15</v>
      </c>
      <c r="E2925" s="3">
        <f>IFERROR(__xludf.DUMMYFUNCTION("""COMPUTED_VALUE"""),4990.1)</f>
        <v>4990.1</v>
      </c>
      <c r="F2925" s="3">
        <f>IFERROR(__xludf.DUMMYFUNCTION("""COMPUTED_VALUE"""),0.0)</f>
        <v>0</v>
      </c>
    </row>
    <row r="2926">
      <c r="A2926" s="7">
        <f>IFERROR(__xludf.DUMMYFUNCTION("""COMPUTED_VALUE"""),41059.645833333336)</f>
        <v>41059.64583</v>
      </c>
      <c r="B2926" s="3">
        <f>IFERROR(__xludf.DUMMYFUNCTION("""COMPUTED_VALUE"""),4964.25)</f>
        <v>4964.25</v>
      </c>
      <c r="C2926" s="3">
        <f>IFERROR(__xludf.DUMMYFUNCTION("""COMPUTED_VALUE"""),4982.25)</f>
        <v>4982.25</v>
      </c>
      <c r="D2926" s="3">
        <f>IFERROR(__xludf.DUMMYFUNCTION("""COMPUTED_VALUE"""),4944.9)</f>
        <v>4944.9</v>
      </c>
      <c r="E2926" s="3">
        <f>IFERROR(__xludf.DUMMYFUNCTION("""COMPUTED_VALUE"""),4950.75)</f>
        <v>4950.75</v>
      </c>
      <c r="F2926" s="3">
        <f>IFERROR(__xludf.DUMMYFUNCTION("""COMPUTED_VALUE"""),0.0)</f>
        <v>0</v>
      </c>
    </row>
    <row r="2927">
      <c r="A2927" s="7">
        <f>IFERROR(__xludf.DUMMYFUNCTION("""COMPUTED_VALUE"""),41060.645833333336)</f>
        <v>41060.64583</v>
      </c>
      <c r="B2927" s="3">
        <f>IFERROR(__xludf.DUMMYFUNCTION("""COMPUTED_VALUE"""),4896.1)</f>
        <v>4896.1</v>
      </c>
      <c r="C2927" s="3">
        <f>IFERROR(__xludf.DUMMYFUNCTION("""COMPUTED_VALUE"""),4949.25)</f>
        <v>4949.25</v>
      </c>
      <c r="D2927" s="3">
        <f>IFERROR(__xludf.DUMMYFUNCTION("""COMPUTED_VALUE"""),4883.55)</f>
        <v>4883.55</v>
      </c>
      <c r="E2927" s="3">
        <f>IFERROR(__xludf.DUMMYFUNCTION("""COMPUTED_VALUE"""),4924.25)</f>
        <v>4924.25</v>
      </c>
      <c r="F2927" s="3">
        <f>IFERROR(__xludf.DUMMYFUNCTION("""COMPUTED_VALUE"""),0.0)</f>
        <v>0</v>
      </c>
    </row>
    <row r="2928">
      <c r="A2928" s="7">
        <f>IFERROR(__xludf.DUMMYFUNCTION("""COMPUTED_VALUE"""),41061.645833333336)</f>
        <v>41061.64583</v>
      </c>
      <c r="B2928" s="3">
        <f>IFERROR(__xludf.DUMMYFUNCTION("""COMPUTED_VALUE"""),4910.85)</f>
        <v>4910.85</v>
      </c>
      <c r="C2928" s="3">
        <f>IFERROR(__xludf.DUMMYFUNCTION("""COMPUTED_VALUE"""),4925.0)</f>
        <v>4925</v>
      </c>
      <c r="D2928" s="3">
        <f>IFERROR(__xludf.DUMMYFUNCTION("""COMPUTED_VALUE"""),4831.75)</f>
        <v>4831.75</v>
      </c>
      <c r="E2928" s="3">
        <f>IFERROR(__xludf.DUMMYFUNCTION("""COMPUTED_VALUE"""),4841.6)</f>
        <v>4841.6</v>
      </c>
      <c r="F2928" s="3">
        <f>IFERROR(__xludf.DUMMYFUNCTION("""COMPUTED_VALUE"""),0.0)</f>
        <v>0</v>
      </c>
    </row>
    <row r="2929">
      <c r="A2929" s="7">
        <f>IFERROR(__xludf.DUMMYFUNCTION("""COMPUTED_VALUE"""),41064.645833333336)</f>
        <v>41064.64583</v>
      </c>
      <c r="B2929" s="3">
        <f>IFERROR(__xludf.DUMMYFUNCTION("""COMPUTED_VALUE"""),4797.3)</f>
        <v>4797.3</v>
      </c>
      <c r="C2929" s="3">
        <f>IFERROR(__xludf.DUMMYFUNCTION("""COMPUTED_VALUE"""),4858.3)</f>
        <v>4858.3</v>
      </c>
      <c r="D2929" s="3">
        <f>IFERROR(__xludf.DUMMYFUNCTION("""COMPUTED_VALUE"""),4770.35)</f>
        <v>4770.35</v>
      </c>
      <c r="E2929" s="3">
        <f>IFERROR(__xludf.DUMMYFUNCTION("""COMPUTED_VALUE"""),4848.15)</f>
        <v>4848.15</v>
      </c>
      <c r="F2929" s="3">
        <f>IFERROR(__xludf.DUMMYFUNCTION("""COMPUTED_VALUE"""),0.0)</f>
        <v>0</v>
      </c>
    </row>
    <row r="2930">
      <c r="A2930" s="7">
        <f>IFERROR(__xludf.DUMMYFUNCTION("""COMPUTED_VALUE"""),41065.645833333336)</f>
        <v>41065.64583</v>
      </c>
      <c r="B2930" s="3">
        <f>IFERROR(__xludf.DUMMYFUNCTION("""COMPUTED_VALUE"""),4869.45)</f>
        <v>4869.45</v>
      </c>
      <c r="C2930" s="3">
        <f>IFERROR(__xludf.DUMMYFUNCTION("""COMPUTED_VALUE"""),4898.95)</f>
        <v>4898.95</v>
      </c>
      <c r="D2930" s="3">
        <f>IFERROR(__xludf.DUMMYFUNCTION("""COMPUTED_VALUE"""),4847.7)</f>
        <v>4847.7</v>
      </c>
      <c r="E2930" s="3">
        <f>IFERROR(__xludf.DUMMYFUNCTION("""COMPUTED_VALUE"""),4863.3)</f>
        <v>4863.3</v>
      </c>
      <c r="F2930" s="3">
        <f>IFERROR(__xludf.DUMMYFUNCTION("""COMPUTED_VALUE"""),0.0)</f>
        <v>0</v>
      </c>
    </row>
    <row r="2931">
      <c r="A2931" s="7">
        <f>IFERROR(__xludf.DUMMYFUNCTION("""COMPUTED_VALUE"""),41066.645833333336)</f>
        <v>41066.64583</v>
      </c>
      <c r="B2931" s="3">
        <f>IFERROR(__xludf.DUMMYFUNCTION("""COMPUTED_VALUE"""),4886.65)</f>
        <v>4886.65</v>
      </c>
      <c r="C2931" s="3">
        <f>IFERROR(__xludf.DUMMYFUNCTION("""COMPUTED_VALUE"""),5010.45)</f>
        <v>5010.45</v>
      </c>
      <c r="D2931" s="3">
        <f>IFERROR(__xludf.DUMMYFUNCTION("""COMPUTED_VALUE"""),4886.15)</f>
        <v>4886.15</v>
      </c>
      <c r="E2931" s="3">
        <f>IFERROR(__xludf.DUMMYFUNCTION("""COMPUTED_VALUE"""),4997.1)</f>
        <v>4997.1</v>
      </c>
      <c r="F2931" s="3">
        <f>IFERROR(__xludf.DUMMYFUNCTION("""COMPUTED_VALUE"""),0.0)</f>
        <v>0</v>
      </c>
    </row>
    <row r="2932">
      <c r="A2932" s="7">
        <f>IFERROR(__xludf.DUMMYFUNCTION("""COMPUTED_VALUE"""),41067.645833333336)</f>
        <v>41067.64583</v>
      </c>
      <c r="B2932" s="3">
        <f>IFERROR(__xludf.DUMMYFUNCTION("""COMPUTED_VALUE"""),5035.35)</f>
        <v>5035.35</v>
      </c>
      <c r="C2932" s="3">
        <f>IFERROR(__xludf.DUMMYFUNCTION("""COMPUTED_VALUE"""),5059.65)</f>
        <v>5059.65</v>
      </c>
      <c r="D2932" s="3">
        <f>IFERROR(__xludf.DUMMYFUNCTION("""COMPUTED_VALUE"""),5007.75)</f>
        <v>5007.75</v>
      </c>
      <c r="E2932" s="3">
        <f>IFERROR(__xludf.DUMMYFUNCTION("""COMPUTED_VALUE"""),5049.65)</f>
        <v>5049.65</v>
      </c>
      <c r="F2932" s="3">
        <f>IFERROR(__xludf.DUMMYFUNCTION("""COMPUTED_VALUE"""),0.0)</f>
        <v>0</v>
      </c>
    </row>
    <row r="2933">
      <c r="A2933" s="7">
        <f>IFERROR(__xludf.DUMMYFUNCTION("""COMPUTED_VALUE"""),41068.645833333336)</f>
        <v>41068.64583</v>
      </c>
      <c r="B2933" s="3">
        <f>IFERROR(__xludf.DUMMYFUNCTION("""COMPUTED_VALUE"""),5044.25)</f>
        <v>5044.25</v>
      </c>
      <c r="C2933" s="3">
        <f>IFERROR(__xludf.DUMMYFUNCTION("""COMPUTED_VALUE"""),5084.45)</f>
        <v>5084.45</v>
      </c>
      <c r="D2933" s="3">
        <f>IFERROR(__xludf.DUMMYFUNCTION("""COMPUTED_VALUE"""),4994.8)</f>
        <v>4994.8</v>
      </c>
      <c r="E2933" s="3">
        <f>IFERROR(__xludf.DUMMYFUNCTION("""COMPUTED_VALUE"""),5068.35)</f>
        <v>5068.35</v>
      </c>
      <c r="F2933" s="3">
        <f>IFERROR(__xludf.DUMMYFUNCTION("""COMPUTED_VALUE"""),0.0)</f>
        <v>0</v>
      </c>
    </row>
    <row r="2934">
      <c r="A2934" s="7">
        <f>IFERROR(__xludf.DUMMYFUNCTION("""COMPUTED_VALUE"""),41071.645833333336)</f>
        <v>41071.64583</v>
      </c>
      <c r="B2934" s="3">
        <f>IFERROR(__xludf.DUMMYFUNCTION("""COMPUTED_VALUE"""),5096.7)</f>
        <v>5096.7</v>
      </c>
      <c r="C2934" s="3">
        <f>IFERROR(__xludf.DUMMYFUNCTION("""COMPUTED_VALUE"""),5124.45)</f>
        <v>5124.45</v>
      </c>
      <c r="D2934" s="3">
        <f>IFERROR(__xludf.DUMMYFUNCTION("""COMPUTED_VALUE"""),5040.7)</f>
        <v>5040.7</v>
      </c>
      <c r="E2934" s="3">
        <f>IFERROR(__xludf.DUMMYFUNCTION("""COMPUTED_VALUE"""),5054.1)</f>
        <v>5054.1</v>
      </c>
      <c r="F2934" s="3">
        <f>IFERROR(__xludf.DUMMYFUNCTION("""COMPUTED_VALUE"""),0.0)</f>
        <v>0</v>
      </c>
    </row>
    <row r="2935">
      <c r="A2935" s="7">
        <f>IFERROR(__xludf.DUMMYFUNCTION("""COMPUTED_VALUE"""),41072.645833333336)</f>
        <v>41072.64583</v>
      </c>
      <c r="B2935" s="3">
        <f>IFERROR(__xludf.DUMMYFUNCTION("""COMPUTED_VALUE"""),5015.5)</f>
        <v>5015.5</v>
      </c>
      <c r="C2935" s="3">
        <f>IFERROR(__xludf.DUMMYFUNCTION("""COMPUTED_VALUE"""),5128.9)</f>
        <v>5128.9</v>
      </c>
      <c r="D2935" s="3">
        <f>IFERROR(__xludf.DUMMYFUNCTION("""COMPUTED_VALUE"""),5015.15)</f>
        <v>5015.15</v>
      </c>
      <c r="E2935" s="3">
        <f>IFERROR(__xludf.DUMMYFUNCTION("""COMPUTED_VALUE"""),5115.9)</f>
        <v>5115.9</v>
      </c>
      <c r="F2935" s="3">
        <f>IFERROR(__xludf.DUMMYFUNCTION("""COMPUTED_VALUE"""),0.0)</f>
        <v>0</v>
      </c>
    </row>
    <row r="2936">
      <c r="A2936" s="7">
        <f>IFERROR(__xludf.DUMMYFUNCTION("""COMPUTED_VALUE"""),41073.645833333336)</f>
        <v>41073.64583</v>
      </c>
      <c r="B2936" s="3">
        <f>IFERROR(__xludf.DUMMYFUNCTION("""COMPUTED_VALUE"""),5117.55)</f>
        <v>5117.55</v>
      </c>
      <c r="C2936" s="3">
        <f>IFERROR(__xludf.DUMMYFUNCTION("""COMPUTED_VALUE"""),5144.9)</f>
        <v>5144.9</v>
      </c>
      <c r="D2936" s="3">
        <f>IFERROR(__xludf.DUMMYFUNCTION("""COMPUTED_VALUE"""),5095.45)</f>
        <v>5095.45</v>
      </c>
      <c r="E2936" s="3">
        <f>IFERROR(__xludf.DUMMYFUNCTION("""COMPUTED_VALUE"""),5121.45)</f>
        <v>5121.45</v>
      </c>
      <c r="F2936" s="3">
        <f>IFERROR(__xludf.DUMMYFUNCTION("""COMPUTED_VALUE"""),0.0)</f>
        <v>0</v>
      </c>
    </row>
    <row r="2937">
      <c r="A2937" s="7">
        <f>IFERROR(__xludf.DUMMYFUNCTION("""COMPUTED_VALUE"""),41074.645833333336)</f>
        <v>41074.64583</v>
      </c>
      <c r="B2937" s="3">
        <f>IFERROR(__xludf.DUMMYFUNCTION("""COMPUTED_VALUE"""),5105.1)</f>
        <v>5105.1</v>
      </c>
      <c r="C2937" s="3">
        <f>IFERROR(__xludf.DUMMYFUNCTION("""COMPUTED_VALUE"""),5130.0)</f>
        <v>5130</v>
      </c>
      <c r="D2937" s="3">
        <f>IFERROR(__xludf.DUMMYFUNCTION("""COMPUTED_VALUE"""),5047.6)</f>
        <v>5047.6</v>
      </c>
      <c r="E2937" s="3">
        <f>IFERROR(__xludf.DUMMYFUNCTION("""COMPUTED_VALUE"""),5054.75)</f>
        <v>5054.75</v>
      </c>
      <c r="F2937" s="3">
        <f>IFERROR(__xludf.DUMMYFUNCTION("""COMPUTED_VALUE"""),0.0)</f>
        <v>0</v>
      </c>
    </row>
    <row r="2938">
      <c r="A2938" s="7">
        <f>IFERROR(__xludf.DUMMYFUNCTION("""COMPUTED_VALUE"""),41075.645833333336)</f>
        <v>41075.64583</v>
      </c>
      <c r="B2938" s="3">
        <f>IFERROR(__xludf.DUMMYFUNCTION("""COMPUTED_VALUE"""),5069.55)</f>
        <v>5069.55</v>
      </c>
      <c r="C2938" s="3">
        <f>IFERROR(__xludf.DUMMYFUNCTION("""COMPUTED_VALUE"""),5146.2)</f>
        <v>5146.2</v>
      </c>
      <c r="D2938" s="3">
        <f>IFERROR(__xludf.DUMMYFUNCTION("""COMPUTED_VALUE"""),5069.15)</f>
        <v>5069.15</v>
      </c>
      <c r="E2938" s="3">
        <f>IFERROR(__xludf.DUMMYFUNCTION("""COMPUTED_VALUE"""),5139.05)</f>
        <v>5139.05</v>
      </c>
      <c r="F2938" s="3">
        <f>IFERROR(__xludf.DUMMYFUNCTION("""COMPUTED_VALUE"""),0.0)</f>
        <v>0</v>
      </c>
    </row>
    <row r="2939">
      <c r="A2939" s="7">
        <f>IFERROR(__xludf.DUMMYFUNCTION("""COMPUTED_VALUE"""),41078.645833333336)</f>
        <v>41078.64583</v>
      </c>
      <c r="B2939" s="3">
        <f>IFERROR(__xludf.DUMMYFUNCTION("""COMPUTED_VALUE"""),5174.0)</f>
        <v>5174</v>
      </c>
      <c r="C2939" s="3">
        <f>IFERROR(__xludf.DUMMYFUNCTION("""COMPUTED_VALUE"""),5190.2)</f>
        <v>5190.2</v>
      </c>
      <c r="D2939" s="3">
        <f>IFERROR(__xludf.DUMMYFUNCTION("""COMPUTED_VALUE"""),5041.7)</f>
        <v>5041.7</v>
      </c>
      <c r="E2939" s="3">
        <f>IFERROR(__xludf.DUMMYFUNCTION("""COMPUTED_VALUE"""),5064.25)</f>
        <v>5064.25</v>
      </c>
      <c r="F2939" s="3">
        <f>IFERROR(__xludf.DUMMYFUNCTION("""COMPUTED_VALUE"""),0.0)</f>
        <v>0</v>
      </c>
    </row>
    <row r="2940">
      <c r="A2940" s="7">
        <f>IFERROR(__xludf.DUMMYFUNCTION("""COMPUTED_VALUE"""),41079.645833333336)</f>
        <v>41079.64583</v>
      </c>
      <c r="B2940" s="3">
        <f>IFERROR(__xludf.DUMMYFUNCTION("""COMPUTED_VALUE"""),5050.8)</f>
        <v>5050.8</v>
      </c>
      <c r="C2940" s="3">
        <f>IFERROR(__xludf.DUMMYFUNCTION("""COMPUTED_VALUE"""),5113.6)</f>
        <v>5113.6</v>
      </c>
      <c r="D2940" s="3">
        <f>IFERROR(__xludf.DUMMYFUNCTION("""COMPUTED_VALUE"""),5048.1)</f>
        <v>5048.1</v>
      </c>
      <c r="E2940" s="3">
        <f>IFERROR(__xludf.DUMMYFUNCTION("""COMPUTED_VALUE"""),5103.85)</f>
        <v>5103.85</v>
      </c>
      <c r="F2940" s="3">
        <f>IFERROR(__xludf.DUMMYFUNCTION("""COMPUTED_VALUE"""),0.0)</f>
        <v>0</v>
      </c>
    </row>
    <row r="2941">
      <c r="A2941" s="7">
        <f>IFERROR(__xludf.DUMMYFUNCTION("""COMPUTED_VALUE"""),41080.645833333336)</f>
        <v>41080.64583</v>
      </c>
      <c r="B2941" s="3">
        <f>IFERROR(__xludf.DUMMYFUNCTION("""COMPUTED_VALUE"""),5114.55)</f>
        <v>5114.55</v>
      </c>
      <c r="C2941" s="3">
        <f>IFERROR(__xludf.DUMMYFUNCTION("""COMPUTED_VALUE"""),5141.7)</f>
        <v>5141.7</v>
      </c>
      <c r="D2941" s="3">
        <f>IFERROR(__xludf.DUMMYFUNCTION("""COMPUTED_VALUE"""),5100.7)</f>
        <v>5100.7</v>
      </c>
      <c r="E2941" s="3">
        <f>IFERROR(__xludf.DUMMYFUNCTION("""COMPUTED_VALUE"""),5120.55)</f>
        <v>5120.55</v>
      </c>
      <c r="F2941" s="3">
        <f>IFERROR(__xludf.DUMMYFUNCTION("""COMPUTED_VALUE"""),0.0)</f>
        <v>0</v>
      </c>
    </row>
    <row r="2942">
      <c r="A2942" s="7">
        <f>IFERROR(__xludf.DUMMYFUNCTION("""COMPUTED_VALUE"""),41081.645833333336)</f>
        <v>41081.64583</v>
      </c>
      <c r="B2942" s="3">
        <f>IFERROR(__xludf.DUMMYFUNCTION("""COMPUTED_VALUE"""),5097.35)</f>
        <v>5097.35</v>
      </c>
      <c r="C2942" s="3">
        <f>IFERROR(__xludf.DUMMYFUNCTION("""COMPUTED_VALUE"""),5170.4)</f>
        <v>5170.4</v>
      </c>
      <c r="D2942" s="3">
        <f>IFERROR(__xludf.DUMMYFUNCTION("""COMPUTED_VALUE"""),5093.45)</f>
        <v>5093.45</v>
      </c>
      <c r="E2942" s="3">
        <f>IFERROR(__xludf.DUMMYFUNCTION("""COMPUTED_VALUE"""),5165.0)</f>
        <v>5165</v>
      </c>
      <c r="F2942" s="3">
        <f>IFERROR(__xludf.DUMMYFUNCTION("""COMPUTED_VALUE"""),0.0)</f>
        <v>0</v>
      </c>
    </row>
    <row r="2943">
      <c r="A2943" s="7">
        <f>IFERROR(__xludf.DUMMYFUNCTION("""COMPUTED_VALUE"""),41082.645833333336)</f>
        <v>41082.64583</v>
      </c>
      <c r="B2943" s="3">
        <f>IFERROR(__xludf.DUMMYFUNCTION("""COMPUTED_VALUE"""),5101.75)</f>
        <v>5101.75</v>
      </c>
      <c r="C2943" s="3">
        <f>IFERROR(__xludf.DUMMYFUNCTION("""COMPUTED_VALUE"""),5159.8)</f>
        <v>5159.8</v>
      </c>
      <c r="D2943" s="3">
        <f>IFERROR(__xludf.DUMMYFUNCTION("""COMPUTED_VALUE"""),5094.0)</f>
        <v>5094</v>
      </c>
      <c r="E2943" s="3">
        <f>IFERROR(__xludf.DUMMYFUNCTION("""COMPUTED_VALUE"""),5146.05)</f>
        <v>5146.05</v>
      </c>
      <c r="F2943" s="3">
        <f>IFERROR(__xludf.DUMMYFUNCTION("""COMPUTED_VALUE"""),0.0)</f>
        <v>0</v>
      </c>
    </row>
    <row r="2944">
      <c r="A2944" s="7">
        <f>IFERROR(__xludf.DUMMYFUNCTION("""COMPUTED_VALUE"""),41085.645833333336)</f>
        <v>41085.64583</v>
      </c>
      <c r="B2944" s="3">
        <f>IFERROR(__xludf.DUMMYFUNCTION("""COMPUTED_VALUE"""),5158.5)</f>
        <v>5158.5</v>
      </c>
      <c r="C2944" s="3">
        <f>IFERROR(__xludf.DUMMYFUNCTION("""COMPUTED_VALUE"""),5194.6)</f>
        <v>5194.6</v>
      </c>
      <c r="D2944" s="3">
        <f>IFERROR(__xludf.DUMMYFUNCTION("""COMPUTED_VALUE"""),5105.65)</f>
        <v>5105.65</v>
      </c>
      <c r="E2944" s="3">
        <f>IFERROR(__xludf.DUMMYFUNCTION("""COMPUTED_VALUE"""),5114.65)</f>
        <v>5114.65</v>
      </c>
      <c r="F2944" s="3">
        <f>IFERROR(__xludf.DUMMYFUNCTION("""COMPUTED_VALUE"""),0.0)</f>
        <v>0</v>
      </c>
    </row>
    <row r="2945">
      <c r="A2945" s="7">
        <f>IFERROR(__xludf.DUMMYFUNCTION("""COMPUTED_VALUE"""),41086.645833333336)</f>
        <v>41086.64583</v>
      </c>
      <c r="B2945" s="3">
        <f>IFERROR(__xludf.DUMMYFUNCTION("""COMPUTED_VALUE"""),5107.45)</f>
        <v>5107.45</v>
      </c>
      <c r="C2945" s="3">
        <f>IFERROR(__xludf.DUMMYFUNCTION("""COMPUTED_VALUE"""),5134.55)</f>
        <v>5134.55</v>
      </c>
      <c r="D2945" s="3">
        <f>IFERROR(__xludf.DUMMYFUNCTION("""COMPUTED_VALUE"""),5095.5)</f>
        <v>5095.5</v>
      </c>
      <c r="E2945" s="3">
        <f>IFERROR(__xludf.DUMMYFUNCTION("""COMPUTED_VALUE"""),5120.8)</f>
        <v>5120.8</v>
      </c>
      <c r="F2945" s="3">
        <f>IFERROR(__xludf.DUMMYFUNCTION("""COMPUTED_VALUE"""),0.0)</f>
        <v>0</v>
      </c>
    </row>
    <row r="2946">
      <c r="A2946" s="7">
        <f>IFERROR(__xludf.DUMMYFUNCTION("""COMPUTED_VALUE"""),41087.645833333336)</f>
        <v>41087.64583</v>
      </c>
      <c r="B2946" s="3">
        <f>IFERROR(__xludf.DUMMYFUNCTION("""COMPUTED_VALUE"""),5149.45)</f>
        <v>5149.45</v>
      </c>
      <c r="C2946" s="3">
        <f>IFERROR(__xludf.DUMMYFUNCTION("""COMPUTED_VALUE"""),5160.1)</f>
        <v>5160.1</v>
      </c>
      <c r="D2946" s="3">
        <f>IFERROR(__xludf.DUMMYFUNCTION("""COMPUTED_VALUE"""),5129.25)</f>
        <v>5129.25</v>
      </c>
      <c r="E2946" s="3">
        <f>IFERROR(__xludf.DUMMYFUNCTION("""COMPUTED_VALUE"""),5141.9)</f>
        <v>5141.9</v>
      </c>
      <c r="F2946" s="3">
        <f>IFERROR(__xludf.DUMMYFUNCTION("""COMPUTED_VALUE"""),0.0)</f>
        <v>0</v>
      </c>
    </row>
    <row r="2947">
      <c r="A2947" s="7">
        <f>IFERROR(__xludf.DUMMYFUNCTION("""COMPUTED_VALUE"""),41088.645833333336)</f>
        <v>41088.64583</v>
      </c>
      <c r="B2947" s="3">
        <f>IFERROR(__xludf.DUMMYFUNCTION("""COMPUTED_VALUE"""),5148.95)</f>
        <v>5148.95</v>
      </c>
      <c r="C2947" s="3">
        <f>IFERROR(__xludf.DUMMYFUNCTION("""COMPUTED_VALUE"""),5159.05)</f>
        <v>5159.05</v>
      </c>
      <c r="D2947" s="3">
        <f>IFERROR(__xludf.DUMMYFUNCTION("""COMPUTED_VALUE"""),5125.3)</f>
        <v>5125.3</v>
      </c>
      <c r="E2947" s="3">
        <f>IFERROR(__xludf.DUMMYFUNCTION("""COMPUTED_VALUE"""),5149.15)</f>
        <v>5149.15</v>
      </c>
      <c r="F2947" s="3">
        <f>IFERROR(__xludf.DUMMYFUNCTION("""COMPUTED_VALUE"""),0.0)</f>
        <v>0</v>
      </c>
    </row>
    <row r="2948">
      <c r="A2948" s="7">
        <f>IFERROR(__xludf.DUMMYFUNCTION("""COMPUTED_VALUE"""),41089.645833333336)</f>
        <v>41089.64583</v>
      </c>
      <c r="B2948" s="3">
        <f>IFERROR(__xludf.DUMMYFUNCTION("""COMPUTED_VALUE"""),5191.25)</f>
        <v>5191.25</v>
      </c>
      <c r="C2948" s="3">
        <f>IFERROR(__xludf.DUMMYFUNCTION("""COMPUTED_VALUE"""),5286.25)</f>
        <v>5286.25</v>
      </c>
      <c r="D2948" s="3">
        <f>IFERROR(__xludf.DUMMYFUNCTION("""COMPUTED_VALUE"""),5189.0)</f>
        <v>5189</v>
      </c>
      <c r="E2948" s="3">
        <f>IFERROR(__xludf.DUMMYFUNCTION("""COMPUTED_VALUE"""),5278.9)</f>
        <v>5278.9</v>
      </c>
      <c r="F2948" s="3">
        <f>IFERROR(__xludf.DUMMYFUNCTION("""COMPUTED_VALUE"""),0.0)</f>
        <v>0</v>
      </c>
    </row>
    <row r="2949">
      <c r="A2949" s="7">
        <f>IFERROR(__xludf.DUMMYFUNCTION("""COMPUTED_VALUE"""),41092.645833333336)</f>
        <v>41092.64583</v>
      </c>
      <c r="B2949" s="3">
        <f>IFERROR(__xludf.DUMMYFUNCTION("""COMPUTED_VALUE"""),5283.85)</f>
        <v>5283.85</v>
      </c>
      <c r="C2949" s="3">
        <f>IFERROR(__xludf.DUMMYFUNCTION("""COMPUTED_VALUE"""),5302.15)</f>
        <v>5302.15</v>
      </c>
      <c r="D2949" s="3">
        <f>IFERROR(__xludf.DUMMYFUNCTION("""COMPUTED_VALUE"""),5263.35)</f>
        <v>5263.35</v>
      </c>
      <c r="E2949" s="3">
        <f>IFERROR(__xludf.DUMMYFUNCTION("""COMPUTED_VALUE"""),5278.6)</f>
        <v>5278.6</v>
      </c>
      <c r="F2949" s="3">
        <f>IFERROR(__xludf.DUMMYFUNCTION("""COMPUTED_VALUE"""),0.0)</f>
        <v>0</v>
      </c>
    </row>
    <row r="2950">
      <c r="A2950" s="7">
        <f>IFERROR(__xludf.DUMMYFUNCTION("""COMPUTED_VALUE"""),41093.645833333336)</f>
        <v>41093.64583</v>
      </c>
      <c r="B2950" s="3">
        <f>IFERROR(__xludf.DUMMYFUNCTION("""COMPUTED_VALUE"""),5298.85)</f>
        <v>5298.85</v>
      </c>
      <c r="C2950" s="3">
        <f>IFERROR(__xludf.DUMMYFUNCTION("""COMPUTED_VALUE"""),5317.0)</f>
        <v>5317</v>
      </c>
      <c r="D2950" s="3">
        <f>IFERROR(__xludf.DUMMYFUNCTION("""COMPUTED_VALUE"""),5265.95)</f>
        <v>5265.95</v>
      </c>
      <c r="E2950" s="3">
        <f>IFERROR(__xludf.DUMMYFUNCTION("""COMPUTED_VALUE"""),5287.95)</f>
        <v>5287.95</v>
      </c>
      <c r="F2950" s="3">
        <f>IFERROR(__xludf.DUMMYFUNCTION("""COMPUTED_VALUE"""),0.0)</f>
        <v>0</v>
      </c>
    </row>
    <row r="2951">
      <c r="A2951" s="7">
        <f>IFERROR(__xludf.DUMMYFUNCTION("""COMPUTED_VALUE"""),41094.645833333336)</f>
        <v>41094.64583</v>
      </c>
      <c r="B2951" s="3">
        <f>IFERROR(__xludf.DUMMYFUNCTION("""COMPUTED_VALUE"""),5310.4)</f>
        <v>5310.4</v>
      </c>
      <c r="C2951" s="3">
        <f>IFERROR(__xludf.DUMMYFUNCTION("""COMPUTED_VALUE"""),5317.65)</f>
        <v>5317.65</v>
      </c>
      <c r="D2951" s="3">
        <f>IFERROR(__xludf.DUMMYFUNCTION("""COMPUTED_VALUE"""),5273.3)</f>
        <v>5273.3</v>
      </c>
      <c r="E2951" s="3">
        <f>IFERROR(__xludf.DUMMYFUNCTION("""COMPUTED_VALUE"""),5302.55)</f>
        <v>5302.55</v>
      </c>
      <c r="F2951" s="3">
        <f>IFERROR(__xludf.DUMMYFUNCTION("""COMPUTED_VALUE"""),0.0)</f>
        <v>0</v>
      </c>
    </row>
    <row r="2952">
      <c r="A2952" s="7">
        <f>IFERROR(__xludf.DUMMYFUNCTION("""COMPUTED_VALUE"""),41095.645833333336)</f>
        <v>41095.64583</v>
      </c>
      <c r="B2952" s="3">
        <f>IFERROR(__xludf.DUMMYFUNCTION("""COMPUTED_VALUE"""),5297.05)</f>
        <v>5297.05</v>
      </c>
      <c r="C2952" s="3">
        <f>IFERROR(__xludf.DUMMYFUNCTION("""COMPUTED_VALUE"""),5333.65)</f>
        <v>5333.65</v>
      </c>
      <c r="D2952" s="3">
        <f>IFERROR(__xludf.DUMMYFUNCTION("""COMPUTED_VALUE"""),5288.85)</f>
        <v>5288.85</v>
      </c>
      <c r="E2952" s="3">
        <f>IFERROR(__xludf.DUMMYFUNCTION("""COMPUTED_VALUE"""),5327.3)</f>
        <v>5327.3</v>
      </c>
      <c r="F2952" s="3">
        <f>IFERROR(__xludf.DUMMYFUNCTION("""COMPUTED_VALUE"""),0.0)</f>
        <v>0</v>
      </c>
    </row>
    <row r="2953">
      <c r="A2953" s="7">
        <f>IFERROR(__xludf.DUMMYFUNCTION("""COMPUTED_VALUE"""),41096.645833333336)</f>
        <v>41096.64583</v>
      </c>
      <c r="B2953" s="3">
        <f>IFERROR(__xludf.DUMMYFUNCTION("""COMPUTED_VALUE"""),5324.7)</f>
        <v>5324.7</v>
      </c>
      <c r="C2953" s="3">
        <f>IFERROR(__xludf.DUMMYFUNCTION("""COMPUTED_VALUE"""),5327.2)</f>
        <v>5327.2</v>
      </c>
      <c r="D2953" s="3">
        <f>IFERROR(__xludf.DUMMYFUNCTION("""COMPUTED_VALUE"""),5287.75)</f>
        <v>5287.75</v>
      </c>
      <c r="E2953" s="3">
        <f>IFERROR(__xludf.DUMMYFUNCTION("""COMPUTED_VALUE"""),5316.95)</f>
        <v>5316.95</v>
      </c>
      <c r="F2953" s="3">
        <f>IFERROR(__xludf.DUMMYFUNCTION("""COMPUTED_VALUE"""),0.0)</f>
        <v>0</v>
      </c>
    </row>
    <row r="2954">
      <c r="A2954" s="7">
        <f>IFERROR(__xludf.DUMMYFUNCTION("""COMPUTED_VALUE"""),41099.645833333336)</f>
        <v>41099.64583</v>
      </c>
      <c r="B2954" s="3">
        <f>IFERROR(__xludf.DUMMYFUNCTION("""COMPUTED_VALUE"""),5283.7)</f>
        <v>5283.7</v>
      </c>
      <c r="C2954" s="3">
        <f>IFERROR(__xludf.DUMMYFUNCTION("""COMPUTED_VALUE"""),5300.6)</f>
        <v>5300.6</v>
      </c>
      <c r="D2954" s="3">
        <f>IFERROR(__xludf.DUMMYFUNCTION("""COMPUTED_VALUE"""),5257.75)</f>
        <v>5257.75</v>
      </c>
      <c r="E2954" s="3">
        <f>IFERROR(__xludf.DUMMYFUNCTION("""COMPUTED_VALUE"""),5275.15)</f>
        <v>5275.15</v>
      </c>
      <c r="F2954" s="3">
        <f>IFERROR(__xludf.DUMMYFUNCTION("""COMPUTED_VALUE"""),0.0)</f>
        <v>0</v>
      </c>
    </row>
    <row r="2955">
      <c r="A2955" s="7">
        <f>IFERROR(__xludf.DUMMYFUNCTION("""COMPUTED_VALUE"""),41100.645833333336)</f>
        <v>41100.64583</v>
      </c>
      <c r="B2955" s="3">
        <f>IFERROR(__xludf.DUMMYFUNCTION("""COMPUTED_VALUE"""),5286.6)</f>
        <v>5286.6</v>
      </c>
      <c r="C2955" s="3">
        <f>IFERROR(__xludf.DUMMYFUNCTION("""COMPUTED_VALUE"""),5348.55)</f>
        <v>5348.55</v>
      </c>
      <c r="D2955" s="3">
        <f>IFERROR(__xludf.DUMMYFUNCTION("""COMPUTED_VALUE"""),5284.55)</f>
        <v>5284.55</v>
      </c>
      <c r="E2955" s="3">
        <f>IFERROR(__xludf.DUMMYFUNCTION("""COMPUTED_VALUE"""),5345.35)</f>
        <v>5345.35</v>
      </c>
      <c r="F2955" s="3">
        <f>IFERROR(__xludf.DUMMYFUNCTION("""COMPUTED_VALUE"""),0.0)</f>
        <v>0</v>
      </c>
    </row>
    <row r="2956">
      <c r="A2956" s="7">
        <f>IFERROR(__xludf.DUMMYFUNCTION("""COMPUTED_VALUE"""),41101.645833333336)</f>
        <v>41101.64583</v>
      </c>
      <c r="B2956" s="3">
        <f>IFERROR(__xludf.DUMMYFUNCTION("""COMPUTED_VALUE"""),5315.25)</f>
        <v>5315.25</v>
      </c>
      <c r="C2956" s="3">
        <f>IFERROR(__xludf.DUMMYFUNCTION("""COMPUTED_VALUE"""),5336.45)</f>
        <v>5336.45</v>
      </c>
      <c r="D2956" s="3">
        <f>IFERROR(__xludf.DUMMYFUNCTION("""COMPUTED_VALUE"""),5300.25)</f>
        <v>5300.25</v>
      </c>
      <c r="E2956" s="3">
        <f>IFERROR(__xludf.DUMMYFUNCTION("""COMPUTED_VALUE"""),5306.3)</f>
        <v>5306.3</v>
      </c>
      <c r="F2956" s="3">
        <f>IFERROR(__xludf.DUMMYFUNCTION("""COMPUTED_VALUE"""),0.0)</f>
        <v>0</v>
      </c>
    </row>
    <row r="2957">
      <c r="A2957" s="7">
        <f>IFERROR(__xludf.DUMMYFUNCTION("""COMPUTED_VALUE"""),41102.645833333336)</f>
        <v>41102.64583</v>
      </c>
      <c r="B2957" s="3">
        <f>IFERROR(__xludf.DUMMYFUNCTION("""COMPUTED_VALUE"""),5240.0)</f>
        <v>5240</v>
      </c>
      <c r="C2957" s="3">
        <f>IFERROR(__xludf.DUMMYFUNCTION("""COMPUTED_VALUE"""),5261.75)</f>
        <v>5261.75</v>
      </c>
      <c r="D2957" s="3">
        <f>IFERROR(__xludf.DUMMYFUNCTION("""COMPUTED_VALUE"""),5217.7)</f>
        <v>5217.7</v>
      </c>
      <c r="E2957" s="3">
        <f>IFERROR(__xludf.DUMMYFUNCTION("""COMPUTED_VALUE"""),5235.25)</f>
        <v>5235.25</v>
      </c>
      <c r="F2957" s="3">
        <f>IFERROR(__xludf.DUMMYFUNCTION("""COMPUTED_VALUE"""),0.0)</f>
        <v>0</v>
      </c>
    </row>
    <row r="2958">
      <c r="A2958" s="7">
        <f>IFERROR(__xludf.DUMMYFUNCTION("""COMPUTED_VALUE"""),41103.645833333336)</f>
        <v>41103.64583</v>
      </c>
      <c r="B2958" s="3">
        <f>IFERROR(__xludf.DUMMYFUNCTION("""COMPUTED_VALUE"""),5242.75)</f>
        <v>5242.75</v>
      </c>
      <c r="C2958" s="3">
        <f>IFERROR(__xludf.DUMMYFUNCTION("""COMPUTED_VALUE"""),5267.15)</f>
        <v>5267.15</v>
      </c>
      <c r="D2958" s="3">
        <f>IFERROR(__xludf.DUMMYFUNCTION("""COMPUTED_VALUE"""),5216.85)</f>
        <v>5216.85</v>
      </c>
      <c r="E2958" s="3">
        <f>IFERROR(__xludf.DUMMYFUNCTION("""COMPUTED_VALUE"""),5227.25)</f>
        <v>5227.25</v>
      </c>
      <c r="F2958" s="3">
        <f>IFERROR(__xludf.DUMMYFUNCTION("""COMPUTED_VALUE"""),0.0)</f>
        <v>0</v>
      </c>
    </row>
    <row r="2959">
      <c r="A2959" s="7">
        <f>IFERROR(__xludf.DUMMYFUNCTION("""COMPUTED_VALUE"""),41106.645833333336)</f>
        <v>41106.64583</v>
      </c>
      <c r="B2959" s="3">
        <f>IFERROR(__xludf.DUMMYFUNCTION("""COMPUTED_VALUE"""),5232.35)</f>
        <v>5232.35</v>
      </c>
      <c r="C2959" s="3">
        <f>IFERROR(__xludf.DUMMYFUNCTION("""COMPUTED_VALUE"""),5246.85)</f>
        <v>5246.85</v>
      </c>
      <c r="D2959" s="3">
        <f>IFERROR(__xludf.DUMMYFUNCTION("""COMPUTED_VALUE"""),5190.45)</f>
        <v>5190.45</v>
      </c>
      <c r="E2959" s="3">
        <f>IFERROR(__xludf.DUMMYFUNCTION("""COMPUTED_VALUE"""),5197.25)</f>
        <v>5197.25</v>
      </c>
      <c r="F2959" s="3">
        <f>IFERROR(__xludf.DUMMYFUNCTION("""COMPUTED_VALUE"""),0.0)</f>
        <v>0</v>
      </c>
    </row>
    <row r="2960">
      <c r="A2960" s="7">
        <f>IFERROR(__xludf.DUMMYFUNCTION("""COMPUTED_VALUE"""),41107.645833333336)</f>
        <v>41107.64583</v>
      </c>
      <c r="B2960" s="3">
        <f>IFERROR(__xludf.DUMMYFUNCTION("""COMPUTED_VALUE"""),5228.05)</f>
        <v>5228.05</v>
      </c>
      <c r="C2960" s="3">
        <f>IFERROR(__xludf.DUMMYFUNCTION("""COMPUTED_VALUE"""),5236.7)</f>
        <v>5236.7</v>
      </c>
      <c r="D2960" s="3">
        <f>IFERROR(__xludf.DUMMYFUNCTION("""COMPUTED_VALUE"""),5181.7)</f>
        <v>5181.7</v>
      </c>
      <c r="E2960" s="3">
        <f>IFERROR(__xludf.DUMMYFUNCTION("""COMPUTED_VALUE"""),5192.85)</f>
        <v>5192.85</v>
      </c>
      <c r="F2960" s="3">
        <f>IFERROR(__xludf.DUMMYFUNCTION("""COMPUTED_VALUE"""),0.0)</f>
        <v>0</v>
      </c>
    </row>
    <row r="2961">
      <c r="A2961" s="7">
        <f>IFERROR(__xludf.DUMMYFUNCTION("""COMPUTED_VALUE"""),41108.645833333336)</f>
        <v>41108.64583</v>
      </c>
      <c r="B2961" s="3">
        <f>IFERROR(__xludf.DUMMYFUNCTION("""COMPUTED_VALUE"""),5199.1)</f>
        <v>5199.1</v>
      </c>
      <c r="C2961" s="3">
        <f>IFERROR(__xludf.DUMMYFUNCTION("""COMPUTED_VALUE"""),5222.85)</f>
        <v>5222.85</v>
      </c>
      <c r="D2961" s="3">
        <f>IFERROR(__xludf.DUMMYFUNCTION("""COMPUTED_VALUE"""),5169.05)</f>
        <v>5169.05</v>
      </c>
      <c r="E2961" s="3">
        <f>IFERROR(__xludf.DUMMYFUNCTION("""COMPUTED_VALUE"""),5216.3)</f>
        <v>5216.3</v>
      </c>
      <c r="F2961" s="3">
        <f>IFERROR(__xludf.DUMMYFUNCTION("""COMPUTED_VALUE"""),0.0)</f>
        <v>0</v>
      </c>
    </row>
    <row r="2962">
      <c r="A2962" s="7">
        <f>IFERROR(__xludf.DUMMYFUNCTION("""COMPUTED_VALUE"""),41109.645833333336)</f>
        <v>41109.64583</v>
      </c>
      <c r="B2962" s="3">
        <f>IFERROR(__xludf.DUMMYFUNCTION("""COMPUTED_VALUE"""),5249.85)</f>
        <v>5249.85</v>
      </c>
      <c r="C2962" s="3">
        <f>IFERROR(__xludf.DUMMYFUNCTION("""COMPUTED_VALUE"""),5257.75)</f>
        <v>5257.75</v>
      </c>
      <c r="D2962" s="3">
        <f>IFERROR(__xludf.DUMMYFUNCTION("""COMPUTED_VALUE"""),5233.15)</f>
        <v>5233.15</v>
      </c>
      <c r="E2962" s="3">
        <f>IFERROR(__xludf.DUMMYFUNCTION("""COMPUTED_VALUE"""),5242.7)</f>
        <v>5242.7</v>
      </c>
      <c r="F2962" s="3">
        <f>IFERROR(__xludf.DUMMYFUNCTION("""COMPUTED_VALUE"""),0.0)</f>
        <v>0</v>
      </c>
    </row>
    <row r="2963">
      <c r="A2963" s="7">
        <f>IFERROR(__xludf.DUMMYFUNCTION("""COMPUTED_VALUE"""),41110.645833333336)</f>
        <v>41110.64583</v>
      </c>
      <c r="B2963" s="3">
        <f>IFERROR(__xludf.DUMMYFUNCTION("""COMPUTED_VALUE"""),5233.55)</f>
        <v>5233.55</v>
      </c>
      <c r="C2963" s="3">
        <f>IFERROR(__xludf.DUMMYFUNCTION("""COMPUTED_VALUE"""),5238.7)</f>
        <v>5238.7</v>
      </c>
      <c r="D2963" s="3">
        <f>IFERROR(__xludf.DUMMYFUNCTION("""COMPUTED_VALUE"""),5197.5)</f>
        <v>5197.5</v>
      </c>
      <c r="E2963" s="3">
        <f>IFERROR(__xludf.DUMMYFUNCTION("""COMPUTED_VALUE"""),5205.1)</f>
        <v>5205.1</v>
      </c>
      <c r="F2963" s="3">
        <f>IFERROR(__xludf.DUMMYFUNCTION("""COMPUTED_VALUE"""),0.0)</f>
        <v>0</v>
      </c>
    </row>
    <row r="2964">
      <c r="A2964" s="7">
        <f>IFERROR(__xludf.DUMMYFUNCTION("""COMPUTED_VALUE"""),41113.645833333336)</f>
        <v>41113.64583</v>
      </c>
      <c r="B2964" s="3">
        <f>IFERROR(__xludf.DUMMYFUNCTION("""COMPUTED_VALUE"""),5163.25)</f>
        <v>5163.25</v>
      </c>
      <c r="C2964" s="3">
        <f>IFERROR(__xludf.DUMMYFUNCTION("""COMPUTED_VALUE"""),5164.2)</f>
        <v>5164.2</v>
      </c>
      <c r="D2964" s="3">
        <f>IFERROR(__xludf.DUMMYFUNCTION("""COMPUTED_VALUE"""),5108.1)</f>
        <v>5108.1</v>
      </c>
      <c r="E2964" s="3">
        <f>IFERROR(__xludf.DUMMYFUNCTION("""COMPUTED_VALUE"""),5117.95)</f>
        <v>5117.95</v>
      </c>
      <c r="F2964" s="3">
        <f>IFERROR(__xludf.DUMMYFUNCTION("""COMPUTED_VALUE"""),0.0)</f>
        <v>0</v>
      </c>
    </row>
    <row r="2965">
      <c r="A2965" s="7">
        <f>IFERROR(__xludf.DUMMYFUNCTION("""COMPUTED_VALUE"""),41114.645833333336)</f>
        <v>41114.64583</v>
      </c>
      <c r="B2965" s="3">
        <f>IFERROR(__xludf.DUMMYFUNCTION("""COMPUTED_VALUE"""),5128.8)</f>
        <v>5128.8</v>
      </c>
      <c r="C2965" s="3">
        <f>IFERROR(__xludf.DUMMYFUNCTION("""COMPUTED_VALUE"""),5144.0)</f>
        <v>5144</v>
      </c>
      <c r="D2965" s="3">
        <f>IFERROR(__xludf.DUMMYFUNCTION("""COMPUTED_VALUE"""),5103.25)</f>
        <v>5103.25</v>
      </c>
      <c r="E2965" s="3">
        <f>IFERROR(__xludf.DUMMYFUNCTION("""COMPUTED_VALUE"""),5128.2)</f>
        <v>5128.2</v>
      </c>
      <c r="F2965" s="3">
        <f>IFERROR(__xludf.DUMMYFUNCTION("""COMPUTED_VALUE"""),0.0)</f>
        <v>0</v>
      </c>
    </row>
    <row r="2966">
      <c r="A2966" s="7">
        <f>IFERROR(__xludf.DUMMYFUNCTION("""COMPUTED_VALUE"""),41115.645833333336)</f>
        <v>41115.64583</v>
      </c>
      <c r="B2966" s="3">
        <f>IFERROR(__xludf.DUMMYFUNCTION("""COMPUTED_VALUE"""),5118.4)</f>
        <v>5118.4</v>
      </c>
      <c r="C2966" s="3">
        <f>IFERROR(__xludf.DUMMYFUNCTION("""COMPUTED_VALUE"""),5121.6)</f>
        <v>5121.6</v>
      </c>
      <c r="D2966" s="3">
        <f>IFERROR(__xludf.DUMMYFUNCTION("""COMPUTED_VALUE"""),5076.6)</f>
        <v>5076.6</v>
      </c>
      <c r="E2966" s="3">
        <f>IFERROR(__xludf.DUMMYFUNCTION("""COMPUTED_VALUE"""),5109.6)</f>
        <v>5109.6</v>
      </c>
      <c r="F2966" s="3">
        <f>IFERROR(__xludf.DUMMYFUNCTION("""COMPUTED_VALUE"""),0.0)</f>
        <v>0</v>
      </c>
    </row>
    <row r="2967">
      <c r="A2967" s="7">
        <f>IFERROR(__xludf.DUMMYFUNCTION("""COMPUTED_VALUE"""),41116.645833333336)</f>
        <v>41116.64583</v>
      </c>
      <c r="B2967" s="3">
        <f>IFERROR(__xludf.DUMMYFUNCTION("""COMPUTED_VALUE"""),5126.3)</f>
        <v>5126.3</v>
      </c>
      <c r="C2967" s="3">
        <f>IFERROR(__xludf.DUMMYFUNCTION("""COMPUTED_VALUE"""),5126.3)</f>
        <v>5126.3</v>
      </c>
      <c r="D2967" s="3">
        <f>IFERROR(__xludf.DUMMYFUNCTION("""COMPUTED_VALUE"""),5032.4)</f>
        <v>5032.4</v>
      </c>
      <c r="E2967" s="3">
        <f>IFERROR(__xludf.DUMMYFUNCTION("""COMPUTED_VALUE"""),5043.0)</f>
        <v>5043</v>
      </c>
      <c r="F2967" s="3">
        <f>IFERROR(__xludf.DUMMYFUNCTION("""COMPUTED_VALUE"""),0.0)</f>
        <v>0</v>
      </c>
    </row>
    <row r="2968">
      <c r="A2968" s="7">
        <f>IFERROR(__xludf.DUMMYFUNCTION("""COMPUTED_VALUE"""),41117.645833333336)</f>
        <v>41117.64583</v>
      </c>
      <c r="B2968" s="3">
        <f>IFERROR(__xludf.DUMMYFUNCTION("""COMPUTED_VALUE"""),5124.3)</f>
        <v>5124.3</v>
      </c>
      <c r="C2968" s="3">
        <f>IFERROR(__xludf.DUMMYFUNCTION("""COMPUTED_VALUE"""),5149.95)</f>
        <v>5149.95</v>
      </c>
      <c r="D2968" s="3">
        <f>IFERROR(__xludf.DUMMYFUNCTION("""COMPUTED_VALUE"""),5077.5)</f>
        <v>5077.5</v>
      </c>
      <c r="E2968" s="3">
        <f>IFERROR(__xludf.DUMMYFUNCTION("""COMPUTED_VALUE"""),5099.85)</f>
        <v>5099.85</v>
      </c>
      <c r="F2968" s="3">
        <f>IFERROR(__xludf.DUMMYFUNCTION("""COMPUTED_VALUE"""),0.0)</f>
        <v>0</v>
      </c>
    </row>
    <row r="2969">
      <c r="A2969" s="7">
        <f>IFERROR(__xludf.DUMMYFUNCTION("""COMPUTED_VALUE"""),41120.645833333336)</f>
        <v>41120.64583</v>
      </c>
      <c r="B2969" s="3">
        <f>IFERROR(__xludf.DUMMYFUNCTION("""COMPUTED_VALUE"""),5129.75)</f>
        <v>5129.75</v>
      </c>
      <c r="C2969" s="3">
        <f>IFERROR(__xludf.DUMMYFUNCTION("""COMPUTED_VALUE"""),5206.6)</f>
        <v>5206.6</v>
      </c>
      <c r="D2969" s="3">
        <f>IFERROR(__xludf.DUMMYFUNCTION("""COMPUTED_VALUE"""),5129.75)</f>
        <v>5129.75</v>
      </c>
      <c r="E2969" s="3">
        <f>IFERROR(__xludf.DUMMYFUNCTION("""COMPUTED_VALUE"""),5199.8)</f>
        <v>5199.8</v>
      </c>
      <c r="F2969" s="3">
        <f>IFERROR(__xludf.DUMMYFUNCTION("""COMPUTED_VALUE"""),0.0)</f>
        <v>0</v>
      </c>
    </row>
    <row r="2970">
      <c r="A2970" s="7">
        <f>IFERROR(__xludf.DUMMYFUNCTION("""COMPUTED_VALUE"""),41121.645833333336)</f>
        <v>41121.64583</v>
      </c>
      <c r="B2970" s="3">
        <f>IFERROR(__xludf.DUMMYFUNCTION("""COMPUTED_VALUE"""),5214.85)</f>
        <v>5214.85</v>
      </c>
      <c r="C2970" s="3">
        <f>IFERROR(__xludf.DUMMYFUNCTION("""COMPUTED_VALUE"""),5234.55)</f>
        <v>5234.55</v>
      </c>
      <c r="D2970" s="3">
        <f>IFERROR(__xludf.DUMMYFUNCTION("""COMPUTED_VALUE"""),5154.05)</f>
        <v>5154.05</v>
      </c>
      <c r="E2970" s="3">
        <f>IFERROR(__xludf.DUMMYFUNCTION("""COMPUTED_VALUE"""),5229.0)</f>
        <v>5229</v>
      </c>
      <c r="F2970" s="3">
        <f>IFERROR(__xludf.DUMMYFUNCTION("""COMPUTED_VALUE"""),0.0)</f>
        <v>0</v>
      </c>
    </row>
    <row r="2971">
      <c r="A2971" s="7">
        <f>IFERROR(__xludf.DUMMYFUNCTION("""COMPUTED_VALUE"""),41122.645833333336)</f>
        <v>41122.64583</v>
      </c>
      <c r="B2971" s="3">
        <f>IFERROR(__xludf.DUMMYFUNCTION("""COMPUTED_VALUE"""),5220.7)</f>
        <v>5220.7</v>
      </c>
      <c r="C2971" s="3">
        <f>IFERROR(__xludf.DUMMYFUNCTION("""COMPUTED_VALUE"""),5246.35)</f>
        <v>5246.35</v>
      </c>
      <c r="D2971" s="3">
        <f>IFERROR(__xludf.DUMMYFUNCTION("""COMPUTED_VALUE"""),5212.65)</f>
        <v>5212.65</v>
      </c>
      <c r="E2971" s="3">
        <f>IFERROR(__xludf.DUMMYFUNCTION("""COMPUTED_VALUE"""),5240.5)</f>
        <v>5240.5</v>
      </c>
      <c r="F2971" s="3">
        <f>IFERROR(__xludf.DUMMYFUNCTION("""COMPUTED_VALUE"""),0.0)</f>
        <v>0</v>
      </c>
    </row>
    <row r="2972">
      <c r="A2972" s="7">
        <f>IFERROR(__xludf.DUMMYFUNCTION("""COMPUTED_VALUE"""),41123.645833333336)</f>
        <v>41123.64583</v>
      </c>
      <c r="B2972" s="3">
        <f>IFERROR(__xludf.DUMMYFUNCTION("""COMPUTED_VALUE"""),5233.1)</f>
        <v>5233.1</v>
      </c>
      <c r="C2972" s="3">
        <f>IFERROR(__xludf.DUMMYFUNCTION("""COMPUTED_VALUE"""),5236.9)</f>
        <v>5236.9</v>
      </c>
      <c r="D2972" s="3">
        <f>IFERROR(__xludf.DUMMYFUNCTION("""COMPUTED_VALUE"""),5209.95)</f>
        <v>5209.95</v>
      </c>
      <c r="E2972" s="3">
        <f>IFERROR(__xludf.DUMMYFUNCTION("""COMPUTED_VALUE"""),5227.75)</f>
        <v>5227.75</v>
      </c>
      <c r="F2972" s="3">
        <f>IFERROR(__xludf.DUMMYFUNCTION("""COMPUTED_VALUE"""),0.0)</f>
        <v>0</v>
      </c>
    </row>
    <row r="2973">
      <c r="A2973" s="7">
        <f>IFERROR(__xludf.DUMMYFUNCTION("""COMPUTED_VALUE"""),41124.645833333336)</f>
        <v>41124.64583</v>
      </c>
      <c r="B2973" s="3">
        <f>IFERROR(__xludf.DUMMYFUNCTION("""COMPUTED_VALUE"""),5195.6)</f>
        <v>5195.6</v>
      </c>
      <c r="C2973" s="3">
        <f>IFERROR(__xludf.DUMMYFUNCTION("""COMPUTED_VALUE"""),5220.2)</f>
        <v>5220.2</v>
      </c>
      <c r="D2973" s="3">
        <f>IFERROR(__xludf.DUMMYFUNCTION("""COMPUTED_VALUE"""),5164.65)</f>
        <v>5164.65</v>
      </c>
      <c r="E2973" s="3">
        <f>IFERROR(__xludf.DUMMYFUNCTION("""COMPUTED_VALUE"""),5215.7)</f>
        <v>5215.7</v>
      </c>
      <c r="F2973" s="3">
        <f>IFERROR(__xludf.DUMMYFUNCTION("""COMPUTED_VALUE"""),0.0)</f>
        <v>0</v>
      </c>
    </row>
    <row r="2974">
      <c r="A2974" s="7">
        <f>IFERROR(__xludf.DUMMYFUNCTION("""COMPUTED_VALUE"""),41127.645833333336)</f>
        <v>41127.64583</v>
      </c>
      <c r="B2974" s="3">
        <f>IFERROR(__xludf.DUMMYFUNCTION("""COMPUTED_VALUE"""),5260.85)</f>
        <v>5260.85</v>
      </c>
      <c r="C2974" s="3">
        <f>IFERROR(__xludf.DUMMYFUNCTION("""COMPUTED_VALUE"""),5293.2)</f>
        <v>5293.2</v>
      </c>
      <c r="D2974" s="3">
        <f>IFERROR(__xludf.DUMMYFUNCTION("""COMPUTED_VALUE"""),5260.85)</f>
        <v>5260.85</v>
      </c>
      <c r="E2974" s="3">
        <f>IFERROR(__xludf.DUMMYFUNCTION("""COMPUTED_VALUE"""),5282.55)</f>
        <v>5282.55</v>
      </c>
      <c r="F2974" s="3">
        <f>IFERROR(__xludf.DUMMYFUNCTION("""COMPUTED_VALUE"""),0.0)</f>
        <v>0</v>
      </c>
    </row>
    <row r="2975">
      <c r="A2975" s="7">
        <f>IFERROR(__xludf.DUMMYFUNCTION("""COMPUTED_VALUE"""),41128.645833333336)</f>
        <v>41128.64583</v>
      </c>
      <c r="B2975" s="3">
        <f>IFERROR(__xludf.DUMMYFUNCTION("""COMPUTED_VALUE"""),5295.4)</f>
        <v>5295.4</v>
      </c>
      <c r="C2975" s="3">
        <f>IFERROR(__xludf.DUMMYFUNCTION("""COMPUTED_VALUE"""),5350.1)</f>
        <v>5350.1</v>
      </c>
      <c r="D2975" s="3">
        <f>IFERROR(__xludf.DUMMYFUNCTION("""COMPUTED_VALUE"""),5281.65)</f>
        <v>5281.65</v>
      </c>
      <c r="E2975" s="3">
        <f>IFERROR(__xludf.DUMMYFUNCTION("""COMPUTED_VALUE"""),5336.7)</f>
        <v>5336.7</v>
      </c>
      <c r="F2975" s="3">
        <f>IFERROR(__xludf.DUMMYFUNCTION("""COMPUTED_VALUE"""),0.0)</f>
        <v>0</v>
      </c>
    </row>
    <row r="2976">
      <c r="A2976" s="7">
        <f>IFERROR(__xludf.DUMMYFUNCTION("""COMPUTED_VALUE"""),41129.645833333336)</f>
        <v>41129.64583</v>
      </c>
      <c r="B2976" s="3">
        <f>IFERROR(__xludf.DUMMYFUNCTION("""COMPUTED_VALUE"""),5345.25)</f>
        <v>5345.25</v>
      </c>
      <c r="C2976" s="3">
        <f>IFERROR(__xludf.DUMMYFUNCTION("""COMPUTED_VALUE"""),5377.6)</f>
        <v>5377.6</v>
      </c>
      <c r="D2976" s="3">
        <f>IFERROR(__xludf.DUMMYFUNCTION("""COMPUTED_VALUE"""),5331.05)</f>
        <v>5331.05</v>
      </c>
      <c r="E2976" s="3">
        <f>IFERROR(__xludf.DUMMYFUNCTION("""COMPUTED_VALUE"""),5338.0)</f>
        <v>5338</v>
      </c>
      <c r="F2976" s="3">
        <f>IFERROR(__xludf.DUMMYFUNCTION("""COMPUTED_VALUE"""),0.0)</f>
        <v>0</v>
      </c>
    </row>
    <row r="2977">
      <c r="A2977" s="7">
        <f>IFERROR(__xludf.DUMMYFUNCTION("""COMPUTED_VALUE"""),41130.645833333336)</f>
        <v>41130.64583</v>
      </c>
      <c r="B2977" s="3">
        <f>IFERROR(__xludf.DUMMYFUNCTION("""COMPUTED_VALUE"""),5348.3)</f>
        <v>5348.3</v>
      </c>
      <c r="C2977" s="3">
        <f>IFERROR(__xludf.DUMMYFUNCTION("""COMPUTED_VALUE"""),5368.2)</f>
        <v>5368.2</v>
      </c>
      <c r="D2977" s="3">
        <f>IFERROR(__xludf.DUMMYFUNCTION("""COMPUTED_VALUE"""),5312.1)</f>
        <v>5312.1</v>
      </c>
      <c r="E2977" s="3">
        <f>IFERROR(__xludf.DUMMYFUNCTION("""COMPUTED_VALUE"""),5322.95)</f>
        <v>5322.95</v>
      </c>
      <c r="F2977" s="3">
        <f>IFERROR(__xludf.DUMMYFUNCTION("""COMPUTED_VALUE"""),0.0)</f>
        <v>0</v>
      </c>
    </row>
    <row r="2978">
      <c r="A2978" s="7">
        <f>IFERROR(__xludf.DUMMYFUNCTION("""COMPUTED_VALUE"""),41131.645833333336)</f>
        <v>41131.64583</v>
      </c>
      <c r="B2978" s="3">
        <f>IFERROR(__xludf.DUMMYFUNCTION("""COMPUTED_VALUE"""),5308.2)</f>
        <v>5308.2</v>
      </c>
      <c r="C2978" s="3">
        <f>IFERROR(__xludf.DUMMYFUNCTION("""COMPUTED_VALUE"""),5330.1)</f>
        <v>5330.1</v>
      </c>
      <c r="D2978" s="3">
        <f>IFERROR(__xludf.DUMMYFUNCTION("""COMPUTED_VALUE"""),5294.1)</f>
        <v>5294.1</v>
      </c>
      <c r="E2978" s="3">
        <f>IFERROR(__xludf.DUMMYFUNCTION("""COMPUTED_VALUE"""),5320.4)</f>
        <v>5320.4</v>
      </c>
      <c r="F2978" s="3">
        <f>IFERROR(__xludf.DUMMYFUNCTION("""COMPUTED_VALUE"""),0.0)</f>
        <v>0</v>
      </c>
    </row>
    <row r="2979">
      <c r="A2979" s="7">
        <f>IFERROR(__xludf.DUMMYFUNCTION("""COMPUTED_VALUE"""),41134.645833333336)</f>
        <v>41134.64583</v>
      </c>
      <c r="B2979" s="3">
        <f>IFERROR(__xludf.DUMMYFUNCTION("""COMPUTED_VALUE"""),5316.35)</f>
        <v>5316.35</v>
      </c>
      <c r="C2979" s="3">
        <f>IFERROR(__xludf.DUMMYFUNCTION("""COMPUTED_VALUE"""),5352.45)</f>
        <v>5352.45</v>
      </c>
      <c r="D2979" s="3">
        <f>IFERROR(__xludf.DUMMYFUNCTION("""COMPUTED_VALUE"""),5309.05)</f>
        <v>5309.05</v>
      </c>
      <c r="E2979" s="3">
        <f>IFERROR(__xludf.DUMMYFUNCTION("""COMPUTED_VALUE"""),5347.9)</f>
        <v>5347.9</v>
      </c>
      <c r="F2979" s="3">
        <f>IFERROR(__xludf.DUMMYFUNCTION("""COMPUTED_VALUE"""),0.0)</f>
        <v>0</v>
      </c>
    </row>
    <row r="2980">
      <c r="A2980" s="7">
        <f>IFERROR(__xludf.DUMMYFUNCTION("""COMPUTED_VALUE"""),41135.645833333336)</f>
        <v>41135.64583</v>
      </c>
      <c r="B2980" s="3">
        <f>IFERROR(__xludf.DUMMYFUNCTION("""COMPUTED_VALUE"""),5343.25)</f>
        <v>5343.25</v>
      </c>
      <c r="C2980" s="3">
        <f>IFERROR(__xludf.DUMMYFUNCTION("""COMPUTED_VALUE"""),5387.05)</f>
        <v>5387.05</v>
      </c>
      <c r="D2980" s="3">
        <f>IFERROR(__xludf.DUMMYFUNCTION("""COMPUTED_VALUE"""),5328.8)</f>
        <v>5328.8</v>
      </c>
      <c r="E2980" s="3">
        <f>IFERROR(__xludf.DUMMYFUNCTION("""COMPUTED_VALUE"""),5380.35)</f>
        <v>5380.35</v>
      </c>
      <c r="F2980" s="3">
        <f>IFERROR(__xludf.DUMMYFUNCTION("""COMPUTED_VALUE"""),0.0)</f>
        <v>0</v>
      </c>
    </row>
    <row r="2981">
      <c r="A2981" s="7">
        <f>IFERROR(__xludf.DUMMYFUNCTION("""COMPUTED_VALUE"""),41137.645833333336)</f>
        <v>41137.64583</v>
      </c>
      <c r="B2981" s="3">
        <f>IFERROR(__xludf.DUMMYFUNCTION("""COMPUTED_VALUE"""),5385.95)</f>
        <v>5385.95</v>
      </c>
      <c r="C2981" s="3">
        <f>IFERROR(__xludf.DUMMYFUNCTION("""COMPUTED_VALUE"""),5390.65)</f>
        <v>5390.65</v>
      </c>
      <c r="D2981" s="3">
        <f>IFERROR(__xludf.DUMMYFUNCTION("""COMPUTED_VALUE"""),5356.65)</f>
        <v>5356.65</v>
      </c>
      <c r="E2981" s="3">
        <f>IFERROR(__xludf.DUMMYFUNCTION("""COMPUTED_VALUE"""),5362.95)</f>
        <v>5362.95</v>
      </c>
      <c r="F2981" s="3">
        <f>IFERROR(__xludf.DUMMYFUNCTION("""COMPUTED_VALUE"""),0.0)</f>
        <v>0</v>
      </c>
    </row>
    <row r="2982">
      <c r="A2982" s="7">
        <f>IFERROR(__xludf.DUMMYFUNCTION("""COMPUTED_VALUE"""),41138.645833333336)</f>
        <v>41138.64583</v>
      </c>
      <c r="B2982" s="3">
        <f>IFERROR(__xludf.DUMMYFUNCTION("""COMPUTED_VALUE"""),5368.6)</f>
        <v>5368.6</v>
      </c>
      <c r="C2982" s="3">
        <f>IFERROR(__xludf.DUMMYFUNCTION("""COMPUTED_VALUE"""),5399.95)</f>
        <v>5399.95</v>
      </c>
      <c r="D2982" s="3">
        <f>IFERROR(__xludf.DUMMYFUNCTION("""COMPUTED_VALUE"""),5341.7)</f>
        <v>5341.7</v>
      </c>
      <c r="E2982" s="3">
        <f>IFERROR(__xludf.DUMMYFUNCTION("""COMPUTED_VALUE"""),5366.3)</f>
        <v>5366.3</v>
      </c>
      <c r="F2982" s="3">
        <f>IFERROR(__xludf.DUMMYFUNCTION("""COMPUTED_VALUE"""),0.0)</f>
        <v>0</v>
      </c>
    </row>
    <row r="2983">
      <c r="A2983" s="7">
        <f>IFERROR(__xludf.DUMMYFUNCTION("""COMPUTED_VALUE"""),41142.645833333336)</f>
        <v>41142.64583</v>
      </c>
      <c r="B2983" s="3">
        <f>IFERROR(__xludf.DUMMYFUNCTION("""COMPUTED_VALUE"""),5368.7)</f>
        <v>5368.7</v>
      </c>
      <c r="C2983" s="3">
        <f>IFERROR(__xludf.DUMMYFUNCTION("""COMPUTED_VALUE"""),5425.15)</f>
        <v>5425.15</v>
      </c>
      <c r="D2983" s="3">
        <f>IFERROR(__xludf.DUMMYFUNCTION("""COMPUTED_VALUE"""),5368.7)</f>
        <v>5368.7</v>
      </c>
      <c r="E2983" s="3">
        <f>IFERROR(__xludf.DUMMYFUNCTION("""COMPUTED_VALUE"""),5421.0)</f>
        <v>5421</v>
      </c>
      <c r="F2983" s="3">
        <f>IFERROR(__xludf.DUMMYFUNCTION("""COMPUTED_VALUE"""),0.0)</f>
        <v>0</v>
      </c>
    </row>
    <row r="2984">
      <c r="A2984" s="7">
        <f>IFERROR(__xludf.DUMMYFUNCTION("""COMPUTED_VALUE"""),41143.645833333336)</f>
        <v>41143.64583</v>
      </c>
      <c r="B2984" s="3">
        <f>IFERROR(__xludf.DUMMYFUNCTION("""COMPUTED_VALUE"""),5395.75)</f>
        <v>5395.75</v>
      </c>
      <c r="C2984" s="3">
        <f>IFERROR(__xludf.DUMMYFUNCTION("""COMPUTED_VALUE"""),5433.35)</f>
        <v>5433.35</v>
      </c>
      <c r="D2984" s="3">
        <f>IFERROR(__xludf.DUMMYFUNCTION("""COMPUTED_VALUE"""),5394.8)</f>
        <v>5394.8</v>
      </c>
      <c r="E2984" s="3">
        <f>IFERROR(__xludf.DUMMYFUNCTION("""COMPUTED_VALUE"""),5412.85)</f>
        <v>5412.85</v>
      </c>
      <c r="F2984" s="3">
        <f>IFERROR(__xludf.DUMMYFUNCTION("""COMPUTED_VALUE"""),0.0)</f>
        <v>0</v>
      </c>
    </row>
    <row r="2985">
      <c r="A2985" s="7">
        <f>IFERROR(__xludf.DUMMYFUNCTION("""COMPUTED_VALUE"""),41144.645833333336)</f>
        <v>41144.64583</v>
      </c>
      <c r="B2985" s="3">
        <f>IFERROR(__xludf.DUMMYFUNCTION("""COMPUTED_VALUE"""),5426.15)</f>
        <v>5426.15</v>
      </c>
      <c r="C2985" s="3">
        <f>IFERROR(__xludf.DUMMYFUNCTION("""COMPUTED_VALUE"""),5448.6)</f>
        <v>5448.6</v>
      </c>
      <c r="D2985" s="3">
        <f>IFERROR(__xludf.DUMMYFUNCTION("""COMPUTED_VALUE"""),5393.85)</f>
        <v>5393.85</v>
      </c>
      <c r="E2985" s="3">
        <f>IFERROR(__xludf.DUMMYFUNCTION("""COMPUTED_VALUE"""),5415.35)</f>
        <v>5415.35</v>
      </c>
      <c r="F2985" s="3">
        <f>IFERROR(__xludf.DUMMYFUNCTION("""COMPUTED_VALUE"""),0.0)</f>
        <v>0</v>
      </c>
    </row>
    <row r="2986">
      <c r="A2986" s="7">
        <f>IFERROR(__xludf.DUMMYFUNCTION("""COMPUTED_VALUE"""),41145.645833333336)</f>
        <v>41145.64583</v>
      </c>
      <c r="B2986" s="3">
        <f>IFERROR(__xludf.DUMMYFUNCTION("""COMPUTED_VALUE"""),5392.6)</f>
        <v>5392.6</v>
      </c>
      <c r="C2986" s="3">
        <f>IFERROR(__xludf.DUMMYFUNCTION("""COMPUTED_VALUE"""),5399.65)</f>
        <v>5399.65</v>
      </c>
      <c r="D2986" s="3">
        <f>IFERROR(__xludf.DUMMYFUNCTION("""COMPUTED_VALUE"""),5371.0)</f>
        <v>5371</v>
      </c>
      <c r="E2986" s="3">
        <f>IFERROR(__xludf.DUMMYFUNCTION("""COMPUTED_VALUE"""),5386.7)</f>
        <v>5386.7</v>
      </c>
      <c r="F2986" s="3">
        <f>IFERROR(__xludf.DUMMYFUNCTION("""COMPUTED_VALUE"""),0.0)</f>
        <v>0</v>
      </c>
    </row>
    <row r="2987">
      <c r="A2987" s="7">
        <f>IFERROR(__xludf.DUMMYFUNCTION("""COMPUTED_VALUE"""),41148.645833333336)</f>
        <v>41148.64583</v>
      </c>
      <c r="B2987" s="3">
        <f>IFERROR(__xludf.DUMMYFUNCTION("""COMPUTED_VALUE"""),5387.85)</f>
        <v>5387.85</v>
      </c>
      <c r="C2987" s="3">
        <f>IFERROR(__xludf.DUMMYFUNCTION("""COMPUTED_VALUE"""),5399.15)</f>
        <v>5399.15</v>
      </c>
      <c r="D2987" s="3">
        <f>IFERROR(__xludf.DUMMYFUNCTION("""COMPUTED_VALUE"""),5346.65)</f>
        <v>5346.65</v>
      </c>
      <c r="E2987" s="3">
        <f>IFERROR(__xludf.DUMMYFUNCTION("""COMPUTED_VALUE"""),5350.25)</f>
        <v>5350.25</v>
      </c>
      <c r="F2987" s="3">
        <f>IFERROR(__xludf.DUMMYFUNCTION("""COMPUTED_VALUE"""),0.0)</f>
        <v>0</v>
      </c>
    </row>
    <row r="2988">
      <c r="A2988" s="7">
        <f>IFERROR(__xludf.DUMMYFUNCTION("""COMPUTED_VALUE"""),41149.645833333336)</f>
        <v>41149.64583</v>
      </c>
      <c r="B2988" s="3">
        <f>IFERROR(__xludf.DUMMYFUNCTION("""COMPUTED_VALUE"""),5348.05)</f>
        <v>5348.05</v>
      </c>
      <c r="C2988" s="3">
        <f>IFERROR(__xludf.DUMMYFUNCTION("""COMPUTED_VALUE"""),5359.25)</f>
        <v>5359.25</v>
      </c>
      <c r="D2988" s="3">
        <f>IFERROR(__xludf.DUMMYFUNCTION("""COMPUTED_VALUE"""),5312.6)</f>
        <v>5312.6</v>
      </c>
      <c r="E2988" s="3">
        <f>IFERROR(__xludf.DUMMYFUNCTION("""COMPUTED_VALUE"""),5334.6)</f>
        <v>5334.6</v>
      </c>
      <c r="F2988" s="3">
        <f>IFERROR(__xludf.DUMMYFUNCTION("""COMPUTED_VALUE"""),0.0)</f>
        <v>0</v>
      </c>
    </row>
    <row r="2989">
      <c r="A2989" s="7">
        <f>IFERROR(__xludf.DUMMYFUNCTION("""COMPUTED_VALUE"""),41150.645833333336)</f>
        <v>41150.64583</v>
      </c>
      <c r="B2989" s="3">
        <f>IFERROR(__xludf.DUMMYFUNCTION("""COMPUTED_VALUE"""),5343.85)</f>
        <v>5343.85</v>
      </c>
      <c r="C2989" s="3">
        <f>IFERROR(__xludf.DUMMYFUNCTION("""COMPUTED_VALUE"""),5345.5)</f>
        <v>5345.5</v>
      </c>
      <c r="D2989" s="3">
        <f>IFERROR(__xludf.DUMMYFUNCTION("""COMPUTED_VALUE"""),5282.7)</f>
        <v>5282.7</v>
      </c>
      <c r="E2989" s="3">
        <f>IFERROR(__xludf.DUMMYFUNCTION("""COMPUTED_VALUE"""),5287.8)</f>
        <v>5287.8</v>
      </c>
      <c r="F2989" s="3">
        <f>IFERROR(__xludf.DUMMYFUNCTION("""COMPUTED_VALUE"""),0.0)</f>
        <v>0</v>
      </c>
    </row>
    <row r="2990">
      <c r="A2990" s="7">
        <f>IFERROR(__xludf.DUMMYFUNCTION("""COMPUTED_VALUE"""),41151.645833333336)</f>
        <v>41151.64583</v>
      </c>
      <c r="B2990" s="3">
        <f>IFERROR(__xludf.DUMMYFUNCTION("""COMPUTED_VALUE"""),5268.6)</f>
        <v>5268.6</v>
      </c>
      <c r="C2990" s="3">
        <f>IFERROR(__xludf.DUMMYFUNCTION("""COMPUTED_VALUE"""),5342.8)</f>
        <v>5342.8</v>
      </c>
      <c r="D2990" s="3">
        <f>IFERROR(__xludf.DUMMYFUNCTION("""COMPUTED_VALUE"""),5255.05)</f>
        <v>5255.05</v>
      </c>
      <c r="E2990" s="3">
        <f>IFERROR(__xludf.DUMMYFUNCTION("""COMPUTED_VALUE"""),5315.05)</f>
        <v>5315.05</v>
      </c>
      <c r="F2990" s="3">
        <f>IFERROR(__xludf.DUMMYFUNCTION("""COMPUTED_VALUE"""),0.0)</f>
        <v>0</v>
      </c>
    </row>
    <row r="2991">
      <c r="A2991" s="7">
        <f>IFERROR(__xludf.DUMMYFUNCTION("""COMPUTED_VALUE"""),41152.645833333336)</f>
        <v>41152.64583</v>
      </c>
      <c r="B2991" s="3">
        <f>IFERROR(__xludf.DUMMYFUNCTION("""COMPUTED_VALUE"""),5298.2)</f>
        <v>5298.2</v>
      </c>
      <c r="C2991" s="3">
        <f>IFERROR(__xludf.DUMMYFUNCTION("""COMPUTED_VALUE"""),5303.25)</f>
        <v>5303.25</v>
      </c>
      <c r="D2991" s="3">
        <f>IFERROR(__xludf.DUMMYFUNCTION("""COMPUTED_VALUE"""),5238.9)</f>
        <v>5238.9</v>
      </c>
      <c r="E2991" s="3">
        <f>IFERROR(__xludf.DUMMYFUNCTION("""COMPUTED_VALUE"""),5258.5)</f>
        <v>5258.5</v>
      </c>
      <c r="F2991" s="3">
        <f>IFERROR(__xludf.DUMMYFUNCTION("""COMPUTED_VALUE"""),0.0)</f>
        <v>0</v>
      </c>
    </row>
    <row r="2992">
      <c r="A2992" s="7">
        <f>IFERROR(__xludf.DUMMYFUNCTION("""COMPUTED_VALUE"""),41155.645833333336)</f>
        <v>41155.64583</v>
      </c>
      <c r="B2992" s="3">
        <f>IFERROR(__xludf.DUMMYFUNCTION("""COMPUTED_VALUE"""),5276.5)</f>
        <v>5276.5</v>
      </c>
      <c r="C2992" s="3">
        <f>IFERROR(__xludf.DUMMYFUNCTION("""COMPUTED_VALUE"""),5295.8)</f>
        <v>5295.8</v>
      </c>
      <c r="D2992" s="3">
        <f>IFERROR(__xludf.DUMMYFUNCTION("""COMPUTED_VALUE"""),5243.15)</f>
        <v>5243.15</v>
      </c>
      <c r="E2992" s="3">
        <f>IFERROR(__xludf.DUMMYFUNCTION("""COMPUTED_VALUE"""),5253.75)</f>
        <v>5253.75</v>
      </c>
      <c r="F2992" s="3">
        <f>IFERROR(__xludf.DUMMYFUNCTION("""COMPUTED_VALUE"""),0.0)</f>
        <v>0</v>
      </c>
    </row>
    <row r="2993">
      <c r="A2993" s="7">
        <f>IFERROR(__xludf.DUMMYFUNCTION("""COMPUTED_VALUE"""),41156.645833333336)</f>
        <v>41156.64583</v>
      </c>
      <c r="B2993" s="3">
        <f>IFERROR(__xludf.DUMMYFUNCTION("""COMPUTED_VALUE"""),5249.15)</f>
        <v>5249.15</v>
      </c>
      <c r="C2993" s="3">
        <f>IFERROR(__xludf.DUMMYFUNCTION("""COMPUTED_VALUE"""),5278.35)</f>
        <v>5278.35</v>
      </c>
      <c r="D2993" s="3">
        <f>IFERROR(__xludf.DUMMYFUNCTION("""COMPUTED_VALUE"""),5233.2)</f>
        <v>5233.2</v>
      </c>
      <c r="E2993" s="3">
        <f>IFERROR(__xludf.DUMMYFUNCTION("""COMPUTED_VALUE"""),5274.0)</f>
        <v>5274</v>
      </c>
      <c r="F2993" s="3">
        <f>IFERROR(__xludf.DUMMYFUNCTION("""COMPUTED_VALUE"""),0.0)</f>
        <v>0</v>
      </c>
    </row>
    <row r="2994">
      <c r="A2994" s="7">
        <f>IFERROR(__xludf.DUMMYFUNCTION("""COMPUTED_VALUE"""),41157.645833333336)</f>
        <v>41157.64583</v>
      </c>
      <c r="B2994" s="3">
        <f>IFERROR(__xludf.DUMMYFUNCTION("""COMPUTED_VALUE"""),5243.9)</f>
        <v>5243.9</v>
      </c>
      <c r="C2994" s="3">
        <f>IFERROR(__xludf.DUMMYFUNCTION("""COMPUTED_VALUE"""),5259.5)</f>
        <v>5259.5</v>
      </c>
      <c r="D2994" s="3">
        <f>IFERROR(__xludf.DUMMYFUNCTION("""COMPUTED_VALUE"""),5215.7)</f>
        <v>5215.7</v>
      </c>
      <c r="E2994" s="3">
        <f>IFERROR(__xludf.DUMMYFUNCTION("""COMPUTED_VALUE"""),5225.7)</f>
        <v>5225.7</v>
      </c>
      <c r="F2994" s="3">
        <f>IFERROR(__xludf.DUMMYFUNCTION("""COMPUTED_VALUE"""),0.0)</f>
        <v>0</v>
      </c>
    </row>
    <row r="2995">
      <c r="A2995" s="7">
        <f>IFERROR(__xludf.DUMMYFUNCTION("""COMPUTED_VALUE"""),41158.645833333336)</f>
        <v>41158.64583</v>
      </c>
      <c r="B2995" s="3">
        <f>IFERROR(__xludf.DUMMYFUNCTION("""COMPUTED_VALUE"""),5217.65)</f>
        <v>5217.65</v>
      </c>
      <c r="C2995" s="3">
        <f>IFERROR(__xludf.DUMMYFUNCTION("""COMPUTED_VALUE"""),5260.6)</f>
        <v>5260.6</v>
      </c>
      <c r="D2995" s="3">
        <f>IFERROR(__xludf.DUMMYFUNCTION("""COMPUTED_VALUE"""),5217.65)</f>
        <v>5217.65</v>
      </c>
      <c r="E2995" s="3">
        <f>IFERROR(__xludf.DUMMYFUNCTION("""COMPUTED_VALUE"""),5238.4)</f>
        <v>5238.4</v>
      </c>
      <c r="F2995" s="3">
        <f>IFERROR(__xludf.DUMMYFUNCTION("""COMPUTED_VALUE"""),0.0)</f>
        <v>0</v>
      </c>
    </row>
    <row r="2996">
      <c r="A2996" s="7">
        <f>IFERROR(__xludf.DUMMYFUNCTION("""COMPUTED_VALUE"""),41159.645833333336)</f>
        <v>41159.64583</v>
      </c>
      <c r="B2996" s="3">
        <f>IFERROR(__xludf.DUMMYFUNCTION("""COMPUTED_VALUE"""),5309.45)</f>
        <v>5309.45</v>
      </c>
      <c r="C2996" s="3">
        <f>IFERROR(__xludf.DUMMYFUNCTION("""COMPUTED_VALUE"""),5347.15)</f>
        <v>5347.15</v>
      </c>
      <c r="D2996" s="3">
        <f>IFERROR(__xludf.DUMMYFUNCTION("""COMPUTED_VALUE"""),5309.2)</f>
        <v>5309.2</v>
      </c>
      <c r="E2996" s="3">
        <f>IFERROR(__xludf.DUMMYFUNCTION("""COMPUTED_VALUE"""),5342.1)</f>
        <v>5342.1</v>
      </c>
      <c r="F2996" s="3">
        <f>IFERROR(__xludf.DUMMYFUNCTION("""COMPUTED_VALUE"""),0.0)</f>
        <v>0</v>
      </c>
    </row>
    <row r="2997">
      <c r="A2997" s="7">
        <f>IFERROR(__xludf.DUMMYFUNCTION("""COMPUTED_VALUE"""),41162.645833333336)</f>
        <v>41162.64583</v>
      </c>
      <c r="B2997" s="3">
        <f>IFERROR(__xludf.DUMMYFUNCTION("""COMPUTED_VALUE"""),5361.9)</f>
        <v>5361.9</v>
      </c>
      <c r="C2997" s="3">
        <f>IFERROR(__xludf.DUMMYFUNCTION("""COMPUTED_VALUE"""),5375.45)</f>
        <v>5375.45</v>
      </c>
      <c r="D2997" s="3">
        <f>IFERROR(__xludf.DUMMYFUNCTION("""COMPUTED_VALUE"""),5349.1)</f>
        <v>5349.1</v>
      </c>
      <c r="E2997" s="3">
        <f>IFERROR(__xludf.DUMMYFUNCTION("""COMPUTED_VALUE"""),5363.45)</f>
        <v>5363.45</v>
      </c>
      <c r="F2997" s="3">
        <f>IFERROR(__xludf.DUMMYFUNCTION("""COMPUTED_VALUE"""),0.0)</f>
        <v>0</v>
      </c>
    </row>
    <row r="2998">
      <c r="A2998" s="7">
        <f>IFERROR(__xludf.DUMMYFUNCTION("""COMPUTED_VALUE"""),41163.645833333336)</f>
        <v>41163.64583</v>
      </c>
      <c r="B2998" s="3">
        <f>IFERROR(__xludf.DUMMYFUNCTION("""COMPUTED_VALUE"""),5336.1)</f>
        <v>5336.1</v>
      </c>
      <c r="C2998" s="3">
        <f>IFERROR(__xludf.DUMMYFUNCTION("""COMPUTED_VALUE"""),5393.35)</f>
        <v>5393.35</v>
      </c>
      <c r="D2998" s="3">
        <f>IFERROR(__xludf.DUMMYFUNCTION("""COMPUTED_VALUE"""),5332.1)</f>
        <v>5332.1</v>
      </c>
      <c r="E2998" s="3">
        <f>IFERROR(__xludf.DUMMYFUNCTION("""COMPUTED_VALUE"""),5390.0)</f>
        <v>5390</v>
      </c>
      <c r="F2998" s="3">
        <f>IFERROR(__xludf.DUMMYFUNCTION("""COMPUTED_VALUE"""),0.0)</f>
        <v>0</v>
      </c>
    </row>
    <row r="2999">
      <c r="A2999" s="7">
        <f>IFERROR(__xludf.DUMMYFUNCTION("""COMPUTED_VALUE"""),41164.645833333336)</f>
        <v>41164.64583</v>
      </c>
      <c r="B2999" s="3">
        <f>IFERROR(__xludf.DUMMYFUNCTION("""COMPUTED_VALUE"""),5404.45)</f>
        <v>5404.45</v>
      </c>
      <c r="C2999" s="3">
        <f>IFERROR(__xludf.DUMMYFUNCTION("""COMPUTED_VALUE"""),5435.55)</f>
        <v>5435.55</v>
      </c>
      <c r="D2999" s="3">
        <f>IFERROR(__xludf.DUMMYFUNCTION("""COMPUTED_VALUE"""),5393.95)</f>
        <v>5393.95</v>
      </c>
      <c r="E2999" s="3">
        <f>IFERROR(__xludf.DUMMYFUNCTION("""COMPUTED_VALUE"""),5431.0)</f>
        <v>5431</v>
      </c>
      <c r="F2999" s="3">
        <f>IFERROR(__xludf.DUMMYFUNCTION("""COMPUTED_VALUE"""),0.0)</f>
        <v>0</v>
      </c>
    </row>
    <row r="3000">
      <c r="A3000" s="7">
        <f>IFERROR(__xludf.DUMMYFUNCTION("""COMPUTED_VALUE"""),41165.645833333336)</f>
        <v>41165.64583</v>
      </c>
      <c r="B3000" s="3">
        <f>IFERROR(__xludf.DUMMYFUNCTION("""COMPUTED_VALUE"""),5435.2)</f>
        <v>5435.2</v>
      </c>
      <c r="C3000" s="3">
        <f>IFERROR(__xludf.DUMMYFUNCTION("""COMPUTED_VALUE"""),5447.45)</f>
        <v>5447.45</v>
      </c>
      <c r="D3000" s="3">
        <f>IFERROR(__xludf.DUMMYFUNCTION("""COMPUTED_VALUE"""),5421.85)</f>
        <v>5421.85</v>
      </c>
      <c r="E3000" s="3">
        <f>IFERROR(__xludf.DUMMYFUNCTION("""COMPUTED_VALUE"""),5435.35)</f>
        <v>5435.35</v>
      </c>
      <c r="F3000" s="3">
        <f>IFERROR(__xludf.DUMMYFUNCTION("""COMPUTED_VALUE"""),0.0)</f>
        <v>0</v>
      </c>
    </row>
    <row r="3001">
      <c r="A3001" s="7">
        <f>IFERROR(__xludf.DUMMYFUNCTION("""COMPUTED_VALUE"""),41166.645833333336)</f>
        <v>41166.64583</v>
      </c>
      <c r="B3001" s="3">
        <f>IFERROR(__xludf.DUMMYFUNCTION("""COMPUTED_VALUE"""),5528.35)</f>
        <v>5528.35</v>
      </c>
      <c r="C3001" s="3">
        <f>IFERROR(__xludf.DUMMYFUNCTION("""COMPUTED_VALUE"""),5586.65)</f>
        <v>5586.65</v>
      </c>
      <c r="D3001" s="3">
        <f>IFERROR(__xludf.DUMMYFUNCTION("""COMPUTED_VALUE"""),5526.95)</f>
        <v>5526.95</v>
      </c>
      <c r="E3001" s="3">
        <f>IFERROR(__xludf.DUMMYFUNCTION("""COMPUTED_VALUE"""),5577.65)</f>
        <v>5577.65</v>
      </c>
      <c r="F3001" s="3">
        <f>IFERROR(__xludf.DUMMYFUNCTION("""COMPUTED_VALUE"""),0.0)</f>
        <v>0</v>
      </c>
    </row>
    <row r="3002">
      <c r="A3002" s="7">
        <f>IFERROR(__xludf.DUMMYFUNCTION("""COMPUTED_VALUE"""),41169.645833333336)</f>
        <v>41169.64583</v>
      </c>
      <c r="B3002" s="3">
        <f>IFERROR(__xludf.DUMMYFUNCTION("""COMPUTED_VALUE"""),5631.75)</f>
        <v>5631.75</v>
      </c>
      <c r="C3002" s="3">
        <f>IFERROR(__xludf.DUMMYFUNCTION("""COMPUTED_VALUE"""),5652.2)</f>
        <v>5652.2</v>
      </c>
      <c r="D3002" s="3">
        <f>IFERROR(__xludf.DUMMYFUNCTION("""COMPUTED_VALUE"""),5585.15)</f>
        <v>5585.15</v>
      </c>
      <c r="E3002" s="3">
        <f>IFERROR(__xludf.DUMMYFUNCTION("""COMPUTED_VALUE"""),5610.0)</f>
        <v>5610</v>
      </c>
      <c r="F3002" s="3">
        <f>IFERROR(__xludf.DUMMYFUNCTION("""COMPUTED_VALUE"""),0.0)</f>
        <v>0</v>
      </c>
    </row>
    <row r="3003">
      <c r="A3003" s="7">
        <f>IFERROR(__xludf.DUMMYFUNCTION("""COMPUTED_VALUE"""),41170.645833333336)</f>
        <v>41170.64583</v>
      </c>
      <c r="B3003" s="3">
        <f>IFERROR(__xludf.DUMMYFUNCTION("""COMPUTED_VALUE"""),5602.4)</f>
        <v>5602.4</v>
      </c>
      <c r="C3003" s="3">
        <f>IFERROR(__xludf.DUMMYFUNCTION("""COMPUTED_VALUE"""),5620.55)</f>
        <v>5620.55</v>
      </c>
      <c r="D3003" s="3">
        <f>IFERROR(__xludf.DUMMYFUNCTION("""COMPUTED_VALUE"""),5586.45)</f>
        <v>5586.45</v>
      </c>
      <c r="E3003" s="3">
        <f>IFERROR(__xludf.DUMMYFUNCTION("""COMPUTED_VALUE"""),5600.05)</f>
        <v>5600.05</v>
      </c>
      <c r="F3003" s="3">
        <f>IFERROR(__xludf.DUMMYFUNCTION("""COMPUTED_VALUE"""),0.0)</f>
        <v>0</v>
      </c>
    </row>
    <row r="3004">
      <c r="A3004" s="7">
        <f>IFERROR(__xludf.DUMMYFUNCTION("""COMPUTED_VALUE"""),41172.645833333336)</f>
        <v>41172.64583</v>
      </c>
      <c r="B3004" s="3">
        <f>IFERROR(__xludf.DUMMYFUNCTION("""COMPUTED_VALUE"""),5536.95)</f>
        <v>5536.95</v>
      </c>
      <c r="C3004" s="3">
        <f>IFERROR(__xludf.DUMMYFUNCTION("""COMPUTED_VALUE"""),5581.35)</f>
        <v>5581.35</v>
      </c>
      <c r="D3004" s="3">
        <f>IFERROR(__xludf.DUMMYFUNCTION("""COMPUTED_VALUE"""),5534.9)</f>
        <v>5534.9</v>
      </c>
      <c r="E3004" s="3">
        <f>IFERROR(__xludf.DUMMYFUNCTION("""COMPUTED_VALUE"""),5554.25)</f>
        <v>5554.25</v>
      </c>
      <c r="F3004" s="3">
        <f>IFERROR(__xludf.DUMMYFUNCTION("""COMPUTED_VALUE"""),0.0)</f>
        <v>0</v>
      </c>
    </row>
    <row r="3005">
      <c r="A3005" s="7">
        <f>IFERROR(__xludf.DUMMYFUNCTION("""COMPUTED_VALUE"""),41173.645833333336)</f>
        <v>41173.64583</v>
      </c>
      <c r="B3005" s="3">
        <f>IFERROR(__xludf.DUMMYFUNCTION("""COMPUTED_VALUE"""),5577.0)</f>
        <v>5577</v>
      </c>
      <c r="C3005" s="3">
        <f>IFERROR(__xludf.DUMMYFUNCTION("""COMPUTED_VALUE"""),5720.0)</f>
        <v>5720</v>
      </c>
      <c r="D3005" s="3">
        <f>IFERROR(__xludf.DUMMYFUNCTION("""COMPUTED_VALUE"""),5575.45)</f>
        <v>5575.45</v>
      </c>
      <c r="E3005" s="3">
        <f>IFERROR(__xludf.DUMMYFUNCTION("""COMPUTED_VALUE"""),5691.15)</f>
        <v>5691.15</v>
      </c>
      <c r="F3005" s="3">
        <f>IFERROR(__xludf.DUMMYFUNCTION("""COMPUTED_VALUE"""),0.0)</f>
        <v>0</v>
      </c>
    </row>
    <row r="3006">
      <c r="A3006" s="7">
        <f>IFERROR(__xludf.DUMMYFUNCTION("""COMPUTED_VALUE"""),41176.645833333336)</f>
        <v>41176.64583</v>
      </c>
      <c r="B3006" s="3">
        <f>IFERROR(__xludf.DUMMYFUNCTION("""COMPUTED_VALUE"""),5691.95)</f>
        <v>5691.95</v>
      </c>
      <c r="C3006" s="3">
        <f>IFERROR(__xludf.DUMMYFUNCTION("""COMPUTED_VALUE"""),5709.85)</f>
        <v>5709.85</v>
      </c>
      <c r="D3006" s="3">
        <f>IFERROR(__xludf.DUMMYFUNCTION("""COMPUTED_VALUE"""),5662.75)</f>
        <v>5662.75</v>
      </c>
      <c r="E3006" s="3">
        <f>IFERROR(__xludf.DUMMYFUNCTION("""COMPUTED_VALUE"""),5669.6)</f>
        <v>5669.6</v>
      </c>
      <c r="F3006" s="3">
        <f>IFERROR(__xludf.DUMMYFUNCTION("""COMPUTED_VALUE"""),0.0)</f>
        <v>0</v>
      </c>
    </row>
    <row r="3007">
      <c r="A3007" s="7">
        <f>IFERROR(__xludf.DUMMYFUNCTION("""COMPUTED_VALUE"""),41177.645833333336)</f>
        <v>41177.64583</v>
      </c>
      <c r="B3007" s="3">
        <f>IFERROR(__xludf.DUMMYFUNCTION("""COMPUTED_VALUE"""),5674.9)</f>
        <v>5674.9</v>
      </c>
      <c r="C3007" s="3">
        <f>IFERROR(__xludf.DUMMYFUNCTION("""COMPUTED_VALUE"""),5702.7)</f>
        <v>5702.7</v>
      </c>
      <c r="D3007" s="3">
        <f>IFERROR(__xludf.DUMMYFUNCTION("""COMPUTED_VALUE"""),5652.45)</f>
        <v>5652.45</v>
      </c>
      <c r="E3007" s="3">
        <f>IFERROR(__xludf.DUMMYFUNCTION("""COMPUTED_VALUE"""),5673.9)</f>
        <v>5673.9</v>
      </c>
      <c r="F3007" s="3">
        <f>IFERROR(__xludf.DUMMYFUNCTION("""COMPUTED_VALUE"""),0.0)</f>
        <v>0</v>
      </c>
    </row>
    <row r="3008">
      <c r="A3008" s="7">
        <f>IFERROR(__xludf.DUMMYFUNCTION("""COMPUTED_VALUE"""),41178.645833333336)</f>
        <v>41178.64583</v>
      </c>
      <c r="B3008" s="3">
        <f>IFERROR(__xludf.DUMMYFUNCTION("""COMPUTED_VALUE"""),5653.4)</f>
        <v>5653.4</v>
      </c>
      <c r="C3008" s="3">
        <f>IFERROR(__xludf.DUMMYFUNCTION("""COMPUTED_VALUE"""),5672.8)</f>
        <v>5672.8</v>
      </c>
      <c r="D3008" s="3">
        <f>IFERROR(__xludf.DUMMYFUNCTION("""COMPUTED_VALUE"""),5638.65)</f>
        <v>5638.65</v>
      </c>
      <c r="E3008" s="3">
        <f>IFERROR(__xludf.DUMMYFUNCTION("""COMPUTED_VALUE"""),5663.45)</f>
        <v>5663.45</v>
      </c>
      <c r="F3008" s="3">
        <f>IFERROR(__xludf.DUMMYFUNCTION("""COMPUTED_VALUE"""),0.0)</f>
        <v>0</v>
      </c>
    </row>
    <row r="3009">
      <c r="A3009" s="7">
        <f>IFERROR(__xludf.DUMMYFUNCTION("""COMPUTED_VALUE"""),41179.645833333336)</f>
        <v>41179.64583</v>
      </c>
      <c r="B3009" s="3">
        <f>IFERROR(__xludf.DUMMYFUNCTION("""COMPUTED_VALUE"""),5673.75)</f>
        <v>5673.75</v>
      </c>
      <c r="C3009" s="3">
        <f>IFERROR(__xludf.DUMMYFUNCTION("""COMPUTED_VALUE"""),5693.7)</f>
        <v>5693.7</v>
      </c>
      <c r="D3009" s="3">
        <f>IFERROR(__xludf.DUMMYFUNCTION("""COMPUTED_VALUE"""),5639.7)</f>
        <v>5639.7</v>
      </c>
      <c r="E3009" s="3">
        <f>IFERROR(__xludf.DUMMYFUNCTION("""COMPUTED_VALUE"""),5649.5)</f>
        <v>5649.5</v>
      </c>
      <c r="F3009" s="3">
        <f>IFERROR(__xludf.DUMMYFUNCTION("""COMPUTED_VALUE"""),0.0)</f>
        <v>0</v>
      </c>
    </row>
    <row r="3010">
      <c r="A3010" s="7">
        <f>IFERROR(__xludf.DUMMYFUNCTION("""COMPUTED_VALUE"""),41180.645833333336)</f>
        <v>41180.64583</v>
      </c>
      <c r="B3010" s="3">
        <f>IFERROR(__xludf.DUMMYFUNCTION("""COMPUTED_VALUE"""),5684.8)</f>
        <v>5684.8</v>
      </c>
      <c r="C3010" s="3">
        <f>IFERROR(__xludf.DUMMYFUNCTION("""COMPUTED_VALUE"""),5735.15)</f>
        <v>5735.15</v>
      </c>
      <c r="D3010" s="3">
        <f>IFERROR(__xludf.DUMMYFUNCTION("""COMPUTED_VALUE"""),5683.45)</f>
        <v>5683.45</v>
      </c>
      <c r="E3010" s="3">
        <f>IFERROR(__xludf.DUMMYFUNCTION("""COMPUTED_VALUE"""),5703.3)</f>
        <v>5703.3</v>
      </c>
      <c r="F3010" s="3">
        <f>IFERROR(__xludf.DUMMYFUNCTION("""COMPUTED_VALUE"""),0.0)</f>
        <v>0</v>
      </c>
    </row>
    <row r="3011">
      <c r="A3011" s="7">
        <f>IFERROR(__xludf.DUMMYFUNCTION("""COMPUTED_VALUE"""),41183.645833333336)</f>
        <v>41183.64583</v>
      </c>
      <c r="B3011" s="3">
        <f>IFERROR(__xludf.DUMMYFUNCTION("""COMPUTED_VALUE"""),5704.75)</f>
        <v>5704.75</v>
      </c>
      <c r="C3011" s="3">
        <f>IFERROR(__xludf.DUMMYFUNCTION("""COMPUTED_VALUE"""),5722.95)</f>
        <v>5722.95</v>
      </c>
      <c r="D3011" s="3">
        <f>IFERROR(__xludf.DUMMYFUNCTION("""COMPUTED_VALUE"""),5694.0)</f>
        <v>5694</v>
      </c>
      <c r="E3011" s="3">
        <f>IFERROR(__xludf.DUMMYFUNCTION("""COMPUTED_VALUE"""),5718.8)</f>
        <v>5718.8</v>
      </c>
      <c r="F3011" s="3">
        <f>IFERROR(__xludf.DUMMYFUNCTION("""COMPUTED_VALUE"""),0.0)</f>
        <v>0</v>
      </c>
    </row>
    <row r="3012">
      <c r="A3012" s="7">
        <f>IFERROR(__xludf.DUMMYFUNCTION("""COMPUTED_VALUE"""),41185.645833333336)</f>
        <v>41185.64583</v>
      </c>
      <c r="B3012" s="3">
        <f>IFERROR(__xludf.DUMMYFUNCTION("""COMPUTED_VALUE"""),5727.7)</f>
        <v>5727.7</v>
      </c>
      <c r="C3012" s="3">
        <f>IFERROR(__xludf.DUMMYFUNCTION("""COMPUTED_VALUE"""),5743.25)</f>
        <v>5743.25</v>
      </c>
      <c r="D3012" s="3">
        <f>IFERROR(__xludf.DUMMYFUNCTION("""COMPUTED_VALUE"""),5715.8)</f>
        <v>5715.8</v>
      </c>
      <c r="E3012" s="3">
        <f>IFERROR(__xludf.DUMMYFUNCTION("""COMPUTED_VALUE"""),5731.25)</f>
        <v>5731.25</v>
      </c>
      <c r="F3012" s="3">
        <f>IFERROR(__xludf.DUMMYFUNCTION("""COMPUTED_VALUE"""),0.0)</f>
        <v>0</v>
      </c>
    </row>
    <row r="3013">
      <c r="A3013" s="7">
        <f>IFERROR(__xludf.DUMMYFUNCTION("""COMPUTED_VALUE"""),41186.645833333336)</f>
        <v>41186.64583</v>
      </c>
      <c r="B3013" s="3">
        <f>IFERROR(__xludf.DUMMYFUNCTION("""COMPUTED_VALUE"""),5751.55)</f>
        <v>5751.55</v>
      </c>
      <c r="C3013" s="3">
        <f>IFERROR(__xludf.DUMMYFUNCTION("""COMPUTED_VALUE"""),5807.25)</f>
        <v>5807.25</v>
      </c>
      <c r="D3013" s="3">
        <f>IFERROR(__xludf.DUMMYFUNCTION("""COMPUTED_VALUE"""),5751.35)</f>
        <v>5751.35</v>
      </c>
      <c r="E3013" s="3">
        <f>IFERROR(__xludf.DUMMYFUNCTION("""COMPUTED_VALUE"""),5787.6)</f>
        <v>5787.6</v>
      </c>
      <c r="F3013" s="3">
        <f>IFERROR(__xludf.DUMMYFUNCTION("""COMPUTED_VALUE"""),0.0)</f>
        <v>0</v>
      </c>
    </row>
    <row r="3014">
      <c r="A3014" s="7">
        <f>IFERROR(__xludf.DUMMYFUNCTION("""COMPUTED_VALUE"""),41187.645833333336)</f>
        <v>41187.64583</v>
      </c>
      <c r="B3014" s="3">
        <f>IFERROR(__xludf.DUMMYFUNCTION("""COMPUTED_VALUE"""),5815.0)</f>
        <v>5815</v>
      </c>
      <c r="C3014" s="3">
        <f>IFERROR(__xludf.DUMMYFUNCTION("""COMPUTED_VALUE"""),5815.35)</f>
        <v>5815.35</v>
      </c>
      <c r="D3014" s="3">
        <f>IFERROR(__xludf.DUMMYFUNCTION("""COMPUTED_VALUE"""),4888.2)</f>
        <v>4888.2</v>
      </c>
      <c r="E3014" s="3">
        <f>IFERROR(__xludf.DUMMYFUNCTION("""COMPUTED_VALUE"""),5746.95)</f>
        <v>5746.95</v>
      </c>
      <c r="F3014" s="3">
        <f>IFERROR(__xludf.DUMMYFUNCTION("""COMPUTED_VALUE"""),0.0)</f>
        <v>0</v>
      </c>
    </row>
    <row r="3015">
      <c r="A3015" s="7">
        <f>IFERROR(__xludf.DUMMYFUNCTION("""COMPUTED_VALUE"""),41190.645833333336)</f>
        <v>41190.64583</v>
      </c>
      <c r="B3015" s="3">
        <f>IFERROR(__xludf.DUMMYFUNCTION("""COMPUTED_VALUE"""),5751.85)</f>
        <v>5751.85</v>
      </c>
      <c r="C3015" s="3">
        <f>IFERROR(__xludf.DUMMYFUNCTION("""COMPUTED_VALUE"""),5751.85)</f>
        <v>5751.85</v>
      </c>
      <c r="D3015" s="3">
        <f>IFERROR(__xludf.DUMMYFUNCTION("""COMPUTED_VALUE"""),5666.2)</f>
        <v>5666.2</v>
      </c>
      <c r="E3015" s="3">
        <f>IFERROR(__xludf.DUMMYFUNCTION("""COMPUTED_VALUE"""),5676.0)</f>
        <v>5676</v>
      </c>
      <c r="F3015" s="3">
        <f>IFERROR(__xludf.DUMMYFUNCTION("""COMPUTED_VALUE"""),0.0)</f>
        <v>0</v>
      </c>
    </row>
    <row r="3016">
      <c r="A3016" s="7">
        <f>IFERROR(__xludf.DUMMYFUNCTION("""COMPUTED_VALUE"""),41191.645833333336)</f>
        <v>41191.64583</v>
      </c>
      <c r="B3016" s="3">
        <f>IFERROR(__xludf.DUMMYFUNCTION("""COMPUTED_VALUE"""),5708.15)</f>
        <v>5708.15</v>
      </c>
      <c r="C3016" s="3">
        <f>IFERROR(__xludf.DUMMYFUNCTION("""COMPUTED_VALUE"""),5728.65)</f>
        <v>5728.65</v>
      </c>
      <c r="D3016" s="3">
        <f>IFERROR(__xludf.DUMMYFUNCTION("""COMPUTED_VALUE"""),5677.9)</f>
        <v>5677.9</v>
      </c>
      <c r="E3016" s="3">
        <f>IFERROR(__xludf.DUMMYFUNCTION("""COMPUTED_VALUE"""),5704.6)</f>
        <v>5704.6</v>
      </c>
      <c r="F3016" s="3">
        <f>IFERROR(__xludf.DUMMYFUNCTION("""COMPUTED_VALUE"""),0.0)</f>
        <v>0</v>
      </c>
    </row>
    <row r="3017">
      <c r="A3017" s="7">
        <f>IFERROR(__xludf.DUMMYFUNCTION("""COMPUTED_VALUE"""),41192.645833333336)</f>
        <v>41192.64583</v>
      </c>
      <c r="B3017" s="3">
        <f>IFERROR(__xludf.DUMMYFUNCTION("""COMPUTED_VALUE"""),5671.15)</f>
        <v>5671.15</v>
      </c>
      <c r="C3017" s="3">
        <f>IFERROR(__xludf.DUMMYFUNCTION("""COMPUTED_VALUE"""),5686.5)</f>
        <v>5686.5</v>
      </c>
      <c r="D3017" s="3">
        <f>IFERROR(__xludf.DUMMYFUNCTION("""COMPUTED_VALUE"""),5647.05)</f>
        <v>5647.05</v>
      </c>
      <c r="E3017" s="3">
        <f>IFERROR(__xludf.DUMMYFUNCTION("""COMPUTED_VALUE"""),5652.15)</f>
        <v>5652.15</v>
      </c>
      <c r="F3017" s="3">
        <f>IFERROR(__xludf.DUMMYFUNCTION("""COMPUTED_VALUE"""),0.0)</f>
        <v>0</v>
      </c>
    </row>
    <row r="3018">
      <c r="A3018" s="7">
        <f>IFERROR(__xludf.DUMMYFUNCTION("""COMPUTED_VALUE"""),41193.645833333336)</f>
        <v>41193.64583</v>
      </c>
      <c r="B3018" s="3">
        <f>IFERROR(__xludf.DUMMYFUNCTION("""COMPUTED_VALUE"""),5663.5)</f>
        <v>5663.5</v>
      </c>
      <c r="C3018" s="3">
        <f>IFERROR(__xludf.DUMMYFUNCTION("""COMPUTED_VALUE"""),5721.1)</f>
        <v>5721.1</v>
      </c>
      <c r="D3018" s="3">
        <f>IFERROR(__xludf.DUMMYFUNCTION("""COMPUTED_VALUE"""),5636.95)</f>
        <v>5636.95</v>
      </c>
      <c r="E3018" s="3">
        <f>IFERROR(__xludf.DUMMYFUNCTION("""COMPUTED_VALUE"""),5708.05)</f>
        <v>5708.05</v>
      </c>
      <c r="F3018" s="3">
        <f>IFERROR(__xludf.DUMMYFUNCTION("""COMPUTED_VALUE"""),0.0)</f>
        <v>0</v>
      </c>
    </row>
    <row r="3019">
      <c r="A3019" s="7">
        <f>IFERROR(__xludf.DUMMYFUNCTION("""COMPUTED_VALUE"""),41194.645833333336)</f>
        <v>41194.64583</v>
      </c>
      <c r="B3019" s="3">
        <f>IFERROR(__xludf.DUMMYFUNCTION("""COMPUTED_VALUE"""),5681.7)</f>
        <v>5681.7</v>
      </c>
      <c r="C3019" s="3">
        <f>IFERROR(__xludf.DUMMYFUNCTION("""COMPUTED_VALUE"""),5725.0)</f>
        <v>5725</v>
      </c>
      <c r="D3019" s="3">
        <f>IFERROR(__xludf.DUMMYFUNCTION("""COMPUTED_VALUE"""),5659.35)</f>
        <v>5659.35</v>
      </c>
      <c r="E3019" s="3">
        <f>IFERROR(__xludf.DUMMYFUNCTION("""COMPUTED_VALUE"""),5676.05)</f>
        <v>5676.05</v>
      </c>
      <c r="F3019" s="3">
        <f>IFERROR(__xludf.DUMMYFUNCTION("""COMPUTED_VALUE"""),0.0)</f>
        <v>0</v>
      </c>
    </row>
    <row r="3020">
      <c r="A3020" s="7">
        <f>IFERROR(__xludf.DUMMYFUNCTION("""COMPUTED_VALUE"""),41197.645833333336)</f>
        <v>41197.64583</v>
      </c>
      <c r="B3020" s="3">
        <f>IFERROR(__xludf.DUMMYFUNCTION("""COMPUTED_VALUE"""),5674.25)</f>
        <v>5674.25</v>
      </c>
      <c r="C3020" s="3">
        <f>IFERROR(__xludf.DUMMYFUNCTION("""COMPUTED_VALUE"""),5693.7)</f>
        <v>5693.7</v>
      </c>
      <c r="D3020" s="3">
        <f>IFERROR(__xludf.DUMMYFUNCTION("""COMPUTED_VALUE"""),5651.05)</f>
        <v>5651.05</v>
      </c>
      <c r="E3020" s="3">
        <f>IFERROR(__xludf.DUMMYFUNCTION("""COMPUTED_VALUE"""),5687.25)</f>
        <v>5687.25</v>
      </c>
      <c r="F3020" s="3">
        <f>IFERROR(__xludf.DUMMYFUNCTION("""COMPUTED_VALUE"""),0.0)</f>
        <v>0</v>
      </c>
    </row>
    <row r="3021">
      <c r="A3021" s="7">
        <f>IFERROR(__xludf.DUMMYFUNCTION("""COMPUTED_VALUE"""),41198.645833333336)</f>
        <v>41198.64583</v>
      </c>
      <c r="B3021" s="3">
        <f>IFERROR(__xludf.DUMMYFUNCTION("""COMPUTED_VALUE"""),5705.6)</f>
        <v>5705.6</v>
      </c>
      <c r="C3021" s="3">
        <f>IFERROR(__xludf.DUMMYFUNCTION("""COMPUTED_VALUE"""),5714.0)</f>
        <v>5714</v>
      </c>
      <c r="D3021" s="3">
        <f>IFERROR(__xludf.DUMMYFUNCTION("""COMPUTED_VALUE"""),5635.6)</f>
        <v>5635.6</v>
      </c>
      <c r="E3021" s="3">
        <f>IFERROR(__xludf.DUMMYFUNCTION("""COMPUTED_VALUE"""),5648.0)</f>
        <v>5648</v>
      </c>
      <c r="F3021" s="3">
        <f>IFERROR(__xludf.DUMMYFUNCTION("""COMPUTED_VALUE"""),0.0)</f>
        <v>0</v>
      </c>
    </row>
    <row r="3022">
      <c r="A3022" s="7">
        <f>IFERROR(__xludf.DUMMYFUNCTION("""COMPUTED_VALUE"""),41199.645833333336)</f>
        <v>41199.64583</v>
      </c>
      <c r="B3022" s="3">
        <f>IFERROR(__xludf.DUMMYFUNCTION("""COMPUTED_VALUE"""),5681.1)</f>
        <v>5681.1</v>
      </c>
      <c r="C3022" s="3">
        <f>IFERROR(__xludf.DUMMYFUNCTION("""COMPUTED_VALUE"""),5684.35)</f>
        <v>5684.35</v>
      </c>
      <c r="D3022" s="3">
        <f>IFERROR(__xludf.DUMMYFUNCTION("""COMPUTED_VALUE"""),5633.9)</f>
        <v>5633.9</v>
      </c>
      <c r="E3022" s="3">
        <f>IFERROR(__xludf.DUMMYFUNCTION("""COMPUTED_VALUE"""),5660.25)</f>
        <v>5660.25</v>
      </c>
      <c r="F3022" s="3">
        <f>IFERROR(__xludf.DUMMYFUNCTION("""COMPUTED_VALUE"""),0.0)</f>
        <v>0</v>
      </c>
    </row>
    <row r="3023">
      <c r="A3023" s="7">
        <f>IFERROR(__xludf.DUMMYFUNCTION("""COMPUTED_VALUE"""),41200.645833333336)</f>
        <v>41200.64583</v>
      </c>
      <c r="B3023" s="3">
        <f>IFERROR(__xludf.DUMMYFUNCTION("""COMPUTED_VALUE"""),5675.3)</f>
        <v>5675.3</v>
      </c>
      <c r="C3023" s="3">
        <f>IFERROR(__xludf.DUMMYFUNCTION("""COMPUTED_VALUE"""),5722.5)</f>
        <v>5722.5</v>
      </c>
      <c r="D3023" s="3">
        <f>IFERROR(__xludf.DUMMYFUNCTION("""COMPUTED_VALUE"""),5650.55)</f>
        <v>5650.55</v>
      </c>
      <c r="E3023" s="3">
        <f>IFERROR(__xludf.DUMMYFUNCTION("""COMPUTED_VALUE"""),5718.7)</f>
        <v>5718.7</v>
      </c>
      <c r="F3023" s="3">
        <f>IFERROR(__xludf.DUMMYFUNCTION("""COMPUTED_VALUE"""),0.0)</f>
        <v>0</v>
      </c>
    </row>
    <row r="3024">
      <c r="A3024" s="7">
        <f>IFERROR(__xludf.DUMMYFUNCTION("""COMPUTED_VALUE"""),41201.645833333336)</f>
        <v>41201.64583</v>
      </c>
      <c r="B3024" s="3">
        <f>IFERROR(__xludf.DUMMYFUNCTION("""COMPUTED_VALUE"""),5703.3)</f>
        <v>5703.3</v>
      </c>
      <c r="C3024" s="3">
        <f>IFERROR(__xludf.DUMMYFUNCTION("""COMPUTED_VALUE"""),5711.7)</f>
        <v>5711.7</v>
      </c>
      <c r="D3024" s="3">
        <f>IFERROR(__xludf.DUMMYFUNCTION("""COMPUTED_VALUE"""),5660.0)</f>
        <v>5660</v>
      </c>
      <c r="E3024" s="3">
        <f>IFERROR(__xludf.DUMMYFUNCTION("""COMPUTED_VALUE"""),5684.25)</f>
        <v>5684.25</v>
      </c>
      <c r="F3024" s="3">
        <f>IFERROR(__xludf.DUMMYFUNCTION("""COMPUTED_VALUE"""),0.0)</f>
        <v>0</v>
      </c>
    </row>
    <row r="3025">
      <c r="A3025" s="7">
        <f>IFERROR(__xludf.DUMMYFUNCTION("""COMPUTED_VALUE"""),41204.645833333336)</f>
        <v>41204.64583</v>
      </c>
      <c r="B3025" s="3">
        <f>IFERROR(__xludf.DUMMYFUNCTION("""COMPUTED_VALUE"""),5667.6)</f>
        <v>5667.6</v>
      </c>
      <c r="C3025" s="3">
        <f>IFERROR(__xludf.DUMMYFUNCTION("""COMPUTED_VALUE"""),5721.55)</f>
        <v>5721.55</v>
      </c>
      <c r="D3025" s="3">
        <f>IFERROR(__xludf.DUMMYFUNCTION("""COMPUTED_VALUE"""),5658.05)</f>
        <v>5658.05</v>
      </c>
      <c r="E3025" s="3">
        <f>IFERROR(__xludf.DUMMYFUNCTION("""COMPUTED_VALUE"""),5717.15)</f>
        <v>5717.15</v>
      </c>
      <c r="F3025" s="3">
        <f>IFERROR(__xludf.DUMMYFUNCTION("""COMPUTED_VALUE"""),0.0)</f>
        <v>0</v>
      </c>
    </row>
    <row r="3026">
      <c r="A3026" s="7">
        <f>IFERROR(__xludf.DUMMYFUNCTION("""COMPUTED_VALUE"""),41205.645833333336)</f>
        <v>41205.64583</v>
      </c>
      <c r="B3026" s="3">
        <f>IFERROR(__xludf.DUMMYFUNCTION("""COMPUTED_VALUE"""),5715.65)</f>
        <v>5715.65</v>
      </c>
      <c r="C3026" s="3">
        <f>IFERROR(__xludf.DUMMYFUNCTION("""COMPUTED_VALUE"""),5720.8)</f>
        <v>5720.8</v>
      </c>
      <c r="D3026" s="3">
        <f>IFERROR(__xludf.DUMMYFUNCTION("""COMPUTED_VALUE"""),5681.45)</f>
        <v>5681.45</v>
      </c>
      <c r="E3026" s="3">
        <f>IFERROR(__xludf.DUMMYFUNCTION("""COMPUTED_VALUE"""),5691.4)</f>
        <v>5691.4</v>
      </c>
      <c r="F3026" s="3">
        <f>IFERROR(__xludf.DUMMYFUNCTION("""COMPUTED_VALUE"""),0.0)</f>
        <v>0</v>
      </c>
    </row>
    <row r="3027">
      <c r="A3027" s="7">
        <f>IFERROR(__xludf.DUMMYFUNCTION("""COMPUTED_VALUE"""),41207.645833333336)</f>
        <v>41207.64583</v>
      </c>
      <c r="B3027" s="3">
        <f>IFERROR(__xludf.DUMMYFUNCTION("""COMPUTED_VALUE"""),5688.8)</f>
        <v>5688.8</v>
      </c>
      <c r="C3027" s="3">
        <f>IFERROR(__xludf.DUMMYFUNCTION("""COMPUTED_VALUE"""),5718.75)</f>
        <v>5718.75</v>
      </c>
      <c r="D3027" s="3">
        <f>IFERROR(__xludf.DUMMYFUNCTION("""COMPUTED_VALUE"""),5685.7)</f>
        <v>5685.7</v>
      </c>
      <c r="E3027" s="3">
        <f>IFERROR(__xludf.DUMMYFUNCTION("""COMPUTED_VALUE"""),5705.3)</f>
        <v>5705.3</v>
      </c>
      <c r="F3027" s="3">
        <f>IFERROR(__xludf.DUMMYFUNCTION("""COMPUTED_VALUE"""),0.0)</f>
        <v>0</v>
      </c>
    </row>
    <row r="3028">
      <c r="A3028" s="7">
        <f>IFERROR(__xludf.DUMMYFUNCTION("""COMPUTED_VALUE"""),41208.645833333336)</f>
        <v>41208.64583</v>
      </c>
      <c r="B3028" s="3">
        <f>IFERROR(__xludf.DUMMYFUNCTION("""COMPUTED_VALUE"""),5683.55)</f>
        <v>5683.55</v>
      </c>
      <c r="C3028" s="3">
        <f>IFERROR(__xludf.DUMMYFUNCTION("""COMPUTED_VALUE"""),5697.2)</f>
        <v>5697.2</v>
      </c>
      <c r="D3028" s="3">
        <f>IFERROR(__xludf.DUMMYFUNCTION("""COMPUTED_VALUE"""),5641.75)</f>
        <v>5641.75</v>
      </c>
      <c r="E3028" s="3">
        <f>IFERROR(__xludf.DUMMYFUNCTION("""COMPUTED_VALUE"""),5664.3)</f>
        <v>5664.3</v>
      </c>
      <c r="F3028" s="3">
        <f>IFERROR(__xludf.DUMMYFUNCTION("""COMPUTED_VALUE"""),0.0)</f>
        <v>0</v>
      </c>
    </row>
    <row r="3029">
      <c r="A3029" s="7">
        <f>IFERROR(__xludf.DUMMYFUNCTION("""COMPUTED_VALUE"""),41211.645833333336)</f>
        <v>41211.64583</v>
      </c>
      <c r="B3029" s="3">
        <f>IFERROR(__xludf.DUMMYFUNCTION("""COMPUTED_VALUE"""),5665.2)</f>
        <v>5665.2</v>
      </c>
      <c r="C3029" s="3">
        <f>IFERROR(__xludf.DUMMYFUNCTION("""COMPUTED_VALUE"""),5698.3)</f>
        <v>5698.3</v>
      </c>
      <c r="D3029" s="3">
        <f>IFERROR(__xludf.DUMMYFUNCTION("""COMPUTED_VALUE"""),5645.1)</f>
        <v>5645.1</v>
      </c>
      <c r="E3029" s="3">
        <f>IFERROR(__xludf.DUMMYFUNCTION("""COMPUTED_VALUE"""),5665.6)</f>
        <v>5665.6</v>
      </c>
      <c r="F3029" s="3">
        <f>IFERROR(__xludf.DUMMYFUNCTION("""COMPUTED_VALUE"""),0.0)</f>
        <v>0</v>
      </c>
    </row>
    <row r="3030">
      <c r="A3030" s="7">
        <f>IFERROR(__xludf.DUMMYFUNCTION("""COMPUTED_VALUE"""),41212.645833333336)</f>
        <v>41212.64583</v>
      </c>
      <c r="B3030" s="3">
        <f>IFERROR(__xludf.DUMMYFUNCTION("""COMPUTED_VALUE"""),5656.35)</f>
        <v>5656.35</v>
      </c>
      <c r="C3030" s="3">
        <f>IFERROR(__xludf.DUMMYFUNCTION("""COMPUTED_VALUE"""),5689.9)</f>
        <v>5689.9</v>
      </c>
      <c r="D3030" s="3">
        <f>IFERROR(__xludf.DUMMYFUNCTION("""COMPUTED_VALUE"""),5589.9)</f>
        <v>5589.9</v>
      </c>
      <c r="E3030" s="3">
        <f>IFERROR(__xludf.DUMMYFUNCTION("""COMPUTED_VALUE"""),5597.9)</f>
        <v>5597.9</v>
      </c>
      <c r="F3030" s="3">
        <f>IFERROR(__xludf.DUMMYFUNCTION("""COMPUTED_VALUE"""),0.0)</f>
        <v>0</v>
      </c>
    </row>
    <row r="3031">
      <c r="A3031" s="7">
        <f>IFERROR(__xludf.DUMMYFUNCTION("""COMPUTED_VALUE"""),41213.645833333336)</f>
        <v>41213.64583</v>
      </c>
      <c r="B3031" s="3">
        <f>IFERROR(__xludf.DUMMYFUNCTION("""COMPUTED_VALUE"""),5596.75)</f>
        <v>5596.75</v>
      </c>
      <c r="C3031" s="3">
        <f>IFERROR(__xludf.DUMMYFUNCTION("""COMPUTED_VALUE"""),5624.4)</f>
        <v>5624.4</v>
      </c>
      <c r="D3031" s="3">
        <f>IFERROR(__xludf.DUMMYFUNCTION("""COMPUTED_VALUE"""),5583.05)</f>
        <v>5583.05</v>
      </c>
      <c r="E3031" s="3">
        <f>IFERROR(__xludf.DUMMYFUNCTION("""COMPUTED_VALUE"""),5619.7)</f>
        <v>5619.7</v>
      </c>
      <c r="F3031" s="3">
        <f>IFERROR(__xludf.DUMMYFUNCTION("""COMPUTED_VALUE"""),0.0)</f>
        <v>0</v>
      </c>
    </row>
    <row r="3032">
      <c r="A3032" s="7">
        <f>IFERROR(__xludf.DUMMYFUNCTION("""COMPUTED_VALUE"""),41214.645833333336)</f>
        <v>41214.64583</v>
      </c>
      <c r="B3032" s="3">
        <f>IFERROR(__xludf.DUMMYFUNCTION("""COMPUTED_VALUE"""),5609.85)</f>
        <v>5609.85</v>
      </c>
      <c r="C3032" s="3">
        <f>IFERROR(__xludf.DUMMYFUNCTION("""COMPUTED_VALUE"""),5649.75)</f>
        <v>5649.75</v>
      </c>
      <c r="D3032" s="3">
        <f>IFERROR(__xludf.DUMMYFUNCTION("""COMPUTED_VALUE"""),5601.95)</f>
        <v>5601.95</v>
      </c>
      <c r="E3032" s="3">
        <f>IFERROR(__xludf.DUMMYFUNCTION("""COMPUTED_VALUE"""),5645.05)</f>
        <v>5645.05</v>
      </c>
      <c r="F3032" s="3">
        <f>IFERROR(__xludf.DUMMYFUNCTION("""COMPUTED_VALUE"""),0.0)</f>
        <v>0</v>
      </c>
    </row>
    <row r="3033">
      <c r="A3033" s="7">
        <f>IFERROR(__xludf.DUMMYFUNCTION("""COMPUTED_VALUE"""),41215.645833333336)</f>
        <v>41215.64583</v>
      </c>
      <c r="B3033" s="3">
        <f>IFERROR(__xludf.DUMMYFUNCTION("""COMPUTED_VALUE"""),5696.35)</f>
        <v>5696.35</v>
      </c>
      <c r="C3033" s="3">
        <f>IFERROR(__xludf.DUMMYFUNCTION("""COMPUTED_VALUE"""),5711.3)</f>
        <v>5711.3</v>
      </c>
      <c r="D3033" s="3">
        <f>IFERROR(__xludf.DUMMYFUNCTION("""COMPUTED_VALUE"""),5682.55)</f>
        <v>5682.55</v>
      </c>
      <c r="E3033" s="3">
        <f>IFERROR(__xludf.DUMMYFUNCTION("""COMPUTED_VALUE"""),5697.7)</f>
        <v>5697.7</v>
      </c>
      <c r="F3033" s="3">
        <f>IFERROR(__xludf.DUMMYFUNCTION("""COMPUTED_VALUE"""),0.0)</f>
        <v>0</v>
      </c>
    </row>
    <row r="3034">
      <c r="A3034" s="7">
        <f>IFERROR(__xludf.DUMMYFUNCTION("""COMPUTED_VALUE"""),41218.645833333336)</f>
        <v>41218.64583</v>
      </c>
      <c r="B3034" s="3">
        <f>IFERROR(__xludf.DUMMYFUNCTION("""COMPUTED_VALUE"""),5693.05)</f>
        <v>5693.05</v>
      </c>
      <c r="C3034" s="3">
        <f>IFERROR(__xludf.DUMMYFUNCTION("""COMPUTED_VALUE"""),5709.2)</f>
        <v>5709.2</v>
      </c>
      <c r="D3034" s="3">
        <f>IFERROR(__xludf.DUMMYFUNCTION("""COMPUTED_VALUE"""),5679.5)</f>
        <v>5679.5</v>
      </c>
      <c r="E3034" s="3">
        <f>IFERROR(__xludf.DUMMYFUNCTION("""COMPUTED_VALUE"""),5704.2)</f>
        <v>5704.2</v>
      </c>
      <c r="F3034" s="3">
        <f>IFERROR(__xludf.DUMMYFUNCTION("""COMPUTED_VALUE"""),0.0)</f>
        <v>0</v>
      </c>
    </row>
    <row r="3035">
      <c r="A3035" s="7">
        <f>IFERROR(__xludf.DUMMYFUNCTION("""COMPUTED_VALUE"""),41219.645833333336)</f>
        <v>41219.64583</v>
      </c>
      <c r="B3035" s="3">
        <f>IFERROR(__xludf.DUMMYFUNCTION("""COMPUTED_VALUE"""),5694.1)</f>
        <v>5694.1</v>
      </c>
      <c r="C3035" s="3">
        <f>IFERROR(__xludf.DUMMYFUNCTION("""COMPUTED_VALUE"""),5730.8)</f>
        <v>5730.8</v>
      </c>
      <c r="D3035" s="3">
        <f>IFERROR(__xludf.DUMMYFUNCTION("""COMPUTED_VALUE"""),5693.65)</f>
        <v>5693.65</v>
      </c>
      <c r="E3035" s="3">
        <f>IFERROR(__xludf.DUMMYFUNCTION("""COMPUTED_VALUE"""),5724.4)</f>
        <v>5724.4</v>
      </c>
      <c r="F3035" s="3">
        <f>IFERROR(__xludf.DUMMYFUNCTION("""COMPUTED_VALUE"""),0.0)</f>
        <v>0</v>
      </c>
    </row>
    <row r="3036">
      <c r="A3036" s="7">
        <f>IFERROR(__xludf.DUMMYFUNCTION("""COMPUTED_VALUE"""),41220.645833333336)</f>
        <v>41220.64583</v>
      </c>
      <c r="B3036" s="3">
        <f>IFERROR(__xludf.DUMMYFUNCTION("""COMPUTED_VALUE"""),5718.6)</f>
        <v>5718.6</v>
      </c>
      <c r="C3036" s="3">
        <f>IFERROR(__xludf.DUMMYFUNCTION("""COMPUTED_VALUE"""),5777.3)</f>
        <v>5777.3</v>
      </c>
      <c r="D3036" s="3">
        <f>IFERROR(__xludf.DUMMYFUNCTION("""COMPUTED_VALUE"""),5711.4)</f>
        <v>5711.4</v>
      </c>
      <c r="E3036" s="3">
        <f>IFERROR(__xludf.DUMMYFUNCTION("""COMPUTED_VALUE"""),5760.1)</f>
        <v>5760.1</v>
      </c>
      <c r="F3036" s="3">
        <f>IFERROR(__xludf.DUMMYFUNCTION("""COMPUTED_VALUE"""),0.0)</f>
        <v>0</v>
      </c>
    </row>
    <row r="3037">
      <c r="A3037" s="7">
        <f>IFERROR(__xludf.DUMMYFUNCTION("""COMPUTED_VALUE"""),41221.645833333336)</f>
        <v>41221.64583</v>
      </c>
      <c r="B3037" s="3">
        <f>IFERROR(__xludf.DUMMYFUNCTION("""COMPUTED_VALUE"""),5709.0)</f>
        <v>5709</v>
      </c>
      <c r="C3037" s="3">
        <f>IFERROR(__xludf.DUMMYFUNCTION("""COMPUTED_VALUE"""),5744.5)</f>
        <v>5744.5</v>
      </c>
      <c r="D3037" s="3">
        <f>IFERROR(__xludf.DUMMYFUNCTION("""COMPUTED_VALUE"""),5693.95)</f>
        <v>5693.95</v>
      </c>
      <c r="E3037" s="3">
        <f>IFERROR(__xludf.DUMMYFUNCTION("""COMPUTED_VALUE"""),5738.75)</f>
        <v>5738.75</v>
      </c>
      <c r="F3037" s="3">
        <f>IFERROR(__xludf.DUMMYFUNCTION("""COMPUTED_VALUE"""),0.0)</f>
        <v>0</v>
      </c>
    </row>
    <row r="3038">
      <c r="A3038" s="7">
        <f>IFERROR(__xludf.DUMMYFUNCTION("""COMPUTED_VALUE"""),41222.645833333336)</f>
        <v>41222.64583</v>
      </c>
      <c r="B3038" s="3">
        <f>IFERROR(__xludf.DUMMYFUNCTION("""COMPUTED_VALUE"""),5731.1)</f>
        <v>5731.1</v>
      </c>
      <c r="C3038" s="3">
        <f>IFERROR(__xludf.DUMMYFUNCTION("""COMPUTED_VALUE"""),5751.7)</f>
        <v>5751.7</v>
      </c>
      <c r="D3038" s="3">
        <f>IFERROR(__xludf.DUMMYFUNCTION("""COMPUTED_VALUE"""),5677.75)</f>
        <v>5677.75</v>
      </c>
      <c r="E3038" s="3">
        <f>IFERROR(__xludf.DUMMYFUNCTION("""COMPUTED_VALUE"""),5686.25)</f>
        <v>5686.25</v>
      </c>
      <c r="F3038" s="3">
        <f>IFERROR(__xludf.DUMMYFUNCTION("""COMPUTED_VALUE"""),0.0)</f>
        <v>0</v>
      </c>
    </row>
    <row r="3039">
      <c r="A3039" s="7">
        <f>IFERROR(__xludf.DUMMYFUNCTION("""COMPUTED_VALUE"""),41225.645833333336)</f>
        <v>41225.64583</v>
      </c>
      <c r="B3039" s="3">
        <f>IFERROR(__xludf.DUMMYFUNCTION("""COMPUTED_VALUE"""),5688.45)</f>
        <v>5688.45</v>
      </c>
      <c r="C3039" s="3">
        <f>IFERROR(__xludf.DUMMYFUNCTION("""COMPUTED_VALUE"""),5718.9)</f>
        <v>5718.9</v>
      </c>
      <c r="D3039" s="3">
        <f>IFERROR(__xludf.DUMMYFUNCTION("""COMPUTED_VALUE"""),5665.75)</f>
        <v>5665.75</v>
      </c>
      <c r="E3039" s="3">
        <f>IFERROR(__xludf.DUMMYFUNCTION("""COMPUTED_VALUE"""),5683.7)</f>
        <v>5683.7</v>
      </c>
      <c r="F3039" s="3">
        <f>IFERROR(__xludf.DUMMYFUNCTION("""COMPUTED_VALUE"""),0.0)</f>
        <v>0</v>
      </c>
    </row>
    <row r="3040">
      <c r="A3040" s="7">
        <f>IFERROR(__xludf.DUMMYFUNCTION("""COMPUTED_VALUE"""),41226.645833333336)</f>
        <v>41226.64583</v>
      </c>
      <c r="B3040" s="3">
        <f>IFERROR(__xludf.DUMMYFUNCTION("""COMPUTED_VALUE"""),5689.7)</f>
        <v>5689.7</v>
      </c>
      <c r="C3040" s="3">
        <f>IFERROR(__xludf.DUMMYFUNCTION("""COMPUTED_VALUE"""),5698.25)</f>
        <v>5698.25</v>
      </c>
      <c r="D3040" s="3">
        <f>IFERROR(__xludf.DUMMYFUNCTION("""COMPUTED_VALUE"""),5660.35)</f>
        <v>5660.35</v>
      </c>
      <c r="E3040" s="3">
        <f>IFERROR(__xludf.DUMMYFUNCTION("""COMPUTED_VALUE"""),5666.95)</f>
        <v>5666.95</v>
      </c>
      <c r="F3040" s="3">
        <f>IFERROR(__xludf.DUMMYFUNCTION("""COMPUTED_VALUE"""),0.0)</f>
        <v>0</v>
      </c>
    </row>
    <row r="3041">
      <c r="A3041" s="7">
        <f>IFERROR(__xludf.DUMMYFUNCTION("""COMPUTED_VALUE"""),41228.645833333336)</f>
        <v>41228.64583</v>
      </c>
      <c r="B3041" s="3">
        <f>IFERROR(__xludf.DUMMYFUNCTION("""COMPUTED_VALUE"""),5650.35)</f>
        <v>5650.35</v>
      </c>
      <c r="C3041" s="3">
        <f>IFERROR(__xludf.DUMMYFUNCTION("""COMPUTED_VALUE"""),5651.65)</f>
        <v>5651.65</v>
      </c>
      <c r="D3041" s="3">
        <f>IFERROR(__xludf.DUMMYFUNCTION("""COMPUTED_VALUE"""),5603.55)</f>
        <v>5603.55</v>
      </c>
      <c r="E3041" s="3">
        <f>IFERROR(__xludf.DUMMYFUNCTION("""COMPUTED_VALUE"""),5631.0)</f>
        <v>5631</v>
      </c>
      <c r="F3041" s="3">
        <f>IFERROR(__xludf.DUMMYFUNCTION("""COMPUTED_VALUE"""),0.0)</f>
        <v>0</v>
      </c>
    </row>
    <row r="3042">
      <c r="A3042" s="7">
        <f>IFERROR(__xludf.DUMMYFUNCTION("""COMPUTED_VALUE"""),41229.645833333336)</f>
        <v>41229.64583</v>
      </c>
      <c r="B3042" s="3">
        <f>IFERROR(__xludf.DUMMYFUNCTION("""COMPUTED_VALUE"""),5624.8)</f>
        <v>5624.8</v>
      </c>
      <c r="C3042" s="3">
        <f>IFERROR(__xludf.DUMMYFUNCTION("""COMPUTED_VALUE"""),5650.15)</f>
        <v>5650.15</v>
      </c>
      <c r="D3042" s="3">
        <f>IFERROR(__xludf.DUMMYFUNCTION("""COMPUTED_VALUE"""),5559.8)</f>
        <v>5559.8</v>
      </c>
      <c r="E3042" s="3">
        <f>IFERROR(__xludf.DUMMYFUNCTION("""COMPUTED_VALUE"""),5574.05)</f>
        <v>5574.05</v>
      </c>
      <c r="F3042" s="3">
        <f>IFERROR(__xludf.DUMMYFUNCTION("""COMPUTED_VALUE"""),0.0)</f>
        <v>0</v>
      </c>
    </row>
    <row r="3043">
      <c r="A3043" s="7">
        <f>IFERROR(__xludf.DUMMYFUNCTION("""COMPUTED_VALUE"""),41232.645833333336)</f>
        <v>41232.64583</v>
      </c>
      <c r="B3043" s="3">
        <f>IFERROR(__xludf.DUMMYFUNCTION("""COMPUTED_VALUE"""),5577.3)</f>
        <v>5577.3</v>
      </c>
      <c r="C3043" s="3">
        <f>IFERROR(__xludf.DUMMYFUNCTION("""COMPUTED_VALUE"""),5592.75)</f>
        <v>5592.75</v>
      </c>
      <c r="D3043" s="3">
        <f>IFERROR(__xludf.DUMMYFUNCTION("""COMPUTED_VALUE"""),5549.25)</f>
        <v>5549.25</v>
      </c>
      <c r="E3043" s="3">
        <f>IFERROR(__xludf.DUMMYFUNCTION("""COMPUTED_VALUE"""),5571.4)</f>
        <v>5571.4</v>
      </c>
      <c r="F3043" s="3">
        <f>IFERROR(__xludf.DUMMYFUNCTION("""COMPUTED_VALUE"""),0.0)</f>
        <v>0</v>
      </c>
    </row>
    <row r="3044">
      <c r="A3044" s="7">
        <f>IFERROR(__xludf.DUMMYFUNCTION("""COMPUTED_VALUE"""),41233.645833333336)</f>
        <v>41233.64583</v>
      </c>
      <c r="B3044" s="3">
        <f>IFERROR(__xludf.DUMMYFUNCTION("""COMPUTED_VALUE"""),5604.8)</f>
        <v>5604.8</v>
      </c>
      <c r="C3044" s="3">
        <f>IFERROR(__xludf.DUMMYFUNCTION("""COMPUTED_VALUE"""),5613.7)</f>
        <v>5613.7</v>
      </c>
      <c r="D3044" s="3">
        <f>IFERROR(__xludf.DUMMYFUNCTION("""COMPUTED_VALUE"""),5548.35)</f>
        <v>5548.35</v>
      </c>
      <c r="E3044" s="3">
        <f>IFERROR(__xludf.DUMMYFUNCTION("""COMPUTED_VALUE"""),5571.55)</f>
        <v>5571.55</v>
      </c>
      <c r="F3044" s="3">
        <f>IFERROR(__xludf.DUMMYFUNCTION("""COMPUTED_VALUE"""),0.0)</f>
        <v>0</v>
      </c>
    </row>
    <row r="3045">
      <c r="A3045" s="7">
        <f>IFERROR(__xludf.DUMMYFUNCTION("""COMPUTED_VALUE"""),41234.645833333336)</f>
        <v>41234.64583</v>
      </c>
      <c r="B3045" s="3">
        <f>IFERROR(__xludf.DUMMYFUNCTION("""COMPUTED_VALUE"""),5582.5)</f>
        <v>5582.5</v>
      </c>
      <c r="C3045" s="3">
        <f>IFERROR(__xludf.DUMMYFUNCTION("""COMPUTED_VALUE"""),5620.2)</f>
        <v>5620.2</v>
      </c>
      <c r="D3045" s="3">
        <f>IFERROR(__xludf.DUMMYFUNCTION("""COMPUTED_VALUE"""),5561.4)</f>
        <v>5561.4</v>
      </c>
      <c r="E3045" s="3">
        <f>IFERROR(__xludf.DUMMYFUNCTION("""COMPUTED_VALUE"""),5614.8)</f>
        <v>5614.8</v>
      </c>
      <c r="F3045" s="3">
        <f>IFERROR(__xludf.DUMMYFUNCTION("""COMPUTED_VALUE"""),0.0)</f>
        <v>0</v>
      </c>
    </row>
    <row r="3046">
      <c r="A3046" s="7">
        <f>IFERROR(__xludf.DUMMYFUNCTION("""COMPUTED_VALUE"""),41235.645833333336)</f>
        <v>41235.64583</v>
      </c>
      <c r="B3046" s="3">
        <f>IFERROR(__xludf.DUMMYFUNCTION("""COMPUTED_VALUE"""),5628.6)</f>
        <v>5628.6</v>
      </c>
      <c r="C3046" s="3">
        <f>IFERROR(__xludf.DUMMYFUNCTION("""COMPUTED_VALUE"""),5643.35)</f>
        <v>5643.35</v>
      </c>
      <c r="D3046" s="3">
        <f>IFERROR(__xludf.DUMMYFUNCTION("""COMPUTED_VALUE"""),5608.0)</f>
        <v>5608</v>
      </c>
      <c r="E3046" s="3">
        <f>IFERROR(__xludf.DUMMYFUNCTION("""COMPUTED_VALUE"""),5627.75)</f>
        <v>5627.75</v>
      </c>
      <c r="F3046" s="3">
        <f>IFERROR(__xludf.DUMMYFUNCTION("""COMPUTED_VALUE"""),0.0)</f>
        <v>0</v>
      </c>
    </row>
    <row r="3047">
      <c r="A3047" s="7">
        <f>IFERROR(__xludf.DUMMYFUNCTION("""COMPUTED_VALUE"""),41236.645833333336)</f>
        <v>41236.64583</v>
      </c>
      <c r="B3047" s="3">
        <f>IFERROR(__xludf.DUMMYFUNCTION("""COMPUTED_VALUE"""),5635.45)</f>
        <v>5635.45</v>
      </c>
      <c r="C3047" s="3">
        <f>IFERROR(__xludf.DUMMYFUNCTION("""COMPUTED_VALUE"""),5637.75)</f>
        <v>5637.75</v>
      </c>
      <c r="D3047" s="3">
        <f>IFERROR(__xludf.DUMMYFUNCTION("""COMPUTED_VALUE"""),5593.55)</f>
        <v>5593.55</v>
      </c>
      <c r="E3047" s="3">
        <f>IFERROR(__xludf.DUMMYFUNCTION("""COMPUTED_VALUE"""),5626.6)</f>
        <v>5626.6</v>
      </c>
      <c r="F3047" s="3">
        <f>IFERROR(__xludf.DUMMYFUNCTION("""COMPUTED_VALUE"""),0.0)</f>
        <v>0</v>
      </c>
    </row>
    <row r="3048">
      <c r="A3048" s="7">
        <f>IFERROR(__xludf.DUMMYFUNCTION("""COMPUTED_VALUE"""),41239.645833333336)</f>
        <v>41239.64583</v>
      </c>
      <c r="B3048" s="3">
        <f>IFERROR(__xludf.DUMMYFUNCTION("""COMPUTED_VALUE"""),5648.65)</f>
        <v>5648.65</v>
      </c>
      <c r="C3048" s="3">
        <f>IFERROR(__xludf.DUMMYFUNCTION("""COMPUTED_VALUE"""),5649.2)</f>
        <v>5649.2</v>
      </c>
      <c r="D3048" s="3">
        <f>IFERROR(__xludf.DUMMYFUNCTION("""COMPUTED_VALUE"""),5623.45)</f>
        <v>5623.45</v>
      </c>
      <c r="E3048" s="3">
        <f>IFERROR(__xludf.DUMMYFUNCTION("""COMPUTED_VALUE"""),5635.9)</f>
        <v>5635.9</v>
      </c>
      <c r="F3048" s="3">
        <f>IFERROR(__xludf.DUMMYFUNCTION("""COMPUTED_VALUE"""),0.0)</f>
        <v>0</v>
      </c>
    </row>
    <row r="3049">
      <c r="A3049" s="7">
        <f>IFERROR(__xludf.DUMMYFUNCTION("""COMPUTED_VALUE"""),41240.645833333336)</f>
        <v>41240.64583</v>
      </c>
      <c r="B3049" s="3">
        <f>IFERROR(__xludf.DUMMYFUNCTION("""COMPUTED_VALUE"""),5658.5)</f>
        <v>5658.5</v>
      </c>
      <c r="C3049" s="3">
        <f>IFERROR(__xludf.DUMMYFUNCTION("""COMPUTED_VALUE"""),5733.2)</f>
        <v>5733.2</v>
      </c>
      <c r="D3049" s="3">
        <f>IFERROR(__xludf.DUMMYFUNCTION("""COMPUTED_VALUE"""),5658.0)</f>
        <v>5658</v>
      </c>
      <c r="E3049" s="3">
        <f>IFERROR(__xludf.DUMMYFUNCTION("""COMPUTED_VALUE"""),5727.45)</f>
        <v>5727.45</v>
      </c>
      <c r="F3049" s="3">
        <f>IFERROR(__xludf.DUMMYFUNCTION("""COMPUTED_VALUE"""),0.0)</f>
        <v>0</v>
      </c>
    </row>
    <row r="3050">
      <c r="A3050" s="7">
        <f>IFERROR(__xludf.DUMMYFUNCTION("""COMPUTED_VALUE"""),41242.645833333336)</f>
        <v>41242.64583</v>
      </c>
      <c r="B3050" s="3">
        <f>IFERROR(__xludf.DUMMYFUNCTION("""COMPUTED_VALUE"""),5736.7)</f>
        <v>5736.7</v>
      </c>
      <c r="C3050" s="3">
        <f>IFERROR(__xludf.DUMMYFUNCTION("""COMPUTED_VALUE"""),5833.5)</f>
        <v>5833.5</v>
      </c>
      <c r="D3050" s="3">
        <f>IFERROR(__xludf.DUMMYFUNCTION("""COMPUTED_VALUE"""),5736.1)</f>
        <v>5736.1</v>
      </c>
      <c r="E3050" s="3">
        <f>IFERROR(__xludf.DUMMYFUNCTION("""COMPUTED_VALUE"""),5825.0)</f>
        <v>5825</v>
      </c>
      <c r="F3050" s="3">
        <f>IFERROR(__xludf.DUMMYFUNCTION("""COMPUTED_VALUE"""),0.0)</f>
        <v>0</v>
      </c>
    </row>
    <row r="3051">
      <c r="A3051" s="7">
        <f>IFERROR(__xludf.DUMMYFUNCTION("""COMPUTED_VALUE"""),41243.645833333336)</f>
        <v>41243.64583</v>
      </c>
      <c r="B3051" s="3">
        <f>IFERROR(__xludf.DUMMYFUNCTION("""COMPUTED_VALUE"""),5836.0)</f>
        <v>5836</v>
      </c>
      <c r="C3051" s="3">
        <f>IFERROR(__xludf.DUMMYFUNCTION("""COMPUTED_VALUE"""),5885.25)</f>
        <v>5885.25</v>
      </c>
      <c r="D3051" s="3">
        <f>IFERROR(__xludf.DUMMYFUNCTION("""COMPUTED_VALUE"""),5827.85)</f>
        <v>5827.85</v>
      </c>
      <c r="E3051" s="3">
        <f>IFERROR(__xludf.DUMMYFUNCTION("""COMPUTED_VALUE"""),5879.85)</f>
        <v>5879.85</v>
      </c>
      <c r="F3051" s="3">
        <f>IFERROR(__xludf.DUMMYFUNCTION("""COMPUTED_VALUE"""),0.0)</f>
        <v>0</v>
      </c>
    </row>
    <row r="3052">
      <c r="A3052" s="7">
        <f>IFERROR(__xludf.DUMMYFUNCTION("""COMPUTED_VALUE"""),41246.645833333336)</f>
        <v>41246.64583</v>
      </c>
      <c r="B3052" s="3">
        <f>IFERROR(__xludf.DUMMYFUNCTION("""COMPUTED_VALUE"""),5878.25)</f>
        <v>5878.25</v>
      </c>
      <c r="C3052" s="3">
        <f>IFERROR(__xludf.DUMMYFUNCTION("""COMPUTED_VALUE"""),5899.15)</f>
        <v>5899.15</v>
      </c>
      <c r="D3052" s="3">
        <f>IFERROR(__xludf.DUMMYFUNCTION("""COMPUTED_VALUE"""),5854.6)</f>
        <v>5854.6</v>
      </c>
      <c r="E3052" s="3">
        <f>IFERROR(__xludf.DUMMYFUNCTION("""COMPUTED_VALUE"""),5870.95)</f>
        <v>5870.95</v>
      </c>
      <c r="F3052" s="3">
        <f>IFERROR(__xludf.DUMMYFUNCTION("""COMPUTED_VALUE"""),0.0)</f>
        <v>0</v>
      </c>
    </row>
    <row r="3053">
      <c r="A3053" s="7">
        <f>IFERROR(__xludf.DUMMYFUNCTION("""COMPUTED_VALUE"""),41247.645833333336)</f>
        <v>41247.64583</v>
      </c>
      <c r="B3053" s="3">
        <f>IFERROR(__xludf.DUMMYFUNCTION("""COMPUTED_VALUE"""),5866.8)</f>
        <v>5866.8</v>
      </c>
      <c r="C3053" s="3">
        <f>IFERROR(__xludf.DUMMYFUNCTION("""COMPUTED_VALUE"""),5894.95)</f>
        <v>5894.95</v>
      </c>
      <c r="D3053" s="3">
        <f>IFERROR(__xludf.DUMMYFUNCTION("""COMPUTED_VALUE"""),5859.0)</f>
        <v>5859</v>
      </c>
      <c r="E3053" s="3">
        <f>IFERROR(__xludf.DUMMYFUNCTION("""COMPUTED_VALUE"""),5889.25)</f>
        <v>5889.25</v>
      </c>
      <c r="F3053" s="3">
        <f>IFERROR(__xludf.DUMMYFUNCTION("""COMPUTED_VALUE"""),0.0)</f>
        <v>0</v>
      </c>
    </row>
    <row r="3054">
      <c r="A3054" s="7">
        <f>IFERROR(__xludf.DUMMYFUNCTION("""COMPUTED_VALUE"""),41248.645833333336)</f>
        <v>41248.64583</v>
      </c>
      <c r="B3054" s="3">
        <f>IFERROR(__xludf.DUMMYFUNCTION("""COMPUTED_VALUE"""),5906.6)</f>
        <v>5906.6</v>
      </c>
      <c r="C3054" s="3">
        <f>IFERROR(__xludf.DUMMYFUNCTION("""COMPUTED_VALUE"""),5917.8)</f>
        <v>5917.8</v>
      </c>
      <c r="D3054" s="3">
        <f>IFERROR(__xludf.DUMMYFUNCTION("""COMPUTED_VALUE"""),5891.35)</f>
        <v>5891.35</v>
      </c>
      <c r="E3054" s="3">
        <f>IFERROR(__xludf.DUMMYFUNCTION("""COMPUTED_VALUE"""),5900.5)</f>
        <v>5900.5</v>
      </c>
      <c r="F3054" s="3">
        <f>IFERROR(__xludf.DUMMYFUNCTION("""COMPUTED_VALUE"""),0.0)</f>
        <v>0</v>
      </c>
    </row>
    <row r="3055">
      <c r="A3055" s="7">
        <f>IFERROR(__xludf.DUMMYFUNCTION("""COMPUTED_VALUE"""),41249.645833333336)</f>
        <v>41249.64583</v>
      </c>
      <c r="B3055" s="3">
        <f>IFERROR(__xludf.DUMMYFUNCTION("""COMPUTED_VALUE"""),5926.3)</f>
        <v>5926.3</v>
      </c>
      <c r="C3055" s="3">
        <f>IFERROR(__xludf.DUMMYFUNCTION("""COMPUTED_VALUE"""),5942.55)</f>
        <v>5942.55</v>
      </c>
      <c r="D3055" s="3">
        <f>IFERROR(__xludf.DUMMYFUNCTION("""COMPUTED_VALUE"""),5838.9)</f>
        <v>5838.9</v>
      </c>
      <c r="E3055" s="3">
        <f>IFERROR(__xludf.DUMMYFUNCTION("""COMPUTED_VALUE"""),5930.9)</f>
        <v>5930.9</v>
      </c>
      <c r="F3055" s="3">
        <f>IFERROR(__xludf.DUMMYFUNCTION("""COMPUTED_VALUE"""),0.0)</f>
        <v>0</v>
      </c>
    </row>
    <row r="3056">
      <c r="A3056" s="7">
        <f>IFERROR(__xludf.DUMMYFUNCTION("""COMPUTED_VALUE"""),41250.645833333336)</f>
        <v>41250.64583</v>
      </c>
      <c r="B3056" s="3">
        <f>IFERROR(__xludf.DUMMYFUNCTION("""COMPUTED_VALUE"""),5934.0)</f>
        <v>5934</v>
      </c>
      <c r="C3056" s="3">
        <f>IFERROR(__xludf.DUMMYFUNCTION("""COMPUTED_VALUE"""),5949.85)</f>
        <v>5949.85</v>
      </c>
      <c r="D3056" s="3">
        <f>IFERROR(__xludf.DUMMYFUNCTION("""COMPUTED_VALUE"""),5888.65)</f>
        <v>5888.65</v>
      </c>
      <c r="E3056" s="3">
        <f>IFERROR(__xludf.DUMMYFUNCTION("""COMPUTED_VALUE"""),5907.4)</f>
        <v>5907.4</v>
      </c>
      <c r="F3056" s="3">
        <f>IFERROR(__xludf.DUMMYFUNCTION("""COMPUTED_VALUE"""),0.0)</f>
        <v>0</v>
      </c>
    </row>
    <row r="3057">
      <c r="A3057" s="7">
        <f>IFERROR(__xludf.DUMMYFUNCTION("""COMPUTED_VALUE"""),41253.645833333336)</f>
        <v>41253.64583</v>
      </c>
      <c r="B3057" s="3">
        <f>IFERROR(__xludf.DUMMYFUNCTION("""COMPUTED_VALUE"""),5916.05)</f>
        <v>5916.05</v>
      </c>
      <c r="C3057" s="3">
        <f>IFERROR(__xludf.DUMMYFUNCTION("""COMPUTED_VALUE"""),5919.95)</f>
        <v>5919.95</v>
      </c>
      <c r="D3057" s="3">
        <f>IFERROR(__xludf.DUMMYFUNCTION("""COMPUTED_VALUE"""),5888.1)</f>
        <v>5888.1</v>
      </c>
      <c r="E3057" s="3">
        <f>IFERROR(__xludf.DUMMYFUNCTION("""COMPUTED_VALUE"""),5908.9)</f>
        <v>5908.9</v>
      </c>
      <c r="F3057" s="3">
        <f>IFERROR(__xludf.DUMMYFUNCTION("""COMPUTED_VALUE"""),0.0)</f>
        <v>0</v>
      </c>
    </row>
    <row r="3058">
      <c r="A3058" s="7">
        <f>IFERROR(__xludf.DUMMYFUNCTION("""COMPUTED_VALUE"""),41254.645833333336)</f>
        <v>41254.64583</v>
      </c>
      <c r="B3058" s="3">
        <f>IFERROR(__xludf.DUMMYFUNCTION("""COMPUTED_VALUE"""),5923.8)</f>
        <v>5923.8</v>
      </c>
      <c r="C3058" s="3">
        <f>IFERROR(__xludf.DUMMYFUNCTION("""COMPUTED_VALUE"""),5965.15)</f>
        <v>5965.15</v>
      </c>
      <c r="D3058" s="3">
        <f>IFERROR(__xludf.DUMMYFUNCTION("""COMPUTED_VALUE"""),5865.45)</f>
        <v>5865.45</v>
      </c>
      <c r="E3058" s="3">
        <f>IFERROR(__xludf.DUMMYFUNCTION("""COMPUTED_VALUE"""),5898.8)</f>
        <v>5898.8</v>
      </c>
      <c r="F3058" s="3">
        <f>IFERROR(__xludf.DUMMYFUNCTION("""COMPUTED_VALUE"""),0.0)</f>
        <v>0</v>
      </c>
    </row>
    <row r="3059">
      <c r="A3059" s="7">
        <f>IFERROR(__xludf.DUMMYFUNCTION("""COMPUTED_VALUE"""),41255.645833333336)</f>
        <v>41255.64583</v>
      </c>
      <c r="B3059" s="3">
        <f>IFERROR(__xludf.DUMMYFUNCTION("""COMPUTED_VALUE"""),5917.8)</f>
        <v>5917.8</v>
      </c>
      <c r="C3059" s="3">
        <f>IFERROR(__xludf.DUMMYFUNCTION("""COMPUTED_VALUE"""),5924.6)</f>
        <v>5924.6</v>
      </c>
      <c r="D3059" s="3">
        <f>IFERROR(__xludf.DUMMYFUNCTION("""COMPUTED_VALUE"""),5874.25)</f>
        <v>5874.25</v>
      </c>
      <c r="E3059" s="3">
        <f>IFERROR(__xludf.DUMMYFUNCTION("""COMPUTED_VALUE"""),5888.0)</f>
        <v>5888</v>
      </c>
      <c r="F3059" s="3">
        <f>IFERROR(__xludf.DUMMYFUNCTION("""COMPUTED_VALUE"""),0.0)</f>
        <v>0</v>
      </c>
    </row>
    <row r="3060">
      <c r="A3060" s="7">
        <f>IFERROR(__xludf.DUMMYFUNCTION("""COMPUTED_VALUE"""),41256.645833333336)</f>
        <v>41256.64583</v>
      </c>
      <c r="B3060" s="3">
        <f>IFERROR(__xludf.DUMMYFUNCTION("""COMPUTED_VALUE"""),5900.35)</f>
        <v>5900.35</v>
      </c>
      <c r="C3060" s="3">
        <f>IFERROR(__xludf.DUMMYFUNCTION("""COMPUTED_VALUE"""),5907.45)</f>
        <v>5907.45</v>
      </c>
      <c r="D3060" s="3">
        <f>IFERROR(__xludf.DUMMYFUNCTION("""COMPUTED_VALUE"""),5841.35)</f>
        <v>5841.35</v>
      </c>
      <c r="E3060" s="3">
        <f>IFERROR(__xludf.DUMMYFUNCTION("""COMPUTED_VALUE"""),5851.5)</f>
        <v>5851.5</v>
      </c>
      <c r="F3060" s="3">
        <f>IFERROR(__xludf.DUMMYFUNCTION("""COMPUTED_VALUE"""),0.0)</f>
        <v>0</v>
      </c>
    </row>
    <row r="3061">
      <c r="A3061" s="7">
        <f>IFERROR(__xludf.DUMMYFUNCTION("""COMPUTED_VALUE"""),41257.645833333336)</f>
        <v>41257.64583</v>
      </c>
      <c r="B3061" s="3">
        <f>IFERROR(__xludf.DUMMYFUNCTION("""COMPUTED_VALUE"""),5846.9)</f>
        <v>5846.9</v>
      </c>
      <c r="C3061" s="3">
        <f>IFERROR(__xludf.DUMMYFUNCTION("""COMPUTED_VALUE"""),5886.1)</f>
        <v>5886.1</v>
      </c>
      <c r="D3061" s="3">
        <f>IFERROR(__xludf.DUMMYFUNCTION("""COMPUTED_VALUE"""),5839.15)</f>
        <v>5839.15</v>
      </c>
      <c r="E3061" s="3">
        <f>IFERROR(__xludf.DUMMYFUNCTION("""COMPUTED_VALUE"""),5879.6)</f>
        <v>5879.6</v>
      </c>
      <c r="F3061" s="3">
        <f>IFERROR(__xludf.DUMMYFUNCTION("""COMPUTED_VALUE"""),0.0)</f>
        <v>0</v>
      </c>
    </row>
    <row r="3062">
      <c r="A3062" s="7">
        <f>IFERROR(__xludf.DUMMYFUNCTION("""COMPUTED_VALUE"""),41260.645833333336)</f>
        <v>41260.64583</v>
      </c>
      <c r="B3062" s="3">
        <f>IFERROR(__xludf.DUMMYFUNCTION("""COMPUTED_VALUE"""),5860.5)</f>
        <v>5860.5</v>
      </c>
      <c r="C3062" s="3">
        <f>IFERROR(__xludf.DUMMYFUNCTION("""COMPUTED_VALUE"""),5886.05)</f>
        <v>5886.05</v>
      </c>
      <c r="D3062" s="3">
        <f>IFERROR(__xludf.DUMMYFUNCTION("""COMPUTED_VALUE"""),5850.15)</f>
        <v>5850.15</v>
      </c>
      <c r="E3062" s="3">
        <f>IFERROR(__xludf.DUMMYFUNCTION("""COMPUTED_VALUE"""),5857.9)</f>
        <v>5857.9</v>
      </c>
      <c r="F3062" s="3">
        <f>IFERROR(__xludf.DUMMYFUNCTION("""COMPUTED_VALUE"""),0.0)</f>
        <v>0</v>
      </c>
    </row>
    <row r="3063">
      <c r="A3063" s="7">
        <f>IFERROR(__xludf.DUMMYFUNCTION("""COMPUTED_VALUE"""),41261.645833333336)</f>
        <v>41261.64583</v>
      </c>
      <c r="B3063" s="3">
        <f>IFERROR(__xludf.DUMMYFUNCTION("""COMPUTED_VALUE"""),5873.6)</f>
        <v>5873.6</v>
      </c>
      <c r="C3063" s="3">
        <f>IFERROR(__xludf.DUMMYFUNCTION("""COMPUTED_VALUE"""),5905.8)</f>
        <v>5905.8</v>
      </c>
      <c r="D3063" s="3">
        <f>IFERROR(__xludf.DUMMYFUNCTION("""COMPUTED_VALUE"""),5823.15)</f>
        <v>5823.15</v>
      </c>
      <c r="E3063" s="3">
        <f>IFERROR(__xludf.DUMMYFUNCTION("""COMPUTED_VALUE"""),5896.8)</f>
        <v>5896.8</v>
      </c>
      <c r="F3063" s="3">
        <f>IFERROR(__xludf.DUMMYFUNCTION("""COMPUTED_VALUE"""),0.0)</f>
        <v>0</v>
      </c>
    </row>
    <row r="3064">
      <c r="A3064" s="7">
        <f>IFERROR(__xludf.DUMMYFUNCTION("""COMPUTED_VALUE"""),41262.645833333336)</f>
        <v>41262.64583</v>
      </c>
      <c r="B3064" s="3">
        <f>IFERROR(__xludf.DUMMYFUNCTION("""COMPUTED_VALUE"""),5917.3)</f>
        <v>5917.3</v>
      </c>
      <c r="C3064" s="3">
        <f>IFERROR(__xludf.DUMMYFUNCTION("""COMPUTED_VALUE"""),5939.4)</f>
        <v>5939.4</v>
      </c>
      <c r="D3064" s="3">
        <f>IFERROR(__xludf.DUMMYFUNCTION("""COMPUTED_VALUE"""),5910.8)</f>
        <v>5910.8</v>
      </c>
      <c r="E3064" s="3">
        <f>IFERROR(__xludf.DUMMYFUNCTION("""COMPUTED_VALUE"""),5929.6)</f>
        <v>5929.6</v>
      </c>
      <c r="F3064" s="3">
        <f>IFERROR(__xludf.DUMMYFUNCTION("""COMPUTED_VALUE"""),0.0)</f>
        <v>0</v>
      </c>
    </row>
    <row r="3065">
      <c r="A3065" s="7">
        <f>IFERROR(__xludf.DUMMYFUNCTION("""COMPUTED_VALUE"""),41263.645833333336)</f>
        <v>41263.64583</v>
      </c>
      <c r="B3065" s="3">
        <f>IFERROR(__xludf.DUMMYFUNCTION("""COMPUTED_VALUE"""),5934.45)</f>
        <v>5934.45</v>
      </c>
      <c r="C3065" s="3">
        <f>IFERROR(__xludf.DUMMYFUNCTION("""COMPUTED_VALUE"""),5937.6)</f>
        <v>5937.6</v>
      </c>
      <c r="D3065" s="3">
        <f>IFERROR(__xludf.DUMMYFUNCTION("""COMPUTED_VALUE"""),5881.45)</f>
        <v>5881.45</v>
      </c>
      <c r="E3065" s="3">
        <f>IFERROR(__xludf.DUMMYFUNCTION("""COMPUTED_VALUE"""),5916.4)</f>
        <v>5916.4</v>
      </c>
      <c r="F3065" s="3">
        <f>IFERROR(__xludf.DUMMYFUNCTION("""COMPUTED_VALUE"""),0.0)</f>
        <v>0</v>
      </c>
    </row>
    <row r="3066">
      <c r="A3066" s="7">
        <f>IFERROR(__xludf.DUMMYFUNCTION("""COMPUTED_VALUE"""),41264.645833333336)</f>
        <v>41264.64583</v>
      </c>
      <c r="B3066" s="3">
        <f>IFERROR(__xludf.DUMMYFUNCTION("""COMPUTED_VALUE"""),5888.0)</f>
        <v>5888</v>
      </c>
      <c r="C3066" s="3">
        <f>IFERROR(__xludf.DUMMYFUNCTION("""COMPUTED_VALUE"""),5888.0)</f>
        <v>5888</v>
      </c>
      <c r="D3066" s="3">
        <f>IFERROR(__xludf.DUMMYFUNCTION("""COMPUTED_VALUE"""),5841.65)</f>
        <v>5841.65</v>
      </c>
      <c r="E3066" s="3">
        <f>IFERROR(__xludf.DUMMYFUNCTION("""COMPUTED_VALUE"""),5847.7)</f>
        <v>5847.7</v>
      </c>
      <c r="F3066" s="3">
        <f>IFERROR(__xludf.DUMMYFUNCTION("""COMPUTED_VALUE"""),0.0)</f>
        <v>0</v>
      </c>
    </row>
    <row r="3067">
      <c r="A3067" s="7">
        <f>IFERROR(__xludf.DUMMYFUNCTION("""COMPUTED_VALUE"""),41267.645833333336)</f>
        <v>41267.64583</v>
      </c>
      <c r="B3067" s="3">
        <f>IFERROR(__xludf.DUMMYFUNCTION("""COMPUTED_VALUE"""),5869.0)</f>
        <v>5869</v>
      </c>
      <c r="C3067" s="3">
        <f>IFERROR(__xludf.DUMMYFUNCTION("""COMPUTED_VALUE"""),5871.9)</f>
        <v>5871.9</v>
      </c>
      <c r="D3067" s="3">
        <f>IFERROR(__xludf.DUMMYFUNCTION("""COMPUTED_VALUE"""),5844.7)</f>
        <v>5844.7</v>
      </c>
      <c r="E3067" s="3">
        <f>IFERROR(__xludf.DUMMYFUNCTION("""COMPUTED_VALUE"""),5855.75)</f>
        <v>5855.75</v>
      </c>
      <c r="F3067" s="3">
        <f>IFERROR(__xludf.DUMMYFUNCTION("""COMPUTED_VALUE"""),0.0)</f>
        <v>0</v>
      </c>
    </row>
    <row r="3068">
      <c r="A3068" s="7">
        <f>IFERROR(__xludf.DUMMYFUNCTION("""COMPUTED_VALUE"""),41269.645833333336)</f>
        <v>41269.64583</v>
      </c>
      <c r="B3068" s="3">
        <f>IFERROR(__xludf.DUMMYFUNCTION("""COMPUTED_VALUE"""),5864.95)</f>
        <v>5864.95</v>
      </c>
      <c r="C3068" s="3">
        <f>IFERROR(__xludf.DUMMYFUNCTION("""COMPUTED_VALUE"""),5917.3)</f>
        <v>5917.3</v>
      </c>
      <c r="D3068" s="3">
        <f>IFERROR(__xludf.DUMMYFUNCTION("""COMPUTED_VALUE"""),5859.55)</f>
        <v>5859.55</v>
      </c>
      <c r="E3068" s="3">
        <f>IFERROR(__xludf.DUMMYFUNCTION("""COMPUTED_VALUE"""),5905.6)</f>
        <v>5905.6</v>
      </c>
      <c r="F3068" s="3">
        <f>IFERROR(__xludf.DUMMYFUNCTION("""COMPUTED_VALUE"""),0.0)</f>
        <v>0</v>
      </c>
    </row>
    <row r="3069">
      <c r="A3069" s="7">
        <f>IFERROR(__xludf.DUMMYFUNCTION("""COMPUTED_VALUE"""),41270.645833333336)</f>
        <v>41270.64583</v>
      </c>
      <c r="B3069" s="3">
        <f>IFERROR(__xludf.DUMMYFUNCTION("""COMPUTED_VALUE"""),5930.2)</f>
        <v>5930.2</v>
      </c>
      <c r="C3069" s="3">
        <f>IFERROR(__xludf.DUMMYFUNCTION("""COMPUTED_VALUE"""),5930.8)</f>
        <v>5930.8</v>
      </c>
      <c r="D3069" s="3">
        <f>IFERROR(__xludf.DUMMYFUNCTION("""COMPUTED_VALUE"""),5864.7)</f>
        <v>5864.7</v>
      </c>
      <c r="E3069" s="3">
        <f>IFERROR(__xludf.DUMMYFUNCTION("""COMPUTED_VALUE"""),5870.1)</f>
        <v>5870.1</v>
      </c>
      <c r="F3069" s="3">
        <f>IFERROR(__xludf.DUMMYFUNCTION("""COMPUTED_VALUE"""),0.0)</f>
        <v>0</v>
      </c>
    </row>
    <row r="3070">
      <c r="A3070" s="7">
        <f>IFERROR(__xludf.DUMMYFUNCTION("""COMPUTED_VALUE"""),41271.645833333336)</f>
        <v>41271.64583</v>
      </c>
      <c r="B3070" s="3">
        <f>IFERROR(__xludf.DUMMYFUNCTION("""COMPUTED_VALUE"""),5887.15)</f>
        <v>5887.15</v>
      </c>
      <c r="C3070" s="3">
        <f>IFERROR(__xludf.DUMMYFUNCTION("""COMPUTED_VALUE"""),5915.75)</f>
        <v>5915.75</v>
      </c>
      <c r="D3070" s="3">
        <f>IFERROR(__xludf.DUMMYFUNCTION("""COMPUTED_VALUE"""),5879.5)</f>
        <v>5879.5</v>
      </c>
      <c r="E3070" s="3">
        <f>IFERROR(__xludf.DUMMYFUNCTION("""COMPUTED_VALUE"""),5908.35)</f>
        <v>5908.35</v>
      </c>
      <c r="F3070" s="3">
        <f>IFERROR(__xludf.DUMMYFUNCTION("""COMPUTED_VALUE"""),0.0)</f>
        <v>0</v>
      </c>
    </row>
    <row r="3071">
      <c r="A3071" s="7">
        <f>IFERROR(__xludf.DUMMYFUNCTION("""COMPUTED_VALUE"""),41274.645833333336)</f>
        <v>41274.64583</v>
      </c>
      <c r="B3071" s="3">
        <f>IFERROR(__xludf.DUMMYFUNCTION("""COMPUTED_VALUE"""),5901.2)</f>
        <v>5901.2</v>
      </c>
      <c r="C3071" s="3">
        <f>IFERROR(__xludf.DUMMYFUNCTION("""COMPUTED_VALUE"""),5919.0)</f>
        <v>5919</v>
      </c>
      <c r="D3071" s="3">
        <f>IFERROR(__xludf.DUMMYFUNCTION("""COMPUTED_VALUE"""),5897.15)</f>
        <v>5897.15</v>
      </c>
      <c r="E3071" s="3">
        <f>IFERROR(__xludf.DUMMYFUNCTION("""COMPUTED_VALUE"""),5905.1)</f>
        <v>5905.1</v>
      </c>
      <c r="F3071" s="3">
        <f>IFERROR(__xludf.DUMMYFUNCTION("""COMPUTED_VALUE"""),0.0)</f>
        <v>0</v>
      </c>
    </row>
    <row r="3072">
      <c r="A3072" s="7">
        <f>IFERROR(__xludf.DUMMYFUNCTION("""COMPUTED_VALUE"""),41275.645833333336)</f>
        <v>41275.64583</v>
      </c>
      <c r="B3072" s="3">
        <f>IFERROR(__xludf.DUMMYFUNCTION("""COMPUTED_VALUE"""),5937.65)</f>
        <v>5937.65</v>
      </c>
      <c r="C3072" s="3">
        <f>IFERROR(__xludf.DUMMYFUNCTION("""COMPUTED_VALUE"""),5963.9)</f>
        <v>5963.9</v>
      </c>
      <c r="D3072" s="3">
        <f>IFERROR(__xludf.DUMMYFUNCTION("""COMPUTED_VALUE"""),5935.2)</f>
        <v>5935.2</v>
      </c>
      <c r="E3072" s="3">
        <f>IFERROR(__xludf.DUMMYFUNCTION("""COMPUTED_VALUE"""),5950.85)</f>
        <v>5950.85</v>
      </c>
      <c r="F3072" s="3">
        <f>IFERROR(__xludf.DUMMYFUNCTION("""COMPUTED_VALUE"""),0.0)</f>
        <v>0</v>
      </c>
    </row>
    <row r="3073">
      <c r="A3073" s="7">
        <f>IFERROR(__xludf.DUMMYFUNCTION("""COMPUTED_VALUE"""),41276.645833333336)</f>
        <v>41276.64583</v>
      </c>
      <c r="B3073" s="3">
        <f>IFERROR(__xludf.DUMMYFUNCTION("""COMPUTED_VALUE"""),5982.6)</f>
        <v>5982.6</v>
      </c>
      <c r="C3073" s="3">
        <f>IFERROR(__xludf.DUMMYFUNCTION("""COMPUTED_VALUE"""),6006.05)</f>
        <v>6006.05</v>
      </c>
      <c r="D3073" s="3">
        <f>IFERROR(__xludf.DUMMYFUNCTION("""COMPUTED_VALUE"""),5982.0)</f>
        <v>5982</v>
      </c>
      <c r="E3073" s="3">
        <f>IFERROR(__xludf.DUMMYFUNCTION("""COMPUTED_VALUE"""),5993.25)</f>
        <v>5993.25</v>
      </c>
      <c r="F3073" s="3">
        <f>IFERROR(__xludf.DUMMYFUNCTION("""COMPUTED_VALUE"""),0.0)</f>
        <v>0</v>
      </c>
    </row>
    <row r="3074">
      <c r="A3074" s="7">
        <f>IFERROR(__xludf.DUMMYFUNCTION("""COMPUTED_VALUE"""),41277.645833333336)</f>
        <v>41277.64583</v>
      </c>
      <c r="B3074" s="3">
        <f>IFERROR(__xludf.DUMMYFUNCTION("""COMPUTED_VALUE"""),6015.8)</f>
        <v>6015.8</v>
      </c>
      <c r="C3074" s="3">
        <f>IFERROR(__xludf.DUMMYFUNCTION("""COMPUTED_VALUE"""),6017.0)</f>
        <v>6017</v>
      </c>
      <c r="D3074" s="3">
        <f>IFERROR(__xludf.DUMMYFUNCTION("""COMPUTED_VALUE"""),5986.55)</f>
        <v>5986.55</v>
      </c>
      <c r="E3074" s="3">
        <f>IFERROR(__xludf.DUMMYFUNCTION("""COMPUTED_VALUE"""),6009.5)</f>
        <v>6009.5</v>
      </c>
      <c r="F3074" s="3">
        <f>IFERROR(__xludf.DUMMYFUNCTION("""COMPUTED_VALUE"""),0.0)</f>
        <v>0</v>
      </c>
    </row>
    <row r="3075">
      <c r="A3075" s="7">
        <f>IFERROR(__xludf.DUMMYFUNCTION("""COMPUTED_VALUE"""),41278.645833333336)</f>
        <v>41278.64583</v>
      </c>
      <c r="B3075" s="3">
        <f>IFERROR(__xludf.DUMMYFUNCTION("""COMPUTED_VALUE"""),6011.95)</f>
        <v>6011.95</v>
      </c>
      <c r="C3075" s="3">
        <f>IFERROR(__xludf.DUMMYFUNCTION("""COMPUTED_VALUE"""),6020.75)</f>
        <v>6020.75</v>
      </c>
      <c r="D3075" s="3">
        <f>IFERROR(__xludf.DUMMYFUNCTION("""COMPUTED_VALUE"""),5981.55)</f>
        <v>5981.55</v>
      </c>
      <c r="E3075" s="3">
        <f>IFERROR(__xludf.DUMMYFUNCTION("""COMPUTED_VALUE"""),6016.15)</f>
        <v>6016.15</v>
      </c>
      <c r="F3075" s="3">
        <f>IFERROR(__xludf.DUMMYFUNCTION("""COMPUTED_VALUE"""),0.0)</f>
        <v>0</v>
      </c>
    </row>
    <row r="3076">
      <c r="A3076" s="7">
        <f>IFERROR(__xludf.DUMMYFUNCTION("""COMPUTED_VALUE"""),41281.645833333336)</f>
        <v>41281.64583</v>
      </c>
      <c r="B3076" s="3">
        <f>IFERROR(__xludf.DUMMYFUNCTION("""COMPUTED_VALUE"""),6042.15)</f>
        <v>6042.15</v>
      </c>
      <c r="C3076" s="3">
        <f>IFERROR(__xludf.DUMMYFUNCTION("""COMPUTED_VALUE"""),6042.15)</f>
        <v>6042.15</v>
      </c>
      <c r="D3076" s="3">
        <f>IFERROR(__xludf.DUMMYFUNCTION("""COMPUTED_VALUE"""),5977.15)</f>
        <v>5977.15</v>
      </c>
      <c r="E3076" s="3">
        <f>IFERROR(__xludf.DUMMYFUNCTION("""COMPUTED_VALUE"""),5988.4)</f>
        <v>5988.4</v>
      </c>
      <c r="F3076" s="3">
        <f>IFERROR(__xludf.DUMMYFUNCTION("""COMPUTED_VALUE"""),0.0)</f>
        <v>0</v>
      </c>
    </row>
    <row r="3077">
      <c r="A3077" s="7">
        <f>IFERROR(__xludf.DUMMYFUNCTION("""COMPUTED_VALUE"""),41282.645833333336)</f>
        <v>41282.64583</v>
      </c>
      <c r="B3077" s="3">
        <f>IFERROR(__xludf.DUMMYFUNCTION("""COMPUTED_VALUE"""),5983.45)</f>
        <v>5983.45</v>
      </c>
      <c r="C3077" s="3">
        <f>IFERROR(__xludf.DUMMYFUNCTION("""COMPUTED_VALUE"""),6007.05)</f>
        <v>6007.05</v>
      </c>
      <c r="D3077" s="3">
        <f>IFERROR(__xludf.DUMMYFUNCTION("""COMPUTED_VALUE"""),5964.4)</f>
        <v>5964.4</v>
      </c>
      <c r="E3077" s="3">
        <f>IFERROR(__xludf.DUMMYFUNCTION("""COMPUTED_VALUE"""),6001.7)</f>
        <v>6001.7</v>
      </c>
      <c r="F3077" s="3">
        <f>IFERROR(__xludf.DUMMYFUNCTION("""COMPUTED_VALUE"""),0.0)</f>
        <v>0</v>
      </c>
    </row>
    <row r="3078">
      <c r="A3078" s="7">
        <f>IFERROR(__xludf.DUMMYFUNCTION("""COMPUTED_VALUE"""),41283.645833333336)</f>
        <v>41283.64583</v>
      </c>
      <c r="B3078" s="3">
        <f>IFERROR(__xludf.DUMMYFUNCTION("""COMPUTED_VALUE"""),6006.2)</f>
        <v>6006.2</v>
      </c>
      <c r="C3078" s="3">
        <f>IFERROR(__xludf.DUMMYFUNCTION("""COMPUTED_VALUE"""),6020.1)</f>
        <v>6020.1</v>
      </c>
      <c r="D3078" s="3">
        <f>IFERROR(__xludf.DUMMYFUNCTION("""COMPUTED_VALUE"""),5958.45)</f>
        <v>5958.45</v>
      </c>
      <c r="E3078" s="3">
        <f>IFERROR(__xludf.DUMMYFUNCTION("""COMPUTED_VALUE"""),5971.5)</f>
        <v>5971.5</v>
      </c>
      <c r="F3078" s="3">
        <f>IFERROR(__xludf.DUMMYFUNCTION("""COMPUTED_VALUE"""),0.0)</f>
        <v>0</v>
      </c>
    </row>
    <row r="3079">
      <c r="A3079" s="7">
        <f>IFERROR(__xludf.DUMMYFUNCTION("""COMPUTED_VALUE"""),41284.645833333336)</f>
        <v>41284.64583</v>
      </c>
      <c r="B3079" s="3">
        <f>IFERROR(__xludf.DUMMYFUNCTION("""COMPUTED_VALUE"""),5998.8)</f>
        <v>5998.8</v>
      </c>
      <c r="C3079" s="3">
        <f>IFERROR(__xludf.DUMMYFUNCTION("""COMPUTED_VALUE"""),6005.15)</f>
        <v>6005.15</v>
      </c>
      <c r="D3079" s="3">
        <f>IFERROR(__xludf.DUMMYFUNCTION("""COMPUTED_VALUE"""),5947.3)</f>
        <v>5947.3</v>
      </c>
      <c r="E3079" s="3">
        <f>IFERROR(__xludf.DUMMYFUNCTION("""COMPUTED_VALUE"""),5968.65)</f>
        <v>5968.65</v>
      </c>
      <c r="F3079" s="3">
        <f>IFERROR(__xludf.DUMMYFUNCTION("""COMPUTED_VALUE"""),0.0)</f>
        <v>0</v>
      </c>
    </row>
    <row r="3080">
      <c r="A3080" s="7">
        <f>IFERROR(__xludf.DUMMYFUNCTION("""COMPUTED_VALUE"""),41285.645833333336)</f>
        <v>41285.64583</v>
      </c>
      <c r="B3080" s="3">
        <f>IFERROR(__xludf.DUMMYFUNCTION("""COMPUTED_VALUE"""),6012.4)</f>
        <v>6012.4</v>
      </c>
      <c r="C3080" s="3">
        <f>IFERROR(__xludf.DUMMYFUNCTION("""COMPUTED_VALUE"""),6018.85)</f>
        <v>6018.85</v>
      </c>
      <c r="D3080" s="3">
        <f>IFERROR(__xludf.DUMMYFUNCTION("""COMPUTED_VALUE"""),5940.6)</f>
        <v>5940.6</v>
      </c>
      <c r="E3080" s="3">
        <f>IFERROR(__xludf.DUMMYFUNCTION("""COMPUTED_VALUE"""),5951.3)</f>
        <v>5951.3</v>
      </c>
      <c r="F3080" s="3">
        <f>IFERROR(__xludf.DUMMYFUNCTION("""COMPUTED_VALUE"""),0.0)</f>
        <v>0</v>
      </c>
    </row>
    <row r="3081">
      <c r="A3081" s="7">
        <f>IFERROR(__xludf.DUMMYFUNCTION("""COMPUTED_VALUE"""),41288.645833333336)</f>
        <v>41288.64583</v>
      </c>
      <c r="B3081" s="3">
        <f>IFERROR(__xludf.DUMMYFUNCTION("""COMPUTED_VALUE"""),5967.2)</f>
        <v>5967.2</v>
      </c>
      <c r="C3081" s="3">
        <f>IFERROR(__xludf.DUMMYFUNCTION("""COMPUTED_VALUE"""),6036.9)</f>
        <v>6036.9</v>
      </c>
      <c r="D3081" s="3">
        <f>IFERROR(__xludf.DUMMYFUNCTION("""COMPUTED_VALUE"""),5962.15)</f>
        <v>5962.15</v>
      </c>
      <c r="E3081" s="3">
        <f>IFERROR(__xludf.DUMMYFUNCTION("""COMPUTED_VALUE"""),6024.05)</f>
        <v>6024.05</v>
      </c>
      <c r="F3081" s="3">
        <f>IFERROR(__xludf.DUMMYFUNCTION("""COMPUTED_VALUE"""),0.0)</f>
        <v>0</v>
      </c>
    </row>
    <row r="3082">
      <c r="A3082" s="7">
        <f>IFERROR(__xludf.DUMMYFUNCTION("""COMPUTED_VALUE"""),41289.645833333336)</f>
        <v>41289.64583</v>
      </c>
      <c r="B3082" s="3">
        <f>IFERROR(__xludf.DUMMYFUNCTION("""COMPUTED_VALUE"""),6037.85)</f>
        <v>6037.85</v>
      </c>
      <c r="C3082" s="3">
        <f>IFERROR(__xludf.DUMMYFUNCTION("""COMPUTED_VALUE"""),6068.5)</f>
        <v>6068.5</v>
      </c>
      <c r="D3082" s="3">
        <f>IFERROR(__xludf.DUMMYFUNCTION("""COMPUTED_VALUE"""),6018.6)</f>
        <v>6018.6</v>
      </c>
      <c r="E3082" s="3">
        <f>IFERROR(__xludf.DUMMYFUNCTION("""COMPUTED_VALUE"""),6056.6)</f>
        <v>6056.6</v>
      </c>
      <c r="F3082" s="3">
        <f>IFERROR(__xludf.DUMMYFUNCTION("""COMPUTED_VALUE"""),0.0)</f>
        <v>0</v>
      </c>
    </row>
    <row r="3083">
      <c r="A3083" s="7">
        <f>IFERROR(__xludf.DUMMYFUNCTION("""COMPUTED_VALUE"""),41290.645833333336)</f>
        <v>41290.64583</v>
      </c>
      <c r="B3083" s="3">
        <f>IFERROR(__xludf.DUMMYFUNCTION("""COMPUTED_VALUE"""),6049.0)</f>
        <v>6049</v>
      </c>
      <c r="C3083" s="3">
        <f>IFERROR(__xludf.DUMMYFUNCTION("""COMPUTED_VALUE"""),6055.95)</f>
        <v>6055.95</v>
      </c>
      <c r="D3083" s="3">
        <f>IFERROR(__xludf.DUMMYFUNCTION("""COMPUTED_VALUE"""),5992.05)</f>
        <v>5992.05</v>
      </c>
      <c r="E3083" s="3">
        <f>IFERROR(__xludf.DUMMYFUNCTION("""COMPUTED_VALUE"""),6001.85)</f>
        <v>6001.85</v>
      </c>
      <c r="F3083" s="3">
        <f>IFERROR(__xludf.DUMMYFUNCTION("""COMPUTED_VALUE"""),0.0)</f>
        <v>0</v>
      </c>
    </row>
    <row r="3084">
      <c r="A3084" s="7">
        <f>IFERROR(__xludf.DUMMYFUNCTION("""COMPUTED_VALUE"""),41291.645833333336)</f>
        <v>41291.64583</v>
      </c>
      <c r="B3084" s="3">
        <f>IFERROR(__xludf.DUMMYFUNCTION("""COMPUTED_VALUE"""),6001.25)</f>
        <v>6001.25</v>
      </c>
      <c r="C3084" s="3">
        <f>IFERROR(__xludf.DUMMYFUNCTION("""COMPUTED_VALUE"""),6053.2)</f>
        <v>6053.2</v>
      </c>
      <c r="D3084" s="3">
        <f>IFERROR(__xludf.DUMMYFUNCTION("""COMPUTED_VALUE"""),5988.1)</f>
        <v>5988.1</v>
      </c>
      <c r="E3084" s="3">
        <f>IFERROR(__xludf.DUMMYFUNCTION("""COMPUTED_VALUE"""),6039.2)</f>
        <v>6039.2</v>
      </c>
      <c r="F3084" s="3">
        <f>IFERROR(__xludf.DUMMYFUNCTION("""COMPUTED_VALUE"""),0.0)</f>
        <v>0</v>
      </c>
    </row>
    <row r="3085">
      <c r="A3085" s="7">
        <f>IFERROR(__xludf.DUMMYFUNCTION("""COMPUTED_VALUE"""),41292.645833333336)</f>
        <v>41292.64583</v>
      </c>
      <c r="B3085" s="3">
        <f>IFERROR(__xludf.DUMMYFUNCTION("""COMPUTED_VALUE"""),6059.85)</f>
        <v>6059.85</v>
      </c>
      <c r="C3085" s="3">
        <f>IFERROR(__xludf.DUMMYFUNCTION("""COMPUTED_VALUE"""),6083.4)</f>
        <v>6083.4</v>
      </c>
      <c r="D3085" s="3">
        <f>IFERROR(__xludf.DUMMYFUNCTION("""COMPUTED_VALUE"""),6048.3)</f>
        <v>6048.3</v>
      </c>
      <c r="E3085" s="3">
        <f>IFERROR(__xludf.DUMMYFUNCTION("""COMPUTED_VALUE"""),6064.4)</f>
        <v>6064.4</v>
      </c>
      <c r="F3085" s="3">
        <f>IFERROR(__xludf.DUMMYFUNCTION("""COMPUTED_VALUE"""),0.0)</f>
        <v>0</v>
      </c>
    </row>
    <row r="3086">
      <c r="A3086" s="7">
        <f>IFERROR(__xludf.DUMMYFUNCTION("""COMPUTED_VALUE"""),41295.645833333336)</f>
        <v>41295.64583</v>
      </c>
      <c r="B3086" s="3">
        <f>IFERROR(__xludf.DUMMYFUNCTION("""COMPUTED_VALUE"""),6085.75)</f>
        <v>6085.75</v>
      </c>
      <c r="C3086" s="3">
        <f>IFERROR(__xludf.DUMMYFUNCTION("""COMPUTED_VALUE"""),6094.35)</f>
        <v>6094.35</v>
      </c>
      <c r="D3086" s="3">
        <f>IFERROR(__xludf.DUMMYFUNCTION("""COMPUTED_VALUE"""),6065.1)</f>
        <v>6065.1</v>
      </c>
      <c r="E3086" s="3">
        <f>IFERROR(__xludf.DUMMYFUNCTION("""COMPUTED_VALUE"""),6082.3)</f>
        <v>6082.3</v>
      </c>
      <c r="F3086" s="3">
        <f>IFERROR(__xludf.DUMMYFUNCTION("""COMPUTED_VALUE"""),0.0)</f>
        <v>0</v>
      </c>
    </row>
    <row r="3087">
      <c r="A3087" s="7">
        <f>IFERROR(__xludf.DUMMYFUNCTION("""COMPUTED_VALUE"""),41296.645833333336)</f>
        <v>41296.64583</v>
      </c>
      <c r="B3087" s="3">
        <f>IFERROR(__xludf.DUMMYFUNCTION("""COMPUTED_VALUE"""),6080.15)</f>
        <v>6080.15</v>
      </c>
      <c r="C3087" s="3">
        <f>IFERROR(__xludf.DUMMYFUNCTION("""COMPUTED_VALUE"""),6101.3)</f>
        <v>6101.3</v>
      </c>
      <c r="D3087" s="3">
        <f>IFERROR(__xludf.DUMMYFUNCTION("""COMPUTED_VALUE"""),6040.5)</f>
        <v>6040.5</v>
      </c>
      <c r="E3087" s="3">
        <f>IFERROR(__xludf.DUMMYFUNCTION("""COMPUTED_VALUE"""),6048.5)</f>
        <v>6048.5</v>
      </c>
      <c r="F3087" s="3">
        <f>IFERROR(__xludf.DUMMYFUNCTION("""COMPUTED_VALUE"""),0.0)</f>
        <v>0</v>
      </c>
    </row>
    <row r="3088">
      <c r="A3088" s="7">
        <f>IFERROR(__xludf.DUMMYFUNCTION("""COMPUTED_VALUE"""),41297.645833333336)</f>
        <v>41297.64583</v>
      </c>
      <c r="B3088" s="3">
        <f>IFERROR(__xludf.DUMMYFUNCTION("""COMPUTED_VALUE"""),6052.85)</f>
        <v>6052.85</v>
      </c>
      <c r="C3088" s="3">
        <f>IFERROR(__xludf.DUMMYFUNCTION("""COMPUTED_VALUE"""),6069.8)</f>
        <v>6069.8</v>
      </c>
      <c r="D3088" s="3">
        <f>IFERROR(__xludf.DUMMYFUNCTION("""COMPUTED_VALUE"""),6021.15)</f>
        <v>6021.15</v>
      </c>
      <c r="E3088" s="3">
        <f>IFERROR(__xludf.DUMMYFUNCTION("""COMPUTED_VALUE"""),6054.3)</f>
        <v>6054.3</v>
      </c>
      <c r="F3088" s="3">
        <f>IFERROR(__xludf.DUMMYFUNCTION("""COMPUTED_VALUE"""),0.0)</f>
        <v>0</v>
      </c>
    </row>
    <row r="3089">
      <c r="A3089" s="7">
        <f>IFERROR(__xludf.DUMMYFUNCTION("""COMPUTED_VALUE"""),41298.645833333336)</f>
        <v>41298.64583</v>
      </c>
      <c r="B3089" s="3">
        <f>IFERROR(__xludf.DUMMYFUNCTION("""COMPUTED_VALUE"""),6046.2)</f>
        <v>6046.2</v>
      </c>
      <c r="C3089" s="3">
        <f>IFERROR(__xludf.DUMMYFUNCTION("""COMPUTED_VALUE"""),6065.3)</f>
        <v>6065.3</v>
      </c>
      <c r="D3089" s="3">
        <f>IFERROR(__xludf.DUMMYFUNCTION("""COMPUTED_VALUE"""),6007.85)</f>
        <v>6007.85</v>
      </c>
      <c r="E3089" s="3">
        <f>IFERROR(__xludf.DUMMYFUNCTION("""COMPUTED_VALUE"""),6019.35)</f>
        <v>6019.35</v>
      </c>
      <c r="F3089" s="3">
        <f>IFERROR(__xludf.DUMMYFUNCTION("""COMPUTED_VALUE"""),0.0)</f>
        <v>0</v>
      </c>
    </row>
    <row r="3090">
      <c r="A3090" s="7">
        <f>IFERROR(__xludf.DUMMYFUNCTION("""COMPUTED_VALUE"""),41299.645833333336)</f>
        <v>41299.64583</v>
      </c>
      <c r="B3090" s="3">
        <f>IFERROR(__xludf.DUMMYFUNCTION("""COMPUTED_VALUE"""),6024.5)</f>
        <v>6024.5</v>
      </c>
      <c r="C3090" s="3">
        <f>IFERROR(__xludf.DUMMYFUNCTION("""COMPUTED_VALUE"""),6080.55)</f>
        <v>6080.55</v>
      </c>
      <c r="D3090" s="3">
        <f>IFERROR(__xludf.DUMMYFUNCTION("""COMPUTED_VALUE"""),6014.45)</f>
        <v>6014.45</v>
      </c>
      <c r="E3090" s="3">
        <f>IFERROR(__xludf.DUMMYFUNCTION("""COMPUTED_VALUE"""),6074.65)</f>
        <v>6074.65</v>
      </c>
      <c r="F3090" s="3">
        <f>IFERROR(__xludf.DUMMYFUNCTION("""COMPUTED_VALUE"""),0.0)</f>
        <v>0</v>
      </c>
    </row>
    <row r="3091">
      <c r="A3091" s="7">
        <f>IFERROR(__xludf.DUMMYFUNCTION("""COMPUTED_VALUE"""),41302.645833333336)</f>
        <v>41302.64583</v>
      </c>
      <c r="B3091" s="3">
        <f>IFERROR(__xludf.DUMMYFUNCTION("""COMPUTED_VALUE"""),6082.1)</f>
        <v>6082.1</v>
      </c>
      <c r="C3091" s="3">
        <f>IFERROR(__xludf.DUMMYFUNCTION("""COMPUTED_VALUE"""),6088.4)</f>
        <v>6088.4</v>
      </c>
      <c r="D3091" s="3">
        <f>IFERROR(__xludf.DUMMYFUNCTION("""COMPUTED_VALUE"""),6061.4)</f>
        <v>6061.4</v>
      </c>
      <c r="E3091" s="3">
        <f>IFERROR(__xludf.DUMMYFUNCTION("""COMPUTED_VALUE"""),6074.8)</f>
        <v>6074.8</v>
      </c>
      <c r="F3091" s="3">
        <f>IFERROR(__xludf.DUMMYFUNCTION("""COMPUTED_VALUE"""),0.0)</f>
        <v>0</v>
      </c>
    </row>
    <row r="3092">
      <c r="A3092" s="7">
        <f>IFERROR(__xludf.DUMMYFUNCTION("""COMPUTED_VALUE"""),41303.645833333336)</f>
        <v>41303.64583</v>
      </c>
      <c r="B3092" s="3">
        <f>IFERROR(__xludf.DUMMYFUNCTION("""COMPUTED_VALUE"""),6064.7)</f>
        <v>6064.7</v>
      </c>
      <c r="C3092" s="3">
        <f>IFERROR(__xludf.DUMMYFUNCTION("""COMPUTED_VALUE"""),6111.8)</f>
        <v>6111.8</v>
      </c>
      <c r="D3092" s="3">
        <f>IFERROR(__xludf.DUMMYFUNCTION("""COMPUTED_VALUE"""),6042.45)</f>
        <v>6042.45</v>
      </c>
      <c r="E3092" s="3">
        <f>IFERROR(__xludf.DUMMYFUNCTION("""COMPUTED_VALUE"""),6049.9)</f>
        <v>6049.9</v>
      </c>
      <c r="F3092" s="3">
        <f>IFERROR(__xludf.DUMMYFUNCTION("""COMPUTED_VALUE"""),0.0)</f>
        <v>0</v>
      </c>
    </row>
    <row r="3093">
      <c r="A3093" s="7">
        <f>IFERROR(__xludf.DUMMYFUNCTION("""COMPUTED_VALUE"""),41304.645833333336)</f>
        <v>41304.64583</v>
      </c>
      <c r="B3093" s="3">
        <f>IFERROR(__xludf.DUMMYFUNCTION("""COMPUTED_VALUE"""),6065.0)</f>
        <v>6065</v>
      </c>
      <c r="C3093" s="3">
        <f>IFERROR(__xludf.DUMMYFUNCTION("""COMPUTED_VALUE"""),6071.95)</f>
        <v>6071.95</v>
      </c>
      <c r="D3093" s="3">
        <f>IFERROR(__xludf.DUMMYFUNCTION("""COMPUTED_VALUE"""),6044.15)</f>
        <v>6044.15</v>
      </c>
      <c r="E3093" s="3">
        <f>IFERROR(__xludf.DUMMYFUNCTION("""COMPUTED_VALUE"""),6055.75)</f>
        <v>6055.75</v>
      </c>
      <c r="F3093" s="3">
        <f>IFERROR(__xludf.DUMMYFUNCTION("""COMPUTED_VALUE"""),0.0)</f>
        <v>0</v>
      </c>
    </row>
    <row r="3094">
      <c r="A3094" s="7">
        <f>IFERROR(__xludf.DUMMYFUNCTION("""COMPUTED_VALUE"""),41305.645833333336)</f>
        <v>41305.64583</v>
      </c>
      <c r="B3094" s="3">
        <f>IFERROR(__xludf.DUMMYFUNCTION("""COMPUTED_VALUE"""),6045.65)</f>
        <v>6045.65</v>
      </c>
      <c r="C3094" s="3">
        <f>IFERROR(__xludf.DUMMYFUNCTION("""COMPUTED_VALUE"""),6058.05)</f>
        <v>6058.05</v>
      </c>
      <c r="D3094" s="3">
        <f>IFERROR(__xludf.DUMMYFUNCTION("""COMPUTED_VALUE"""),6025.15)</f>
        <v>6025.15</v>
      </c>
      <c r="E3094" s="3">
        <f>IFERROR(__xludf.DUMMYFUNCTION("""COMPUTED_VALUE"""),6034.75)</f>
        <v>6034.75</v>
      </c>
      <c r="F3094" s="3">
        <f>IFERROR(__xludf.DUMMYFUNCTION("""COMPUTED_VALUE"""),0.0)</f>
        <v>0</v>
      </c>
    </row>
    <row r="3095">
      <c r="A3095" s="7">
        <f>IFERROR(__xludf.DUMMYFUNCTION("""COMPUTED_VALUE"""),41306.645833333336)</f>
        <v>41306.64583</v>
      </c>
      <c r="B3095" s="3">
        <f>IFERROR(__xludf.DUMMYFUNCTION("""COMPUTED_VALUE"""),6040.95)</f>
        <v>6040.95</v>
      </c>
      <c r="C3095" s="3">
        <f>IFERROR(__xludf.DUMMYFUNCTION("""COMPUTED_VALUE"""),6052.95)</f>
        <v>6052.95</v>
      </c>
      <c r="D3095" s="3">
        <f>IFERROR(__xludf.DUMMYFUNCTION("""COMPUTED_VALUE"""),5983.2)</f>
        <v>5983.2</v>
      </c>
      <c r="E3095" s="3">
        <f>IFERROR(__xludf.DUMMYFUNCTION("""COMPUTED_VALUE"""),5998.9)</f>
        <v>5998.9</v>
      </c>
      <c r="F3095" s="3">
        <f>IFERROR(__xludf.DUMMYFUNCTION("""COMPUTED_VALUE"""),0.0)</f>
        <v>0</v>
      </c>
    </row>
    <row r="3096">
      <c r="A3096" s="7">
        <f>IFERROR(__xludf.DUMMYFUNCTION("""COMPUTED_VALUE"""),41309.645833333336)</f>
        <v>41309.64583</v>
      </c>
      <c r="B3096" s="3">
        <f>IFERROR(__xludf.DUMMYFUNCTION("""COMPUTED_VALUE"""),6025.2)</f>
        <v>6025.2</v>
      </c>
      <c r="C3096" s="3">
        <f>IFERROR(__xludf.DUMMYFUNCTION("""COMPUTED_VALUE"""),6038.5)</f>
        <v>6038.5</v>
      </c>
      <c r="D3096" s="3">
        <f>IFERROR(__xludf.DUMMYFUNCTION("""COMPUTED_VALUE"""),5981.25)</f>
        <v>5981.25</v>
      </c>
      <c r="E3096" s="3">
        <f>IFERROR(__xludf.DUMMYFUNCTION("""COMPUTED_VALUE"""),5987.25)</f>
        <v>5987.25</v>
      </c>
      <c r="F3096" s="3">
        <f>IFERROR(__xludf.DUMMYFUNCTION("""COMPUTED_VALUE"""),0.0)</f>
        <v>0</v>
      </c>
    </row>
    <row r="3097">
      <c r="A3097" s="7">
        <f>IFERROR(__xludf.DUMMYFUNCTION("""COMPUTED_VALUE"""),41310.645833333336)</f>
        <v>41310.64583</v>
      </c>
      <c r="B3097" s="3">
        <f>IFERROR(__xludf.DUMMYFUNCTION("""COMPUTED_VALUE"""),5948.2)</f>
        <v>5948.2</v>
      </c>
      <c r="C3097" s="3">
        <f>IFERROR(__xludf.DUMMYFUNCTION("""COMPUTED_VALUE"""),5970.35)</f>
        <v>5970.35</v>
      </c>
      <c r="D3097" s="3">
        <f>IFERROR(__xludf.DUMMYFUNCTION("""COMPUTED_VALUE"""),5946.9)</f>
        <v>5946.9</v>
      </c>
      <c r="E3097" s="3">
        <f>IFERROR(__xludf.DUMMYFUNCTION("""COMPUTED_VALUE"""),5956.9)</f>
        <v>5956.9</v>
      </c>
      <c r="F3097" s="3">
        <f>IFERROR(__xludf.DUMMYFUNCTION("""COMPUTED_VALUE"""),0.0)</f>
        <v>0</v>
      </c>
    </row>
    <row r="3098">
      <c r="A3098" s="7">
        <f>IFERROR(__xludf.DUMMYFUNCTION("""COMPUTED_VALUE"""),41311.645833333336)</f>
        <v>41311.64583</v>
      </c>
      <c r="B3098" s="3">
        <f>IFERROR(__xludf.DUMMYFUNCTION("""COMPUTED_VALUE"""),5988.05)</f>
        <v>5988.05</v>
      </c>
      <c r="C3098" s="3">
        <f>IFERROR(__xludf.DUMMYFUNCTION("""COMPUTED_VALUE"""),5990.9)</f>
        <v>5990.9</v>
      </c>
      <c r="D3098" s="3">
        <f>IFERROR(__xludf.DUMMYFUNCTION("""COMPUTED_VALUE"""),5953.15)</f>
        <v>5953.15</v>
      </c>
      <c r="E3098" s="3">
        <f>IFERROR(__xludf.DUMMYFUNCTION("""COMPUTED_VALUE"""),5959.2)</f>
        <v>5959.2</v>
      </c>
      <c r="F3098" s="3">
        <f>IFERROR(__xludf.DUMMYFUNCTION("""COMPUTED_VALUE"""),0.0)</f>
        <v>0</v>
      </c>
    </row>
    <row r="3099">
      <c r="A3099" s="7">
        <f>IFERROR(__xludf.DUMMYFUNCTION("""COMPUTED_VALUE"""),41312.645833333336)</f>
        <v>41312.64583</v>
      </c>
      <c r="B3099" s="3">
        <f>IFERROR(__xludf.DUMMYFUNCTION("""COMPUTED_VALUE"""),5936.45)</f>
        <v>5936.45</v>
      </c>
      <c r="C3099" s="3">
        <f>IFERROR(__xludf.DUMMYFUNCTION("""COMPUTED_VALUE"""),5978.5)</f>
        <v>5978.5</v>
      </c>
      <c r="D3099" s="3">
        <f>IFERROR(__xludf.DUMMYFUNCTION("""COMPUTED_VALUE"""),5927.6)</f>
        <v>5927.6</v>
      </c>
      <c r="E3099" s="3">
        <f>IFERROR(__xludf.DUMMYFUNCTION("""COMPUTED_VALUE"""),5938.8)</f>
        <v>5938.8</v>
      </c>
      <c r="F3099" s="3">
        <f>IFERROR(__xludf.DUMMYFUNCTION("""COMPUTED_VALUE"""),0.0)</f>
        <v>0</v>
      </c>
    </row>
    <row r="3100">
      <c r="A3100" s="7">
        <f>IFERROR(__xludf.DUMMYFUNCTION("""COMPUTED_VALUE"""),41313.645833333336)</f>
        <v>41313.64583</v>
      </c>
      <c r="B3100" s="3">
        <f>IFERROR(__xludf.DUMMYFUNCTION("""COMPUTED_VALUE"""),5929.1)</f>
        <v>5929.1</v>
      </c>
      <c r="C3100" s="3">
        <f>IFERROR(__xludf.DUMMYFUNCTION("""COMPUTED_VALUE"""),5953.7)</f>
        <v>5953.7</v>
      </c>
      <c r="D3100" s="3">
        <f>IFERROR(__xludf.DUMMYFUNCTION("""COMPUTED_VALUE"""),5883.65)</f>
        <v>5883.65</v>
      </c>
      <c r="E3100" s="3">
        <f>IFERROR(__xludf.DUMMYFUNCTION("""COMPUTED_VALUE"""),5903.5)</f>
        <v>5903.5</v>
      </c>
      <c r="F3100" s="3">
        <f>IFERROR(__xludf.DUMMYFUNCTION("""COMPUTED_VALUE"""),0.0)</f>
        <v>0</v>
      </c>
    </row>
    <row r="3101">
      <c r="A3101" s="7">
        <f>IFERROR(__xludf.DUMMYFUNCTION("""COMPUTED_VALUE"""),41316.645833333336)</f>
        <v>41316.64583</v>
      </c>
      <c r="B3101" s="3">
        <f>IFERROR(__xludf.DUMMYFUNCTION("""COMPUTED_VALUE"""),5920.05)</f>
        <v>5920.05</v>
      </c>
      <c r="C3101" s="3">
        <f>IFERROR(__xludf.DUMMYFUNCTION("""COMPUTED_VALUE"""),5924.15)</f>
        <v>5924.15</v>
      </c>
      <c r="D3101" s="3">
        <f>IFERROR(__xludf.DUMMYFUNCTION("""COMPUTED_VALUE"""),5879.1)</f>
        <v>5879.1</v>
      </c>
      <c r="E3101" s="3">
        <f>IFERROR(__xludf.DUMMYFUNCTION("""COMPUTED_VALUE"""),5897.85)</f>
        <v>5897.85</v>
      </c>
      <c r="F3101" s="3">
        <f>IFERROR(__xludf.DUMMYFUNCTION("""COMPUTED_VALUE"""),0.0)</f>
        <v>0</v>
      </c>
    </row>
    <row r="3102">
      <c r="A3102" s="7">
        <f>IFERROR(__xludf.DUMMYFUNCTION("""COMPUTED_VALUE"""),41317.645833333336)</f>
        <v>41317.64583</v>
      </c>
      <c r="B3102" s="3">
        <f>IFERROR(__xludf.DUMMYFUNCTION("""COMPUTED_VALUE"""),5894.35)</f>
        <v>5894.35</v>
      </c>
      <c r="C3102" s="3">
        <f>IFERROR(__xludf.DUMMYFUNCTION("""COMPUTED_VALUE"""),5927.65)</f>
        <v>5927.65</v>
      </c>
      <c r="D3102" s="3">
        <f>IFERROR(__xludf.DUMMYFUNCTION("""COMPUTED_VALUE"""),5886.45)</f>
        <v>5886.45</v>
      </c>
      <c r="E3102" s="3">
        <f>IFERROR(__xludf.DUMMYFUNCTION("""COMPUTED_VALUE"""),5922.5)</f>
        <v>5922.5</v>
      </c>
      <c r="F3102" s="3">
        <f>IFERROR(__xludf.DUMMYFUNCTION("""COMPUTED_VALUE"""),0.0)</f>
        <v>0</v>
      </c>
    </row>
    <row r="3103">
      <c r="A3103" s="7">
        <f>IFERROR(__xludf.DUMMYFUNCTION("""COMPUTED_VALUE"""),41318.645833333336)</f>
        <v>41318.64583</v>
      </c>
      <c r="B3103" s="3">
        <f>IFERROR(__xludf.DUMMYFUNCTION("""COMPUTED_VALUE"""),5943.15)</f>
        <v>5943.15</v>
      </c>
      <c r="C3103" s="3">
        <f>IFERROR(__xludf.DUMMYFUNCTION("""COMPUTED_VALUE"""),5969.5)</f>
        <v>5969.5</v>
      </c>
      <c r="D3103" s="3">
        <f>IFERROR(__xludf.DUMMYFUNCTION("""COMPUTED_VALUE"""),5922.95)</f>
        <v>5922.95</v>
      </c>
      <c r="E3103" s="3">
        <f>IFERROR(__xludf.DUMMYFUNCTION("""COMPUTED_VALUE"""),5932.95)</f>
        <v>5932.95</v>
      </c>
      <c r="F3103" s="3">
        <f>IFERROR(__xludf.DUMMYFUNCTION("""COMPUTED_VALUE"""),0.0)</f>
        <v>0</v>
      </c>
    </row>
    <row r="3104">
      <c r="A3104" s="7">
        <f>IFERROR(__xludf.DUMMYFUNCTION("""COMPUTED_VALUE"""),41319.645833333336)</f>
        <v>41319.64583</v>
      </c>
      <c r="B3104" s="3">
        <f>IFERROR(__xludf.DUMMYFUNCTION("""COMPUTED_VALUE"""),5933.2)</f>
        <v>5933.2</v>
      </c>
      <c r="C3104" s="3">
        <f>IFERROR(__xludf.DUMMYFUNCTION("""COMPUTED_VALUE"""),5940.2)</f>
        <v>5940.2</v>
      </c>
      <c r="D3104" s="3">
        <f>IFERROR(__xludf.DUMMYFUNCTION("""COMPUTED_VALUE"""),5884.55)</f>
        <v>5884.55</v>
      </c>
      <c r="E3104" s="3">
        <f>IFERROR(__xludf.DUMMYFUNCTION("""COMPUTED_VALUE"""),5896.95)</f>
        <v>5896.95</v>
      </c>
      <c r="F3104" s="3">
        <f>IFERROR(__xludf.DUMMYFUNCTION("""COMPUTED_VALUE"""),0.0)</f>
        <v>0</v>
      </c>
    </row>
    <row r="3105">
      <c r="A3105" s="7">
        <f>IFERROR(__xludf.DUMMYFUNCTION("""COMPUTED_VALUE"""),41320.645833333336)</f>
        <v>41320.64583</v>
      </c>
      <c r="B3105" s="3">
        <f>IFERROR(__xludf.DUMMYFUNCTION("""COMPUTED_VALUE"""),5869.95)</f>
        <v>5869.95</v>
      </c>
      <c r="C3105" s="3">
        <f>IFERROR(__xludf.DUMMYFUNCTION("""COMPUTED_VALUE"""),5899.95)</f>
        <v>5899.95</v>
      </c>
      <c r="D3105" s="3">
        <f>IFERROR(__xludf.DUMMYFUNCTION("""COMPUTED_VALUE"""),5853.9)</f>
        <v>5853.9</v>
      </c>
      <c r="E3105" s="3">
        <f>IFERROR(__xludf.DUMMYFUNCTION("""COMPUTED_VALUE"""),5887.4)</f>
        <v>5887.4</v>
      </c>
      <c r="F3105" s="3">
        <f>IFERROR(__xludf.DUMMYFUNCTION("""COMPUTED_VALUE"""),0.0)</f>
        <v>0</v>
      </c>
    </row>
    <row r="3106">
      <c r="A3106" s="7">
        <f>IFERROR(__xludf.DUMMYFUNCTION("""COMPUTED_VALUE"""),41323.645833333336)</f>
        <v>41323.64583</v>
      </c>
      <c r="B3106" s="3">
        <f>IFERROR(__xludf.DUMMYFUNCTION("""COMPUTED_VALUE"""),5888.65)</f>
        <v>5888.65</v>
      </c>
      <c r="C3106" s="3">
        <f>IFERROR(__xludf.DUMMYFUNCTION("""COMPUTED_VALUE"""),5911.0)</f>
        <v>5911</v>
      </c>
      <c r="D3106" s="3">
        <f>IFERROR(__xludf.DUMMYFUNCTION("""COMPUTED_VALUE"""),5878.45)</f>
        <v>5878.45</v>
      </c>
      <c r="E3106" s="3">
        <f>IFERROR(__xludf.DUMMYFUNCTION("""COMPUTED_VALUE"""),5898.2)</f>
        <v>5898.2</v>
      </c>
      <c r="F3106" s="3">
        <f>IFERROR(__xludf.DUMMYFUNCTION("""COMPUTED_VALUE"""),0.0)</f>
        <v>0</v>
      </c>
    </row>
    <row r="3107">
      <c r="A3107" s="7">
        <f>IFERROR(__xludf.DUMMYFUNCTION("""COMPUTED_VALUE"""),41324.645833333336)</f>
        <v>41324.64583</v>
      </c>
      <c r="B3107" s="3">
        <f>IFERROR(__xludf.DUMMYFUNCTION("""COMPUTED_VALUE"""),5900.2)</f>
        <v>5900.2</v>
      </c>
      <c r="C3107" s="3">
        <f>IFERROR(__xludf.DUMMYFUNCTION("""COMPUTED_VALUE"""),5947.55)</f>
        <v>5947.55</v>
      </c>
      <c r="D3107" s="3">
        <f>IFERROR(__xludf.DUMMYFUNCTION("""COMPUTED_VALUE"""),5883.15)</f>
        <v>5883.15</v>
      </c>
      <c r="E3107" s="3">
        <f>IFERROR(__xludf.DUMMYFUNCTION("""COMPUTED_VALUE"""),5939.7)</f>
        <v>5939.7</v>
      </c>
      <c r="F3107" s="3">
        <f>IFERROR(__xludf.DUMMYFUNCTION("""COMPUTED_VALUE"""),0.0)</f>
        <v>0</v>
      </c>
    </row>
    <row r="3108">
      <c r="A3108" s="7">
        <f>IFERROR(__xludf.DUMMYFUNCTION("""COMPUTED_VALUE"""),41325.645833333336)</f>
        <v>41325.64583</v>
      </c>
      <c r="B3108" s="3">
        <f>IFERROR(__xludf.DUMMYFUNCTION("""COMPUTED_VALUE"""),5966.3)</f>
        <v>5966.3</v>
      </c>
      <c r="C3108" s="3">
        <f>IFERROR(__xludf.DUMMYFUNCTION("""COMPUTED_VALUE"""),5971.0)</f>
        <v>5971</v>
      </c>
      <c r="D3108" s="3">
        <f>IFERROR(__xludf.DUMMYFUNCTION("""COMPUTED_VALUE"""),5937.55)</f>
        <v>5937.55</v>
      </c>
      <c r="E3108" s="3">
        <f>IFERROR(__xludf.DUMMYFUNCTION("""COMPUTED_VALUE"""),5943.05)</f>
        <v>5943.05</v>
      </c>
      <c r="F3108" s="3">
        <f>IFERROR(__xludf.DUMMYFUNCTION("""COMPUTED_VALUE"""),0.0)</f>
        <v>0</v>
      </c>
    </row>
    <row r="3109">
      <c r="A3109" s="7">
        <f>IFERROR(__xludf.DUMMYFUNCTION("""COMPUTED_VALUE"""),41326.645833333336)</f>
        <v>41326.64583</v>
      </c>
      <c r="B3109" s="3">
        <f>IFERROR(__xludf.DUMMYFUNCTION("""COMPUTED_VALUE"""),5909.65)</f>
        <v>5909.65</v>
      </c>
      <c r="C3109" s="3">
        <f>IFERROR(__xludf.DUMMYFUNCTION("""COMPUTED_VALUE"""),5921.15)</f>
        <v>5921.15</v>
      </c>
      <c r="D3109" s="3">
        <f>IFERROR(__xludf.DUMMYFUNCTION("""COMPUTED_VALUE"""),5844.4)</f>
        <v>5844.4</v>
      </c>
      <c r="E3109" s="3">
        <f>IFERROR(__xludf.DUMMYFUNCTION("""COMPUTED_VALUE"""),5852.25)</f>
        <v>5852.25</v>
      </c>
      <c r="F3109" s="3">
        <f>IFERROR(__xludf.DUMMYFUNCTION("""COMPUTED_VALUE"""),0.0)</f>
        <v>0</v>
      </c>
    </row>
    <row r="3110">
      <c r="A3110" s="7">
        <f>IFERROR(__xludf.DUMMYFUNCTION("""COMPUTED_VALUE"""),41327.645833333336)</f>
        <v>41327.64583</v>
      </c>
      <c r="B3110" s="3">
        <f>IFERROR(__xludf.DUMMYFUNCTION("""COMPUTED_VALUE"""),5837.95)</f>
        <v>5837.95</v>
      </c>
      <c r="C3110" s="3">
        <f>IFERROR(__xludf.DUMMYFUNCTION("""COMPUTED_VALUE"""),5873.8)</f>
        <v>5873.8</v>
      </c>
      <c r="D3110" s="3">
        <f>IFERROR(__xludf.DUMMYFUNCTION("""COMPUTED_VALUE"""),5835.8)</f>
        <v>5835.8</v>
      </c>
      <c r="E3110" s="3">
        <f>IFERROR(__xludf.DUMMYFUNCTION("""COMPUTED_VALUE"""),5850.3)</f>
        <v>5850.3</v>
      </c>
      <c r="F3110" s="3">
        <f>IFERROR(__xludf.DUMMYFUNCTION("""COMPUTED_VALUE"""),0.0)</f>
        <v>0</v>
      </c>
    </row>
    <row r="3111">
      <c r="A3111" s="7">
        <f>IFERROR(__xludf.DUMMYFUNCTION("""COMPUTED_VALUE"""),41330.645833333336)</f>
        <v>41330.64583</v>
      </c>
      <c r="B3111" s="3">
        <f>IFERROR(__xludf.DUMMYFUNCTION("""COMPUTED_VALUE"""),5870.55)</f>
        <v>5870.55</v>
      </c>
      <c r="C3111" s="3">
        <f>IFERROR(__xludf.DUMMYFUNCTION("""COMPUTED_VALUE"""),5878.4)</f>
        <v>5878.4</v>
      </c>
      <c r="D3111" s="3">
        <f>IFERROR(__xludf.DUMMYFUNCTION("""COMPUTED_VALUE"""),5825.0)</f>
        <v>5825</v>
      </c>
      <c r="E3111" s="3">
        <f>IFERROR(__xludf.DUMMYFUNCTION("""COMPUTED_VALUE"""),5854.75)</f>
        <v>5854.75</v>
      </c>
      <c r="F3111" s="3">
        <f>IFERROR(__xludf.DUMMYFUNCTION("""COMPUTED_VALUE"""),0.0)</f>
        <v>0</v>
      </c>
    </row>
    <row r="3112">
      <c r="A3112" s="7">
        <f>IFERROR(__xludf.DUMMYFUNCTION("""COMPUTED_VALUE"""),41331.645833333336)</f>
        <v>41331.64583</v>
      </c>
      <c r="B3112" s="3">
        <f>IFERROR(__xludf.DUMMYFUNCTION("""COMPUTED_VALUE"""),5838.3)</f>
        <v>5838.3</v>
      </c>
      <c r="C3112" s="3">
        <f>IFERROR(__xludf.DUMMYFUNCTION("""COMPUTED_VALUE"""),5838.85)</f>
        <v>5838.85</v>
      </c>
      <c r="D3112" s="3">
        <f>IFERROR(__xludf.DUMMYFUNCTION("""COMPUTED_VALUE"""),5748.6)</f>
        <v>5748.6</v>
      </c>
      <c r="E3112" s="3">
        <f>IFERROR(__xludf.DUMMYFUNCTION("""COMPUTED_VALUE"""),5761.35)</f>
        <v>5761.35</v>
      </c>
      <c r="F3112" s="3">
        <f>IFERROR(__xludf.DUMMYFUNCTION("""COMPUTED_VALUE"""),0.0)</f>
        <v>0</v>
      </c>
    </row>
    <row r="3113">
      <c r="A3113" s="7">
        <f>IFERROR(__xludf.DUMMYFUNCTION("""COMPUTED_VALUE"""),41332.645833333336)</f>
        <v>41332.64583</v>
      </c>
      <c r="B3113" s="3">
        <f>IFERROR(__xludf.DUMMYFUNCTION("""COMPUTED_VALUE"""),5784.9)</f>
        <v>5784.9</v>
      </c>
      <c r="C3113" s="3">
        <f>IFERROR(__xludf.DUMMYFUNCTION("""COMPUTED_VALUE"""),5818.2)</f>
        <v>5818.2</v>
      </c>
      <c r="D3113" s="3">
        <f>IFERROR(__xludf.DUMMYFUNCTION("""COMPUTED_VALUE"""),5749.7)</f>
        <v>5749.7</v>
      </c>
      <c r="E3113" s="3">
        <f>IFERROR(__xludf.DUMMYFUNCTION("""COMPUTED_VALUE"""),5796.9)</f>
        <v>5796.9</v>
      </c>
      <c r="F3113" s="3">
        <f>IFERROR(__xludf.DUMMYFUNCTION("""COMPUTED_VALUE"""),0.0)</f>
        <v>0</v>
      </c>
    </row>
    <row r="3114">
      <c r="A3114" s="7">
        <f>IFERROR(__xludf.DUMMYFUNCTION("""COMPUTED_VALUE"""),41333.645833333336)</f>
        <v>41333.64583</v>
      </c>
      <c r="B3114" s="3">
        <f>IFERROR(__xludf.DUMMYFUNCTION("""COMPUTED_VALUE"""),5834.35)</f>
        <v>5834.35</v>
      </c>
      <c r="C3114" s="3">
        <f>IFERROR(__xludf.DUMMYFUNCTION("""COMPUTED_VALUE"""),5849.9)</f>
        <v>5849.9</v>
      </c>
      <c r="D3114" s="3">
        <f>IFERROR(__xludf.DUMMYFUNCTION("""COMPUTED_VALUE"""),5671.9)</f>
        <v>5671.9</v>
      </c>
      <c r="E3114" s="3">
        <f>IFERROR(__xludf.DUMMYFUNCTION("""COMPUTED_VALUE"""),5693.05)</f>
        <v>5693.05</v>
      </c>
      <c r="F3114" s="3">
        <f>IFERROR(__xludf.DUMMYFUNCTION("""COMPUTED_VALUE"""),0.0)</f>
        <v>0</v>
      </c>
    </row>
    <row r="3115">
      <c r="A3115" s="7">
        <f>IFERROR(__xludf.DUMMYFUNCTION("""COMPUTED_VALUE"""),41334.645833333336)</f>
        <v>41334.64583</v>
      </c>
      <c r="B3115" s="3">
        <f>IFERROR(__xludf.DUMMYFUNCTION("""COMPUTED_VALUE"""),5702.45)</f>
        <v>5702.45</v>
      </c>
      <c r="C3115" s="3">
        <f>IFERROR(__xludf.DUMMYFUNCTION("""COMPUTED_VALUE"""),5739.45)</f>
        <v>5739.45</v>
      </c>
      <c r="D3115" s="3">
        <f>IFERROR(__xludf.DUMMYFUNCTION("""COMPUTED_VALUE"""),5679.9)</f>
        <v>5679.9</v>
      </c>
      <c r="E3115" s="3">
        <f>IFERROR(__xludf.DUMMYFUNCTION("""COMPUTED_VALUE"""),5719.7)</f>
        <v>5719.7</v>
      </c>
      <c r="F3115" s="3">
        <f>IFERROR(__xludf.DUMMYFUNCTION("""COMPUTED_VALUE"""),0.0)</f>
        <v>0</v>
      </c>
    </row>
    <row r="3116">
      <c r="A3116" s="7">
        <f>IFERROR(__xludf.DUMMYFUNCTION("""COMPUTED_VALUE"""),41337.645833333336)</f>
        <v>41337.64583</v>
      </c>
      <c r="B3116" s="3">
        <f>IFERROR(__xludf.DUMMYFUNCTION("""COMPUTED_VALUE"""),5704.7)</f>
        <v>5704.7</v>
      </c>
      <c r="C3116" s="3">
        <f>IFERROR(__xludf.DUMMYFUNCTION("""COMPUTED_VALUE"""),5712.0)</f>
        <v>5712</v>
      </c>
      <c r="D3116" s="3">
        <f>IFERROR(__xludf.DUMMYFUNCTION("""COMPUTED_VALUE"""),5663.6)</f>
        <v>5663.6</v>
      </c>
      <c r="E3116" s="3">
        <f>IFERROR(__xludf.DUMMYFUNCTION("""COMPUTED_VALUE"""),5698.5)</f>
        <v>5698.5</v>
      </c>
      <c r="F3116" s="3">
        <f>IFERROR(__xludf.DUMMYFUNCTION("""COMPUTED_VALUE"""),0.0)</f>
        <v>0</v>
      </c>
    </row>
    <row r="3117">
      <c r="A3117" s="7">
        <f>IFERROR(__xludf.DUMMYFUNCTION("""COMPUTED_VALUE"""),41338.645833333336)</f>
        <v>41338.64583</v>
      </c>
      <c r="B3117" s="3">
        <f>IFERROR(__xludf.DUMMYFUNCTION("""COMPUTED_VALUE"""),5722.45)</f>
        <v>5722.45</v>
      </c>
      <c r="C3117" s="3">
        <f>IFERROR(__xludf.DUMMYFUNCTION("""COMPUTED_VALUE"""),5790.1)</f>
        <v>5790.1</v>
      </c>
      <c r="D3117" s="3">
        <f>IFERROR(__xludf.DUMMYFUNCTION("""COMPUTED_VALUE"""),5722.4)</f>
        <v>5722.4</v>
      </c>
      <c r="E3117" s="3">
        <f>IFERROR(__xludf.DUMMYFUNCTION("""COMPUTED_VALUE"""),5784.25)</f>
        <v>5784.25</v>
      </c>
      <c r="F3117" s="3">
        <f>IFERROR(__xludf.DUMMYFUNCTION("""COMPUTED_VALUE"""),0.0)</f>
        <v>0</v>
      </c>
    </row>
    <row r="3118">
      <c r="A3118" s="7">
        <f>IFERROR(__xludf.DUMMYFUNCTION("""COMPUTED_VALUE"""),41339.645833333336)</f>
        <v>41339.64583</v>
      </c>
      <c r="B3118" s="3">
        <f>IFERROR(__xludf.DUMMYFUNCTION("""COMPUTED_VALUE"""),5816.4)</f>
        <v>5816.4</v>
      </c>
      <c r="C3118" s="3">
        <f>IFERROR(__xludf.DUMMYFUNCTION("""COMPUTED_VALUE"""),5828.7)</f>
        <v>5828.7</v>
      </c>
      <c r="D3118" s="3">
        <f>IFERROR(__xludf.DUMMYFUNCTION("""COMPUTED_VALUE"""),5795.05)</f>
        <v>5795.05</v>
      </c>
      <c r="E3118" s="3">
        <f>IFERROR(__xludf.DUMMYFUNCTION("""COMPUTED_VALUE"""),5818.6)</f>
        <v>5818.6</v>
      </c>
      <c r="F3118" s="3">
        <f>IFERROR(__xludf.DUMMYFUNCTION("""COMPUTED_VALUE"""),0.0)</f>
        <v>0</v>
      </c>
    </row>
    <row r="3119">
      <c r="A3119" s="7">
        <f>IFERROR(__xludf.DUMMYFUNCTION("""COMPUTED_VALUE"""),41340.645833333336)</f>
        <v>41340.64583</v>
      </c>
      <c r="B3119" s="3">
        <f>IFERROR(__xludf.DUMMYFUNCTION("""COMPUTED_VALUE"""),5801.3)</f>
        <v>5801.3</v>
      </c>
      <c r="C3119" s="3">
        <f>IFERROR(__xludf.DUMMYFUNCTION("""COMPUTED_VALUE"""),5878.0)</f>
        <v>5878</v>
      </c>
      <c r="D3119" s="3">
        <f>IFERROR(__xludf.DUMMYFUNCTION("""COMPUTED_VALUE"""),5801.3)</f>
        <v>5801.3</v>
      </c>
      <c r="E3119" s="3">
        <f>IFERROR(__xludf.DUMMYFUNCTION("""COMPUTED_VALUE"""),5863.3)</f>
        <v>5863.3</v>
      </c>
      <c r="F3119" s="3">
        <f>IFERROR(__xludf.DUMMYFUNCTION("""COMPUTED_VALUE"""),0.0)</f>
        <v>0</v>
      </c>
    </row>
    <row r="3120">
      <c r="A3120" s="7">
        <f>IFERROR(__xludf.DUMMYFUNCTION("""COMPUTED_VALUE"""),41341.645833333336)</f>
        <v>41341.64583</v>
      </c>
      <c r="B3120" s="3">
        <f>IFERROR(__xludf.DUMMYFUNCTION("""COMPUTED_VALUE"""),5883.65)</f>
        <v>5883.65</v>
      </c>
      <c r="C3120" s="3">
        <f>IFERROR(__xludf.DUMMYFUNCTION("""COMPUTED_VALUE"""),5952.85)</f>
        <v>5952.85</v>
      </c>
      <c r="D3120" s="3">
        <f>IFERROR(__xludf.DUMMYFUNCTION("""COMPUTED_VALUE"""),5883.0)</f>
        <v>5883</v>
      </c>
      <c r="E3120" s="3">
        <f>IFERROR(__xludf.DUMMYFUNCTION("""COMPUTED_VALUE"""),5945.7)</f>
        <v>5945.7</v>
      </c>
      <c r="F3120" s="3">
        <f>IFERROR(__xludf.DUMMYFUNCTION("""COMPUTED_VALUE"""),0.0)</f>
        <v>0</v>
      </c>
    </row>
    <row r="3121">
      <c r="A3121" s="7">
        <f>IFERROR(__xludf.DUMMYFUNCTION("""COMPUTED_VALUE"""),41344.645833333336)</f>
        <v>41344.64583</v>
      </c>
      <c r="B3121" s="3">
        <f>IFERROR(__xludf.DUMMYFUNCTION("""COMPUTED_VALUE"""),5946.1)</f>
        <v>5946.1</v>
      </c>
      <c r="C3121" s="3">
        <f>IFERROR(__xludf.DUMMYFUNCTION("""COMPUTED_VALUE"""),5971.2)</f>
        <v>5971.2</v>
      </c>
      <c r="D3121" s="3">
        <f>IFERROR(__xludf.DUMMYFUNCTION("""COMPUTED_VALUE"""),5930.35)</f>
        <v>5930.35</v>
      </c>
      <c r="E3121" s="3">
        <f>IFERROR(__xludf.DUMMYFUNCTION("""COMPUTED_VALUE"""),5942.35)</f>
        <v>5942.35</v>
      </c>
      <c r="F3121" s="3">
        <f>IFERROR(__xludf.DUMMYFUNCTION("""COMPUTED_VALUE"""),0.0)</f>
        <v>0</v>
      </c>
    </row>
    <row r="3122">
      <c r="A3122" s="7">
        <f>IFERROR(__xludf.DUMMYFUNCTION("""COMPUTED_VALUE"""),41345.645833333336)</f>
        <v>41345.64583</v>
      </c>
      <c r="B3122" s="3">
        <f>IFERROR(__xludf.DUMMYFUNCTION("""COMPUTED_VALUE"""),5944.6)</f>
        <v>5944.6</v>
      </c>
      <c r="C3122" s="3">
        <f>IFERROR(__xludf.DUMMYFUNCTION("""COMPUTED_VALUE"""),5952.0)</f>
        <v>5952</v>
      </c>
      <c r="D3122" s="3">
        <f>IFERROR(__xludf.DUMMYFUNCTION("""COMPUTED_VALUE"""),5893.65)</f>
        <v>5893.65</v>
      </c>
      <c r="E3122" s="3">
        <f>IFERROR(__xludf.DUMMYFUNCTION("""COMPUTED_VALUE"""),5914.1)</f>
        <v>5914.1</v>
      </c>
      <c r="F3122" s="3">
        <f>IFERROR(__xludf.DUMMYFUNCTION("""COMPUTED_VALUE"""),0.0)</f>
        <v>0</v>
      </c>
    </row>
    <row r="3123">
      <c r="A3123" s="7">
        <f>IFERROR(__xludf.DUMMYFUNCTION("""COMPUTED_VALUE"""),41346.645833333336)</f>
        <v>41346.64583</v>
      </c>
      <c r="B3123" s="3">
        <f>IFERROR(__xludf.DUMMYFUNCTION("""COMPUTED_VALUE"""),5884.8)</f>
        <v>5884.8</v>
      </c>
      <c r="C3123" s="3">
        <f>IFERROR(__xludf.DUMMYFUNCTION("""COMPUTED_VALUE"""),5893.85)</f>
        <v>5893.85</v>
      </c>
      <c r="D3123" s="3">
        <f>IFERROR(__xludf.DUMMYFUNCTION("""COMPUTED_VALUE"""),5842.25)</f>
        <v>5842.25</v>
      </c>
      <c r="E3123" s="3">
        <f>IFERROR(__xludf.DUMMYFUNCTION("""COMPUTED_VALUE"""),5851.2)</f>
        <v>5851.2</v>
      </c>
      <c r="F3123" s="3">
        <f>IFERROR(__xludf.DUMMYFUNCTION("""COMPUTED_VALUE"""),0.0)</f>
        <v>0</v>
      </c>
    </row>
    <row r="3124">
      <c r="A3124" s="7">
        <f>IFERROR(__xludf.DUMMYFUNCTION("""COMPUTED_VALUE"""),41347.645833333336)</f>
        <v>41347.64583</v>
      </c>
      <c r="B3124" s="3">
        <f>IFERROR(__xludf.DUMMYFUNCTION("""COMPUTED_VALUE"""),5845.95)</f>
        <v>5845.95</v>
      </c>
      <c r="C3124" s="3">
        <f>IFERROR(__xludf.DUMMYFUNCTION("""COMPUTED_VALUE"""),5920.15)</f>
        <v>5920.15</v>
      </c>
      <c r="D3124" s="3">
        <f>IFERROR(__xludf.DUMMYFUNCTION("""COMPUTED_VALUE"""),5791.75)</f>
        <v>5791.75</v>
      </c>
      <c r="E3124" s="3">
        <f>IFERROR(__xludf.DUMMYFUNCTION("""COMPUTED_VALUE"""),5908.95)</f>
        <v>5908.95</v>
      </c>
      <c r="F3124" s="3">
        <f>IFERROR(__xludf.DUMMYFUNCTION("""COMPUTED_VALUE"""),0.0)</f>
        <v>0</v>
      </c>
    </row>
    <row r="3125">
      <c r="A3125" s="7">
        <f>IFERROR(__xludf.DUMMYFUNCTION("""COMPUTED_VALUE"""),41348.645833333336)</f>
        <v>41348.64583</v>
      </c>
      <c r="B3125" s="3">
        <f>IFERROR(__xludf.DUMMYFUNCTION("""COMPUTED_VALUE"""),5914.9)</f>
        <v>5914.9</v>
      </c>
      <c r="C3125" s="3">
        <f>IFERROR(__xludf.DUMMYFUNCTION("""COMPUTED_VALUE"""),5945.65)</f>
        <v>5945.65</v>
      </c>
      <c r="D3125" s="3">
        <f>IFERROR(__xludf.DUMMYFUNCTION("""COMPUTED_VALUE"""),5861.0)</f>
        <v>5861</v>
      </c>
      <c r="E3125" s="3">
        <f>IFERROR(__xludf.DUMMYFUNCTION("""COMPUTED_VALUE"""),5872.6)</f>
        <v>5872.6</v>
      </c>
      <c r="F3125" s="3">
        <f>IFERROR(__xludf.DUMMYFUNCTION("""COMPUTED_VALUE"""),0.0)</f>
        <v>0</v>
      </c>
    </row>
    <row r="3126">
      <c r="A3126" s="7">
        <f>IFERROR(__xludf.DUMMYFUNCTION("""COMPUTED_VALUE"""),41351.645833333336)</f>
        <v>41351.64583</v>
      </c>
      <c r="B3126" s="3">
        <f>IFERROR(__xludf.DUMMYFUNCTION("""COMPUTED_VALUE"""),5816.75)</f>
        <v>5816.75</v>
      </c>
      <c r="C3126" s="3">
        <f>IFERROR(__xludf.DUMMYFUNCTION("""COMPUTED_VALUE"""),5850.2)</f>
        <v>5850.2</v>
      </c>
      <c r="D3126" s="3">
        <f>IFERROR(__xludf.DUMMYFUNCTION("""COMPUTED_VALUE"""),5814.35)</f>
        <v>5814.35</v>
      </c>
      <c r="E3126" s="3">
        <f>IFERROR(__xludf.DUMMYFUNCTION("""COMPUTED_VALUE"""),5835.25)</f>
        <v>5835.25</v>
      </c>
      <c r="F3126" s="3">
        <f>IFERROR(__xludf.DUMMYFUNCTION("""COMPUTED_VALUE"""),0.0)</f>
        <v>0</v>
      </c>
    </row>
    <row r="3127">
      <c r="A3127" s="7">
        <f>IFERROR(__xludf.DUMMYFUNCTION("""COMPUTED_VALUE"""),41352.645833333336)</f>
        <v>41352.64583</v>
      </c>
      <c r="B3127" s="3">
        <f>IFERROR(__xludf.DUMMYFUNCTION("""COMPUTED_VALUE"""),5859.5)</f>
        <v>5859.5</v>
      </c>
      <c r="C3127" s="3">
        <f>IFERROR(__xludf.DUMMYFUNCTION("""COMPUTED_VALUE"""),5863.6)</f>
        <v>5863.6</v>
      </c>
      <c r="D3127" s="3">
        <f>IFERROR(__xludf.DUMMYFUNCTION("""COMPUTED_VALUE"""),5724.3)</f>
        <v>5724.3</v>
      </c>
      <c r="E3127" s="3">
        <f>IFERROR(__xludf.DUMMYFUNCTION("""COMPUTED_VALUE"""),5745.95)</f>
        <v>5745.95</v>
      </c>
      <c r="F3127" s="3">
        <f>IFERROR(__xludf.DUMMYFUNCTION("""COMPUTED_VALUE"""),0.0)</f>
        <v>0</v>
      </c>
    </row>
    <row r="3128">
      <c r="A3128" s="7">
        <f>IFERROR(__xludf.DUMMYFUNCTION("""COMPUTED_VALUE"""),41353.645833333336)</f>
        <v>41353.64583</v>
      </c>
      <c r="B3128" s="3">
        <f>IFERROR(__xludf.DUMMYFUNCTION("""COMPUTED_VALUE"""),5740.55)</f>
        <v>5740.55</v>
      </c>
      <c r="C3128" s="3">
        <f>IFERROR(__xludf.DUMMYFUNCTION("""COMPUTED_VALUE"""),5745.3)</f>
        <v>5745.3</v>
      </c>
      <c r="D3128" s="3">
        <f>IFERROR(__xludf.DUMMYFUNCTION("""COMPUTED_VALUE"""),5682.3)</f>
        <v>5682.3</v>
      </c>
      <c r="E3128" s="3">
        <f>IFERROR(__xludf.DUMMYFUNCTION("""COMPUTED_VALUE"""),5694.4)</f>
        <v>5694.4</v>
      </c>
      <c r="F3128" s="3">
        <f>IFERROR(__xludf.DUMMYFUNCTION("""COMPUTED_VALUE"""),0.0)</f>
        <v>0</v>
      </c>
    </row>
    <row r="3129">
      <c r="A3129" s="7">
        <f>IFERROR(__xludf.DUMMYFUNCTION("""COMPUTED_VALUE"""),41354.645833333336)</f>
        <v>41354.64583</v>
      </c>
      <c r="B3129" s="3">
        <f>IFERROR(__xludf.DUMMYFUNCTION("""COMPUTED_VALUE"""),5705.9)</f>
        <v>5705.9</v>
      </c>
      <c r="C3129" s="3">
        <f>IFERROR(__xludf.DUMMYFUNCTION("""COMPUTED_VALUE"""),5757.75)</f>
        <v>5757.75</v>
      </c>
      <c r="D3129" s="3">
        <f>IFERROR(__xludf.DUMMYFUNCTION("""COMPUTED_VALUE"""),5647.95)</f>
        <v>5647.95</v>
      </c>
      <c r="E3129" s="3">
        <f>IFERROR(__xludf.DUMMYFUNCTION("""COMPUTED_VALUE"""),5658.75)</f>
        <v>5658.75</v>
      </c>
      <c r="F3129" s="3">
        <f>IFERROR(__xludf.DUMMYFUNCTION("""COMPUTED_VALUE"""),0.0)</f>
        <v>0</v>
      </c>
    </row>
    <row r="3130">
      <c r="A3130" s="7">
        <f>IFERROR(__xludf.DUMMYFUNCTION("""COMPUTED_VALUE"""),41355.645833333336)</f>
        <v>41355.64583</v>
      </c>
      <c r="B3130" s="3">
        <f>IFERROR(__xludf.DUMMYFUNCTION("""COMPUTED_VALUE"""),5659.8)</f>
        <v>5659.8</v>
      </c>
      <c r="C3130" s="3">
        <f>IFERROR(__xludf.DUMMYFUNCTION("""COMPUTED_VALUE"""),5691.45)</f>
        <v>5691.45</v>
      </c>
      <c r="D3130" s="3">
        <f>IFERROR(__xludf.DUMMYFUNCTION("""COMPUTED_VALUE"""),5631.8)</f>
        <v>5631.8</v>
      </c>
      <c r="E3130" s="3">
        <f>IFERROR(__xludf.DUMMYFUNCTION("""COMPUTED_VALUE"""),5651.35)</f>
        <v>5651.35</v>
      </c>
      <c r="F3130" s="3">
        <f>IFERROR(__xludf.DUMMYFUNCTION("""COMPUTED_VALUE"""),0.0)</f>
        <v>0</v>
      </c>
    </row>
    <row r="3131">
      <c r="A3131" s="7">
        <f>IFERROR(__xludf.DUMMYFUNCTION("""COMPUTED_VALUE"""),41358.645833333336)</f>
        <v>41358.64583</v>
      </c>
      <c r="B3131" s="3">
        <f>IFERROR(__xludf.DUMMYFUNCTION("""COMPUTED_VALUE"""),5707.3)</f>
        <v>5707.3</v>
      </c>
      <c r="C3131" s="3">
        <f>IFERROR(__xludf.DUMMYFUNCTION("""COMPUTED_VALUE"""),5718.4)</f>
        <v>5718.4</v>
      </c>
      <c r="D3131" s="3">
        <f>IFERROR(__xludf.DUMMYFUNCTION("""COMPUTED_VALUE"""),5624.4)</f>
        <v>5624.4</v>
      </c>
      <c r="E3131" s="3">
        <f>IFERROR(__xludf.DUMMYFUNCTION("""COMPUTED_VALUE"""),5633.85)</f>
        <v>5633.85</v>
      </c>
      <c r="F3131" s="3">
        <f>IFERROR(__xludf.DUMMYFUNCTION("""COMPUTED_VALUE"""),0.0)</f>
        <v>0</v>
      </c>
    </row>
    <row r="3132">
      <c r="A3132" s="7">
        <f>IFERROR(__xludf.DUMMYFUNCTION("""COMPUTED_VALUE"""),41359.645833333336)</f>
        <v>41359.64583</v>
      </c>
      <c r="B3132" s="3">
        <f>IFERROR(__xludf.DUMMYFUNCTION("""COMPUTED_VALUE"""),5613.75)</f>
        <v>5613.75</v>
      </c>
      <c r="C3132" s="3">
        <f>IFERROR(__xludf.DUMMYFUNCTION("""COMPUTED_VALUE"""),5655.3)</f>
        <v>5655.3</v>
      </c>
      <c r="D3132" s="3">
        <f>IFERROR(__xludf.DUMMYFUNCTION("""COMPUTED_VALUE"""),5612.05)</f>
        <v>5612.05</v>
      </c>
      <c r="E3132" s="3">
        <f>IFERROR(__xludf.DUMMYFUNCTION("""COMPUTED_VALUE"""),5641.6)</f>
        <v>5641.6</v>
      </c>
      <c r="F3132" s="3">
        <f>IFERROR(__xludf.DUMMYFUNCTION("""COMPUTED_VALUE"""),0.0)</f>
        <v>0</v>
      </c>
    </row>
    <row r="3133">
      <c r="A3133" s="7">
        <f>IFERROR(__xludf.DUMMYFUNCTION("""COMPUTED_VALUE"""),41361.645833333336)</f>
        <v>41361.64583</v>
      </c>
      <c r="B3133" s="3">
        <f>IFERROR(__xludf.DUMMYFUNCTION("""COMPUTED_VALUE"""),5647.75)</f>
        <v>5647.75</v>
      </c>
      <c r="C3133" s="3">
        <f>IFERROR(__xludf.DUMMYFUNCTION("""COMPUTED_VALUE"""),5692.95)</f>
        <v>5692.95</v>
      </c>
      <c r="D3133" s="3">
        <f>IFERROR(__xludf.DUMMYFUNCTION("""COMPUTED_VALUE"""),5604.85)</f>
        <v>5604.85</v>
      </c>
      <c r="E3133" s="3">
        <f>IFERROR(__xludf.DUMMYFUNCTION("""COMPUTED_VALUE"""),5682.55)</f>
        <v>5682.55</v>
      </c>
      <c r="F3133" s="3">
        <f>IFERROR(__xludf.DUMMYFUNCTION("""COMPUTED_VALUE"""),0.0)</f>
        <v>0</v>
      </c>
    </row>
    <row r="3134">
      <c r="A3134" s="7">
        <f>IFERROR(__xludf.DUMMYFUNCTION("""COMPUTED_VALUE"""),41365.645833333336)</f>
        <v>41365.64583</v>
      </c>
      <c r="B3134" s="3">
        <f>IFERROR(__xludf.DUMMYFUNCTION("""COMPUTED_VALUE"""),5697.35)</f>
        <v>5697.35</v>
      </c>
      <c r="C3134" s="3">
        <f>IFERROR(__xludf.DUMMYFUNCTION("""COMPUTED_VALUE"""),5720.95)</f>
        <v>5720.95</v>
      </c>
      <c r="D3134" s="3">
        <f>IFERROR(__xludf.DUMMYFUNCTION("""COMPUTED_VALUE"""),5675.9)</f>
        <v>5675.9</v>
      </c>
      <c r="E3134" s="3">
        <f>IFERROR(__xludf.DUMMYFUNCTION("""COMPUTED_VALUE"""),5704.4)</f>
        <v>5704.4</v>
      </c>
      <c r="F3134" s="3">
        <f>IFERROR(__xludf.DUMMYFUNCTION("""COMPUTED_VALUE"""),0.0)</f>
        <v>0</v>
      </c>
    </row>
    <row r="3135">
      <c r="A3135" s="7">
        <f>IFERROR(__xludf.DUMMYFUNCTION("""COMPUTED_VALUE"""),41366.645833333336)</f>
        <v>41366.64583</v>
      </c>
      <c r="B3135" s="3">
        <f>IFERROR(__xludf.DUMMYFUNCTION("""COMPUTED_VALUE"""),5701.7)</f>
        <v>5701.7</v>
      </c>
      <c r="C3135" s="3">
        <f>IFERROR(__xludf.DUMMYFUNCTION("""COMPUTED_VALUE"""),5754.6)</f>
        <v>5754.6</v>
      </c>
      <c r="D3135" s="3">
        <f>IFERROR(__xludf.DUMMYFUNCTION("""COMPUTED_VALUE"""),5687.15)</f>
        <v>5687.15</v>
      </c>
      <c r="E3135" s="3">
        <f>IFERROR(__xludf.DUMMYFUNCTION("""COMPUTED_VALUE"""),5748.1)</f>
        <v>5748.1</v>
      </c>
      <c r="F3135" s="3">
        <f>IFERROR(__xludf.DUMMYFUNCTION("""COMPUTED_VALUE"""),0.0)</f>
        <v>0</v>
      </c>
    </row>
    <row r="3136">
      <c r="A3136" s="7">
        <f>IFERROR(__xludf.DUMMYFUNCTION("""COMPUTED_VALUE"""),41367.645833333336)</f>
        <v>41367.64583</v>
      </c>
      <c r="B3136" s="3">
        <f>IFERROR(__xludf.DUMMYFUNCTION("""COMPUTED_VALUE"""),5740.2)</f>
        <v>5740.2</v>
      </c>
      <c r="C3136" s="3">
        <f>IFERROR(__xludf.DUMMYFUNCTION("""COMPUTED_VALUE"""),5744.95)</f>
        <v>5744.95</v>
      </c>
      <c r="D3136" s="3">
        <f>IFERROR(__xludf.DUMMYFUNCTION("""COMPUTED_VALUE"""),5650.1)</f>
        <v>5650.1</v>
      </c>
      <c r="E3136" s="3">
        <f>IFERROR(__xludf.DUMMYFUNCTION("""COMPUTED_VALUE"""),5672.9)</f>
        <v>5672.9</v>
      </c>
      <c r="F3136" s="3">
        <f>IFERROR(__xludf.DUMMYFUNCTION("""COMPUTED_VALUE"""),0.0)</f>
        <v>0</v>
      </c>
    </row>
    <row r="3137">
      <c r="A3137" s="7">
        <f>IFERROR(__xludf.DUMMYFUNCTION("""COMPUTED_VALUE"""),41368.645833333336)</f>
        <v>41368.64583</v>
      </c>
      <c r="B3137" s="3">
        <f>IFERROR(__xludf.DUMMYFUNCTION("""COMPUTED_VALUE"""),5640.65)</f>
        <v>5640.65</v>
      </c>
      <c r="C3137" s="3">
        <f>IFERROR(__xludf.DUMMYFUNCTION("""COMPUTED_VALUE"""),5644.45)</f>
        <v>5644.45</v>
      </c>
      <c r="D3137" s="3">
        <f>IFERROR(__xludf.DUMMYFUNCTION("""COMPUTED_VALUE"""),5565.65)</f>
        <v>5565.65</v>
      </c>
      <c r="E3137" s="3">
        <f>IFERROR(__xludf.DUMMYFUNCTION("""COMPUTED_VALUE"""),5574.75)</f>
        <v>5574.75</v>
      </c>
      <c r="F3137" s="3">
        <f>IFERROR(__xludf.DUMMYFUNCTION("""COMPUTED_VALUE"""),0.0)</f>
        <v>0</v>
      </c>
    </row>
    <row r="3138">
      <c r="A3138" s="7">
        <f>IFERROR(__xludf.DUMMYFUNCTION("""COMPUTED_VALUE"""),41369.645833333336)</f>
        <v>41369.64583</v>
      </c>
      <c r="B3138" s="3">
        <f>IFERROR(__xludf.DUMMYFUNCTION("""COMPUTED_VALUE"""),5568.1)</f>
        <v>5568.1</v>
      </c>
      <c r="C3138" s="3">
        <f>IFERROR(__xludf.DUMMYFUNCTION("""COMPUTED_VALUE"""),5577.3)</f>
        <v>5577.3</v>
      </c>
      <c r="D3138" s="3">
        <f>IFERROR(__xludf.DUMMYFUNCTION("""COMPUTED_VALUE"""),5534.7)</f>
        <v>5534.7</v>
      </c>
      <c r="E3138" s="3">
        <f>IFERROR(__xludf.DUMMYFUNCTION("""COMPUTED_VALUE"""),5553.25)</f>
        <v>5553.25</v>
      </c>
      <c r="F3138" s="3">
        <f>IFERROR(__xludf.DUMMYFUNCTION("""COMPUTED_VALUE"""),0.0)</f>
        <v>0</v>
      </c>
    </row>
    <row r="3139">
      <c r="A3139" s="7">
        <f>IFERROR(__xludf.DUMMYFUNCTION("""COMPUTED_VALUE"""),41372.645833333336)</f>
        <v>41372.64583</v>
      </c>
      <c r="B3139" s="3">
        <f>IFERROR(__xludf.DUMMYFUNCTION("""COMPUTED_VALUE"""),5550.5)</f>
        <v>5550.5</v>
      </c>
      <c r="C3139" s="3">
        <f>IFERROR(__xludf.DUMMYFUNCTION("""COMPUTED_VALUE"""),5569.2)</f>
        <v>5569.2</v>
      </c>
      <c r="D3139" s="3">
        <f>IFERROR(__xludf.DUMMYFUNCTION("""COMPUTED_VALUE"""),5537.05)</f>
        <v>5537.05</v>
      </c>
      <c r="E3139" s="3">
        <f>IFERROR(__xludf.DUMMYFUNCTION("""COMPUTED_VALUE"""),5542.95)</f>
        <v>5542.95</v>
      </c>
      <c r="F3139" s="3">
        <f>IFERROR(__xludf.DUMMYFUNCTION("""COMPUTED_VALUE"""),0.0)</f>
        <v>0</v>
      </c>
    </row>
    <row r="3140">
      <c r="A3140" s="7">
        <f>IFERROR(__xludf.DUMMYFUNCTION("""COMPUTED_VALUE"""),41373.645833333336)</f>
        <v>41373.64583</v>
      </c>
      <c r="B3140" s="3">
        <f>IFERROR(__xludf.DUMMYFUNCTION("""COMPUTED_VALUE"""),5568.75)</f>
        <v>5568.75</v>
      </c>
      <c r="C3140" s="3">
        <f>IFERROR(__xludf.DUMMYFUNCTION("""COMPUTED_VALUE"""),5603.05)</f>
        <v>5603.05</v>
      </c>
      <c r="D3140" s="3">
        <f>IFERROR(__xludf.DUMMYFUNCTION("""COMPUTED_VALUE"""),5487.0)</f>
        <v>5487</v>
      </c>
      <c r="E3140" s="3">
        <f>IFERROR(__xludf.DUMMYFUNCTION("""COMPUTED_VALUE"""),5495.1)</f>
        <v>5495.1</v>
      </c>
      <c r="F3140" s="3">
        <f>IFERROR(__xludf.DUMMYFUNCTION("""COMPUTED_VALUE"""),0.0)</f>
        <v>0</v>
      </c>
    </row>
    <row r="3141">
      <c r="A3141" s="7">
        <f>IFERROR(__xludf.DUMMYFUNCTION("""COMPUTED_VALUE"""),41374.645833333336)</f>
        <v>41374.64583</v>
      </c>
      <c r="B3141" s="3">
        <f>IFERROR(__xludf.DUMMYFUNCTION("""COMPUTED_VALUE"""),5536.25)</f>
        <v>5536.25</v>
      </c>
      <c r="C3141" s="3">
        <f>IFERROR(__xludf.DUMMYFUNCTION("""COMPUTED_VALUE"""),5569.25)</f>
        <v>5569.25</v>
      </c>
      <c r="D3141" s="3">
        <f>IFERROR(__xludf.DUMMYFUNCTION("""COMPUTED_VALUE"""),5477.2)</f>
        <v>5477.2</v>
      </c>
      <c r="E3141" s="3">
        <f>IFERROR(__xludf.DUMMYFUNCTION("""COMPUTED_VALUE"""),5558.7)</f>
        <v>5558.7</v>
      </c>
      <c r="F3141" s="3">
        <f>IFERROR(__xludf.DUMMYFUNCTION("""COMPUTED_VALUE"""),0.0)</f>
        <v>0</v>
      </c>
    </row>
    <row r="3142">
      <c r="A3142" s="7">
        <f>IFERROR(__xludf.DUMMYFUNCTION("""COMPUTED_VALUE"""),41375.645833333336)</f>
        <v>41375.64583</v>
      </c>
      <c r="B3142" s="3">
        <f>IFERROR(__xludf.DUMMYFUNCTION("""COMPUTED_VALUE"""),5601.65)</f>
        <v>5601.65</v>
      </c>
      <c r="C3142" s="3">
        <f>IFERROR(__xludf.DUMMYFUNCTION("""COMPUTED_VALUE"""),5610.65)</f>
        <v>5610.65</v>
      </c>
      <c r="D3142" s="3">
        <f>IFERROR(__xludf.DUMMYFUNCTION("""COMPUTED_VALUE"""),5542.85)</f>
        <v>5542.85</v>
      </c>
      <c r="E3142" s="3">
        <f>IFERROR(__xludf.DUMMYFUNCTION("""COMPUTED_VALUE"""),5594.0)</f>
        <v>5594</v>
      </c>
      <c r="F3142" s="3">
        <f>IFERROR(__xludf.DUMMYFUNCTION("""COMPUTED_VALUE"""),0.0)</f>
        <v>0</v>
      </c>
    </row>
    <row r="3143">
      <c r="A3143" s="7">
        <f>IFERROR(__xludf.DUMMYFUNCTION("""COMPUTED_VALUE"""),41376.645833333336)</f>
        <v>41376.64583</v>
      </c>
      <c r="B3143" s="3">
        <f>IFERROR(__xludf.DUMMYFUNCTION("""COMPUTED_VALUE"""),5520.7)</f>
        <v>5520.7</v>
      </c>
      <c r="C3143" s="3">
        <f>IFERROR(__xludf.DUMMYFUNCTION("""COMPUTED_VALUE"""),5544.5)</f>
        <v>5544.5</v>
      </c>
      <c r="D3143" s="3">
        <f>IFERROR(__xludf.DUMMYFUNCTION("""COMPUTED_VALUE"""),5494.9)</f>
        <v>5494.9</v>
      </c>
      <c r="E3143" s="3">
        <f>IFERROR(__xludf.DUMMYFUNCTION("""COMPUTED_VALUE"""),5528.55)</f>
        <v>5528.55</v>
      </c>
      <c r="F3143" s="3">
        <f>IFERROR(__xludf.DUMMYFUNCTION("""COMPUTED_VALUE"""),0.0)</f>
        <v>0</v>
      </c>
    </row>
    <row r="3144">
      <c r="A3144" s="7">
        <f>IFERROR(__xludf.DUMMYFUNCTION("""COMPUTED_VALUE"""),41379.645833333336)</f>
        <v>41379.64583</v>
      </c>
      <c r="B3144" s="3">
        <f>IFERROR(__xludf.DUMMYFUNCTION("""COMPUTED_VALUE"""),5508.5)</f>
        <v>5508.5</v>
      </c>
      <c r="C3144" s="3">
        <f>IFERROR(__xludf.DUMMYFUNCTION("""COMPUTED_VALUE"""),5592.85)</f>
        <v>5592.85</v>
      </c>
      <c r="D3144" s="3">
        <f>IFERROR(__xludf.DUMMYFUNCTION("""COMPUTED_VALUE"""),5500.3)</f>
        <v>5500.3</v>
      </c>
      <c r="E3144" s="3">
        <f>IFERROR(__xludf.DUMMYFUNCTION("""COMPUTED_VALUE"""),5568.4)</f>
        <v>5568.4</v>
      </c>
      <c r="F3144" s="3">
        <f>IFERROR(__xludf.DUMMYFUNCTION("""COMPUTED_VALUE"""),0.0)</f>
        <v>0</v>
      </c>
    </row>
    <row r="3145">
      <c r="A3145" s="7">
        <f>IFERROR(__xludf.DUMMYFUNCTION("""COMPUTED_VALUE"""),41380.645833333336)</f>
        <v>41380.64583</v>
      </c>
      <c r="B3145" s="3">
        <f>IFERROR(__xludf.DUMMYFUNCTION("""COMPUTED_VALUE"""),5562.45)</f>
        <v>5562.45</v>
      </c>
      <c r="C3145" s="3">
        <f>IFERROR(__xludf.DUMMYFUNCTION("""COMPUTED_VALUE"""),5699.25)</f>
        <v>5699.25</v>
      </c>
      <c r="D3145" s="3">
        <f>IFERROR(__xludf.DUMMYFUNCTION("""COMPUTED_VALUE"""),5555.85)</f>
        <v>5555.85</v>
      </c>
      <c r="E3145" s="3">
        <f>IFERROR(__xludf.DUMMYFUNCTION("""COMPUTED_VALUE"""),5688.95)</f>
        <v>5688.95</v>
      </c>
      <c r="F3145" s="3">
        <f>IFERROR(__xludf.DUMMYFUNCTION("""COMPUTED_VALUE"""),0.0)</f>
        <v>0</v>
      </c>
    </row>
    <row r="3146">
      <c r="A3146" s="7">
        <f>IFERROR(__xludf.DUMMYFUNCTION("""COMPUTED_VALUE"""),41381.645833333336)</f>
        <v>41381.64583</v>
      </c>
      <c r="B3146" s="3">
        <f>IFERROR(__xludf.DUMMYFUNCTION("""COMPUTED_VALUE"""),5708.65)</f>
        <v>5708.65</v>
      </c>
      <c r="C3146" s="3">
        <f>IFERROR(__xludf.DUMMYFUNCTION("""COMPUTED_VALUE"""),5732.15)</f>
        <v>5732.15</v>
      </c>
      <c r="D3146" s="3">
        <f>IFERROR(__xludf.DUMMYFUNCTION("""COMPUTED_VALUE"""),5669.0)</f>
        <v>5669</v>
      </c>
      <c r="E3146" s="3">
        <f>IFERROR(__xludf.DUMMYFUNCTION("""COMPUTED_VALUE"""),5688.7)</f>
        <v>5688.7</v>
      </c>
      <c r="F3146" s="3">
        <f>IFERROR(__xludf.DUMMYFUNCTION("""COMPUTED_VALUE"""),0.0)</f>
        <v>0</v>
      </c>
    </row>
    <row r="3147">
      <c r="A3147" s="7">
        <f>IFERROR(__xludf.DUMMYFUNCTION("""COMPUTED_VALUE"""),41382.645833333336)</f>
        <v>41382.64583</v>
      </c>
      <c r="B3147" s="3">
        <f>IFERROR(__xludf.DUMMYFUNCTION("""COMPUTED_VALUE"""),5682.7)</f>
        <v>5682.7</v>
      </c>
      <c r="C3147" s="3">
        <f>IFERROR(__xludf.DUMMYFUNCTION("""COMPUTED_VALUE"""),5794.35)</f>
        <v>5794.35</v>
      </c>
      <c r="D3147" s="3">
        <f>IFERROR(__xludf.DUMMYFUNCTION("""COMPUTED_VALUE"""),5681.85)</f>
        <v>5681.85</v>
      </c>
      <c r="E3147" s="3">
        <f>IFERROR(__xludf.DUMMYFUNCTION("""COMPUTED_VALUE"""),5783.1)</f>
        <v>5783.1</v>
      </c>
      <c r="F3147" s="3">
        <f>IFERROR(__xludf.DUMMYFUNCTION("""COMPUTED_VALUE"""),0.0)</f>
        <v>0</v>
      </c>
    </row>
    <row r="3148">
      <c r="A3148" s="7">
        <f>IFERROR(__xludf.DUMMYFUNCTION("""COMPUTED_VALUE"""),41386.645833333336)</f>
        <v>41386.64583</v>
      </c>
      <c r="B3148" s="3">
        <f>IFERROR(__xludf.DUMMYFUNCTION("""COMPUTED_VALUE"""),5789.85)</f>
        <v>5789.85</v>
      </c>
      <c r="C3148" s="3">
        <f>IFERROR(__xludf.DUMMYFUNCTION("""COMPUTED_VALUE"""),5844.85)</f>
        <v>5844.85</v>
      </c>
      <c r="D3148" s="3">
        <f>IFERROR(__xludf.DUMMYFUNCTION("""COMPUTED_VALUE"""),5789.8)</f>
        <v>5789.8</v>
      </c>
      <c r="E3148" s="3">
        <f>IFERROR(__xludf.DUMMYFUNCTION("""COMPUTED_VALUE"""),5834.4)</f>
        <v>5834.4</v>
      </c>
      <c r="F3148" s="3">
        <f>IFERROR(__xludf.DUMMYFUNCTION("""COMPUTED_VALUE"""),0.0)</f>
        <v>0</v>
      </c>
    </row>
    <row r="3149">
      <c r="A3149" s="7">
        <f>IFERROR(__xludf.DUMMYFUNCTION("""COMPUTED_VALUE"""),41387.645833333336)</f>
        <v>41387.64583</v>
      </c>
      <c r="B3149" s="3">
        <f>IFERROR(__xludf.DUMMYFUNCTION("""COMPUTED_VALUE"""),5843.1)</f>
        <v>5843.1</v>
      </c>
      <c r="C3149" s="3">
        <f>IFERROR(__xludf.DUMMYFUNCTION("""COMPUTED_VALUE"""),5844.3)</f>
        <v>5844.3</v>
      </c>
      <c r="D3149" s="3">
        <f>IFERROR(__xludf.DUMMYFUNCTION("""COMPUTED_VALUE"""),5791.55)</f>
        <v>5791.55</v>
      </c>
      <c r="E3149" s="3">
        <f>IFERROR(__xludf.DUMMYFUNCTION("""COMPUTED_VALUE"""),5836.9)</f>
        <v>5836.9</v>
      </c>
      <c r="F3149" s="3">
        <f>IFERROR(__xludf.DUMMYFUNCTION("""COMPUTED_VALUE"""),0.0)</f>
        <v>0</v>
      </c>
    </row>
    <row r="3150">
      <c r="A3150" s="7">
        <f>IFERROR(__xludf.DUMMYFUNCTION("""COMPUTED_VALUE"""),41389.645833333336)</f>
        <v>41389.64583</v>
      </c>
      <c r="B3150" s="3">
        <f>IFERROR(__xludf.DUMMYFUNCTION("""COMPUTED_VALUE"""),5856.1)</f>
        <v>5856.1</v>
      </c>
      <c r="C3150" s="3">
        <f>IFERROR(__xludf.DUMMYFUNCTION("""COMPUTED_VALUE"""),5924.6)</f>
        <v>5924.6</v>
      </c>
      <c r="D3150" s="3">
        <f>IFERROR(__xludf.DUMMYFUNCTION("""COMPUTED_VALUE"""),5853.3)</f>
        <v>5853.3</v>
      </c>
      <c r="E3150" s="3">
        <f>IFERROR(__xludf.DUMMYFUNCTION("""COMPUTED_VALUE"""),5916.3)</f>
        <v>5916.3</v>
      </c>
      <c r="F3150" s="3">
        <f>IFERROR(__xludf.DUMMYFUNCTION("""COMPUTED_VALUE"""),0.0)</f>
        <v>0</v>
      </c>
    </row>
    <row r="3151">
      <c r="A3151" s="7">
        <f>IFERROR(__xludf.DUMMYFUNCTION("""COMPUTED_VALUE"""),41390.645833333336)</f>
        <v>41390.64583</v>
      </c>
      <c r="B3151" s="3">
        <f>IFERROR(__xludf.DUMMYFUNCTION("""COMPUTED_VALUE"""),5899.75)</f>
        <v>5899.75</v>
      </c>
      <c r="C3151" s="3">
        <f>IFERROR(__xludf.DUMMYFUNCTION("""COMPUTED_VALUE"""),5907.05)</f>
        <v>5907.05</v>
      </c>
      <c r="D3151" s="3">
        <f>IFERROR(__xludf.DUMMYFUNCTION("""COMPUTED_VALUE"""),5860.5)</f>
        <v>5860.5</v>
      </c>
      <c r="E3151" s="3">
        <f>IFERROR(__xludf.DUMMYFUNCTION("""COMPUTED_VALUE"""),5871.45)</f>
        <v>5871.45</v>
      </c>
      <c r="F3151" s="3">
        <f>IFERROR(__xludf.DUMMYFUNCTION("""COMPUTED_VALUE"""),0.0)</f>
        <v>0</v>
      </c>
    </row>
    <row r="3152">
      <c r="A3152" s="7">
        <f>IFERROR(__xludf.DUMMYFUNCTION("""COMPUTED_VALUE"""),41393.645833333336)</f>
        <v>41393.64583</v>
      </c>
      <c r="B3152" s="3">
        <f>IFERROR(__xludf.DUMMYFUNCTION("""COMPUTED_VALUE"""),5877.6)</f>
        <v>5877.6</v>
      </c>
      <c r="C3152" s="3">
        <f>IFERROR(__xludf.DUMMYFUNCTION("""COMPUTED_VALUE"""),5918.65)</f>
        <v>5918.65</v>
      </c>
      <c r="D3152" s="3">
        <f>IFERROR(__xludf.DUMMYFUNCTION("""COMPUTED_VALUE"""),5868.8)</f>
        <v>5868.8</v>
      </c>
      <c r="E3152" s="3">
        <f>IFERROR(__xludf.DUMMYFUNCTION("""COMPUTED_VALUE"""),5904.1)</f>
        <v>5904.1</v>
      </c>
      <c r="F3152" s="3">
        <f>IFERROR(__xludf.DUMMYFUNCTION("""COMPUTED_VALUE"""),0.0)</f>
        <v>0</v>
      </c>
    </row>
    <row r="3153">
      <c r="A3153" s="7">
        <f>IFERROR(__xludf.DUMMYFUNCTION("""COMPUTED_VALUE"""),41394.645833333336)</f>
        <v>41394.64583</v>
      </c>
      <c r="B3153" s="3">
        <f>IFERROR(__xludf.DUMMYFUNCTION("""COMPUTED_VALUE"""),5932.6)</f>
        <v>5932.6</v>
      </c>
      <c r="C3153" s="3">
        <f>IFERROR(__xludf.DUMMYFUNCTION("""COMPUTED_VALUE"""),5962.3)</f>
        <v>5962.3</v>
      </c>
      <c r="D3153" s="3">
        <f>IFERROR(__xludf.DUMMYFUNCTION("""COMPUTED_VALUE"""),5867.8)</f>
        <v>5867.8</v>
      </c>
      <c r="E3153" s="3">
        <f>IFERROR(__xludf.DUMMYFUNCTION("""COMPUTED_VALUE"""),5930.2)</f>
        <v>5930.2</v>
      </c>
      <c r="F3153" s="3">
        <f>IFERROR(__xludf.DUMMYFUNCTION("""COMPUTED_VALUE"""),0.0)</f>
        <v>0</v>
      </c>
    </row>
    <row r="3154">
      <c r="A3154" s="7">
        <f>IFERROR(__xludf.DUMMYFUNCTION("""COMPUTED_VALUE"""),41396.645833333336)</f>
        <v>41396.64583</v>
      </c>
      <c r="B3154" s="3">
        <f>IFERROR(__xludf.DUMMYFUNCTION("""COMPUTED_VALUE"""),5911.4)</f>
        <v>5911.4</v>
      </c>
      <c r="C3154" s="3">
        <f>IFERROR(__xludf.DUMMYFUNCTION("""COMPUTED_VALUE"""),6019.45)</f>
        <v>6019.45</v>
      </c>
      <c r="D3154" s="3">
        <f>IFERROR(__xludf.DUMMYFUNCTION("""COMPUTED_VALUE"""),5910.95)</f>
        <v>5910.95</v>
      </c>
      <c r="E3154" s="3">
        <f>IFERROR(__xludf.DUMMYFUNCTION("""COMPUTED_VALUE"""),5999.35)</f>
        <v>5999.35</v>
      </c>
      <c r="F3154" s="3">
        <f>IFERROR(__xludf.DUMMYFUNCTION("""COMPUTED_VALUE"""),0.0)</f>
        <v>0</v>
      </c>
    </row>
    <row r="3155">
      <c r="A3155" s="7">
        <f>IFERROR(__xludf.DUMMYFUNCTION("""COMPUTED_VALUE"""),41397.645833333336)</f>
        <v>41397.64583</v>
      </c>
      <c r="B3155" s="3">
        <f>IFERROR(__xludf.DUMMYFUNCTION("""COMPUTED_VALUE"""),5993.5)</f>
        <v>5993.5</v>
      </c>
      <c r="C3155" s="3">
        <f>IFERROR(__xludf.DUMMYFUNCTION("""COMPUTED_VALUE"""),6000.3)</f>
        <v>6000.3</v>
      </c>
      <c r="D3155" s="3">
        <f>IFERROR(__xludf.DUMMYFUNCTION("""COMPUTED_VALUE"""),5930.15)</f>
        <v>5930.15</v>
      </c>
      <c r="E3155" s="3">
        <f>IFERROR(__xludf.DUMMYFUNCTION("""COMPUTED_VALUE"""),5944.0)</f>
        <v>5944</v>
      </c>
      <c r="F3155" s="3">
        <f>IFERROR(__xludf.DUMMYFUNCTION("""COMPUTED_VALUE"""),0.0)</f>
        <v>0</v>
      </c>
    </row>
    <row r="3156">
      <c r="A3156" s="7">
        <f>IFERROR(__xludf.DUMMYFUNCTION("""COMPUTED_VALUE"""),41400.645833333336)</f>
        <v>41400.64583</v>
      </c>
      <c r="B3156" s="3">
        <f>IFERROR(__xludf.DUMMYFUNCTION("""COMPUTED_VALUE"""),5944.9)</f>
        <v>5944.9</v>
      </c>
      <c r="C3156" s="3">
        <f>IFERROR(__xludf.DUMMYFUNCTION("""COMPUTED_VALUE"""),5976.5)</f>
        <v>5976.5</v>
      </c>
      <c r="D3156" s="3">
        <f>IFERROR(__xludf.DUMMYFUNCTION("""COMPUTED_VALUE"""),5928.45)</f>
        <v>5928.45</v>
      </c>
      <c r="E3156" s="3">
        <f>IFERROR(__xludf.DUMMYFUNCTION("""COMPUTED_VALUE"""),5971.05)</f>
        <v>5971.05</v>
      </c>
      <c r="F3156" s="3">
        <f>IFERROR(__xludf.DUMMYFUNCTION("""COMPUTED_VALUE"""),0.0)</f>
        <v>0</v>
      </c>
    </row>
    <row r="3157">
      <c r="A3157" s="7">
        <f>IFERROR(__xludf.DUMMYFUNCTION("""COMPUTED_VALUE"""),41401.645833333336)</f>
        <v>41401.64583</v>
      </c>
      <c r="B3157" s="3">
        <f>IFERROR(__xludf.DUMMYFUNCTION("""COMPUTED_VALUE"""),5983.45)</f>
        <v>5983.45</v>
      </c>
      <c r="C3157" s="3">
        <f>IFERROR(__xludf.DUMMYFUNCTION("""COMPUTED_VALUE"""),6050.5)</f>
        <v>6050.5</v>
      </c>
      <c r="D3157" s="3">
        <f>IFERROR(__xludf.DUMMYFUNCTION("""COMPUTED_VALUE"""),5982.95)</f>
        <v>5982.95</v>
      </c>
      <c r="E3157" s="3">
        <f>IFERROR(__xludf.DUMMYFUNCTION("""COMPUTED_VALUE"""),6043.55)</f>
        <v>6043.55</v>
      </c>
      <c r="F3157" s="3">
        <f>IFERROR(__xludf.DUMMYFUNCTION("""COMPUTED_VALUE"""),0.0)</f>
        <v>0</v>
      </c>
    </row>
    <row r="3158">
      <c r="A3158" s="7">
        <f>IFERROR(__xludf.DUMMYFUNCTION("""COMPUTED_VALUE"""),41402.645833333336)</f>
        <v>41402.64583</v>
      </c>
      <c r="B3158" s="3">
        <f>IFERROR(__xludf.DUMMYFUNCTION("""COMPUTED_VALUE"""),6064.15)</f>
        <v>6064.15</v>
      </c>
      <c r="C3158" s="3">
        <f>IFERROR(__xludf.DUMMYFUNCTION("""COMPUTED_VALUE"""),6083.55)</f>
        <v>6083.55</v>
      </c>
      <c r="D3158" s="3">
        <f>IFERROR(__xludf.DUMMYFUNCTION("""COMPUTED_VALUE"""),6024.95)</f>
        <v>6024.95</v>
      </c>
      <c r="E3158" s="3">
        <f>IFERROR(__xludf.DUMMYFUNCTION("""COMPUTED_VALUE"""),6069.3)</f>
        <v>6069.3</v>
      </c>
      <c r="F3158" s="3">
        <f>IFERROR(__xludf.DUMMYFUNCTION("""COMPUTED_VALUE"""),0.0)</f>
        <v>0</v>
      </c>
    </row>
    <row r="3159">
      <c r="A3159" s="7">
        <f>IFERROR(__xludf.DUMMYFUNCTION("""COMPUTED_VALUE"""),41403.645833333336)</f>
        <v>41403.64583</v>
      </c>
      <c r="B3159" s="3">
        <f>IFERROR(__xludf.DUMMYFUNCTION("""COMPUTED_VALUE"""),6078.35)</f>
        <v>6078.35</v>
      </c>
      <c r="C3159" s="3">
        <f>IFERROR(__xludf.DUMMYFUNCTION("""COMPUTED_VALUE"""),6084.7)</f>
        <v>6084.7</v>
      </c>
      <c r="D3159" s="3">
        <f>IFERROR(__xludf.DUMMYFUNCTION("""COMPUTED_VALUE"""),6040.45)</f>
        <v>6040.45</v>
      </c>
      <c r="E3159" s="3">
        <f>IFERROR(__xludf.DUMMYFUNCTION("""COMPUTED_VALUE"""),6050.15)</f>
        <v>6050.15</v>
      </c>
      <c r="F3159" s="3">
        <f>IFERROR(__xludf.DUMMYFUNCTION("""COMPUTED_VALUE"""),0.0)</f>
        <v>0</v>
      </c>
    </row>
    <row r="3160">
      <c r="A3160" s="7">
        <f>IFERROR(__xludf.DUMMYFUNCTION("""COMPUTED_VALUE"""),41404.645833333336)</f>
        <v>41404.64583</v>
      </c>
      <c r="B3160" s="3">
        <f>IFERROR(__xludf.DUMMYFUNCTION("""COMPUTED_VALUE"""),6046.25)</f>
        <v>6046.25</v>
      </c>
      <c r="C3160" s="3">
        <f>IFERROR(__xludf.DUMMYFUNCTION("""COMPUTED_VALUE"""),6105.3)</f>
        <v>6105.3</v>
      </c>
      <c r="D3160" s="3">
        <f>IFERROR(__xludf.DUMMYFUNCTION("""COMPUTED_VALUE"""),6045.6)</f>
        <v>6045.6</v>
      </c>
      <c r="E3160" s="3">
        <f>IFERROR(__xludf.DUMMYFUNCTION("""COMPUTED_VALUE"""),6094.75)</f>
        <v>6094.75</v>
      </c>
      <c r="F3160" s="3">
        <f>IFERROR(__xludf.DUMMYFUNCTION("""COMPUTED_VALUE"""),0.0)</f>
        <v>0</v>
      </c>
    </row>
    <row r="3161">
      <c r="A3161" s="7">
        <f>IFERROR(__xludf.DUMMYFUNCTION("""COMPUTED_VALUE"""),41407.645833333336)</f>
        <v>41407.64583</v>
      </c>
      <c r="B3161" s="3">
        <f>IFERROR(__xludf.DUMMYFUNCTION("""COMPUTED_VALUE"""),6098.2)</f>
        <v>6098.2</v>
      </c>
      <c r="C3161" s="3">
        <f>IFERROR(__xludf.DUMMYFUNCTION("""COMPUTED_VALUE"""),6104.95)</f>
        <v>6104.95</v>
      </c>
      <c r="D3161" s="3">
        <f>IFERROR(__xludf.DUMMYFUNCTION("""COMPUTED_VALUE"""),5972.9)</f>
        <v>5972.9</v>
      </c>
      <c r="E3161" s="3">
        <f>IFERROR(__xludf.DUMMYFUNCTION("""COMPUTED_VALUE"""),5980.45)</f>
        <v>5980.45</v>
      </c>
      <c r="F3161" s="3">
        <f>IFERROR(__xludf.DUMMYFUNCTION("""COMPUTED_VALUE"""),0.0)</f>
        <v>0</v>
      </c>
    </row>
    <row r="3162">
      <c r="A3162" s="7">
        <f>IFERROR(__xludf.DUMMYFUNCTION("""COMPUTED_VALUE"""),41408.645833333336)</f>
        <v>41408.64583</v>
      </c>
      <c r="B3162" s="3">
        <f>IFERROR(__xludf.DUMMYFUNCTION("""COMPUTED_VALUE"""),5989.7)</f>
        <v>5989.7</v>
      </c>
      <c r="C3162" s="3">
        <f>IFERROR(__xludf.DUMMYFUNCTION("""COMPUTED_VALUE"""),6026.2)</f>
        <v>6026.2</v>
      </c>
      <c r="D3162" s="3">
        <f>IFERROR(__xludf.DUMMYFUNCTION("""COMPUTED_VALUE"""),5970.05)</f>
        <v>5970.05</v>
      </c>
      <c r="E3162" s="3">
        <f>IFERROR(__xludf.DUMMYFUNCTION("""COMPUTED_VALUE"""),5995.4)</f>
        <v>5995.4</v>
      </c>
      <c r="F3162" s="3">
        <f>IFERROR(__xludf.DUMMYFUNCTION("""COMPUTED_VALUE"""),0.0)</f>
        <v>0</v>
      </c>
    </row>
    <row r="3163">
      <c r="A3163" s="7">
        <f>IFERROR(__xludf.DUMMYFUNCTION("""COMPUTED_VALUE"""),41409.645833333336)</f>
        <v>41409.64583</v>
      </c>
      <c r="B3163" s="3">
        <f>IFERROR(__xludf.DUMMYFUNCTION("""COMPUTED_VALUE"""),6018.85)</f>
        <v>6018.85</v>
      </c>
      <c r="C3163" s="3">
        <f>IFERROR(__xludf.DUMMYFUNCTION("""COMPUTED_VALUE"""),6157.1)</f>
        <v>6157.1</v>
      </c>
      <c r="D3163" s="3">
        <f>IFERROR(__xludf.DUMMYFUNCTION("""COMPUTED_VALUE"""),6018.85)</f>
        <v>6018.85</v>
      </c>
      <c r="E3163" s="3">
        <f>IFERROR(__xludf.DUMMYFUNCTION("""COMPUTED_VALUE"""),6146.75)</f>
        <v>6146.75</v>
      </c>
      <c r="F3163" s="3">
        <f>IFERROR(__xludf.DUMMYFUNCTION("""COMPUTED_VALUE"""),0.0)</f>
        <v>0</v>
      </c>
    </row>
    <row r="3164">
      <c r="A3164" s="7">
        <f>IFERROR(__xludf.DUMMYFUNCTION("""COMPUTED_VALUE"""),41410.645833333336)</f>
        <v>41410.64583</v>
      </c>
      <c r="B3164" s="3">
        <f>IFERROR(__xludf.DUMMYFUNCTION("""COMPUTED_VALUE"""),6128.25)</f>
        <v>6128.25</v>
      </c>
      <c r="C3164" s="3">
        <f>IFERROR(__xludf.DUMMYFUNCTION("""COMPUTED_VALUE"""),6187.3)</f>
        <v>6187.3</v>
      </c>
      <c r="D3164" s="3">
        <f>IFERROR(__xludf.DUMMYFUNCTION("""COMPUTED_VALUE"""),6128.25)</f>
        <v>6128.25</v>
      </c>
      <c r="E3164" s="3">
        <f>IFERROR(__xludf.DUMMYFUNCTION("""COMPUTED_VALUE"""),6169.9)</f>
        <v>6169.9</v>
      </c>
      <c r="F3164" s="3">
        <f>IFERROR(__xludf.DUMMYFUNCTION("""COMPUTED_VALUE"""),0.0)</f>
        <v>0</v>
      </c>
    </row>
    <row r="3165">
      <c r="A3165" s="7">
        <f>IFERROR(__xludf.DUMMYFUNCTION("""COMPUTED_VALUE"""),41411.645833333336)</f>
        <v>41411.64583</v>
      </c>
      <c r="B3165" s="3">
        <f>IFERROR(__xludf.DUMMYFUNCTION("""COMPUTED_VALUE"""),6172.95)</f>
        <v>6172.95</v>
      </c>
      <c r="C3165" s="3">
        <f>IFERROR(__xludf.DUMMYFUNCTION("""COMPUTED_VALUE"""),6199.95)</f>
        <v>6199.95</v>
      </c>
      <c r="D3165" s="3">
        <f>IFERROR(__xludf.DUMMYFUNCTION("""COMPUTED_VALUE"""),6146.15)</f>
        <v>6146.15</v>
      </c>
      <c r="E3165" s="3">
        <f>IFERROR(__xludf.DUMMYFUNCTION("""COMPUTED_VALUE"""),6187.3)</f>
        <v>6187.3</v>
      </c>
      <c r="F3165" s="3">
        <f>IFERROR(__xludf.DUMMYFUNCTION("""COMPUTED_VALUE"""),0.0)</f>
        <v>0</v>
      </c>
    </row>
    <row r="3166">
      <c r="A3166" s="7">
        <f>IFERROR(__xludf.DUMMYFUNCTION("""COMPUTED_VALUE"""),41414.645833333336)</f>
        <v>41414.64583</v>
      </c>
      <c r="B3166" s="3">
        <f>IFERROR(__xludf.DUMMYFUNCTION("""COMPUTED_VALUE"""),6198.0)</f>
        <v>6198</v>
      </c>
      <c r="C3166" s="3">
        <f>IFERROR(__xludf.DUMMYFUNCTION("""COMPUTED_VALUE"""),6229.45)</f>
        <v>6229.45</v>
      </c>
      <c r="D3166" s="3">
        <f>IFERROR(__xludf.DUMMYFUNCTION("""COMPUTED_VALUE"""),6146.05)</f>
        <v>6146.05</v>
      </c>
      <c r="E3166" s="3">
        <f>IFERROR(__xludf.DUMMYFUNCTION("""COMPUTED_VALUE"""),6156.9)</f>
        <v>6156.9</v>
      </c>
      <c r="F3166" s="3">
        <f>IFERROR(__xludf.DUMMYFUNCTION("""COMPUTED_VALUE"""),0.0)</f>
        <v>0</v>
      </c>
    </row>
    <row r="3167">
      <c r="A3167" s="7">
        <f>IFERROR(__xludf.DUMMYFUNCTION("""COMPUTED_VALUE"""),41415.645833333336)</f>
        <v>41415.64583</v>
      </c>
      <c r="B3167" s="3">
        <f>IFERROR(__xludf.DUMMYFUNCTION("""COMPUTED_VALUE"""),6152.35)</f>
        <v>6152.35</v>
      </c>
      <c r="C3167" s="3">
        <f>IFERROR(__xludf.DUMMYFUNCTION("""COMPUTED_VALUE"""),6180.25)</f>
        <v>6180.25</v>
      </c>
      <c r="D3167" s="3">
        <f>IFERROR(__xludf.DUMMYFUNCTION("""COMPUTED_VALUE"""),6102.35)</f>
        <v>6102.35</v>
      </c>
      <c r="E3167" s="3">
        <f>IFERROR(__xludf.DUMMYFUNCTION("""COMPUTED_VALUE"""),6114.1)</f>
        <v>6114.1</v>
      </c>
      <c r="F3167" s="3">
        <f>IFERROR(__xludf.DUMMYFUNCTION("""COMPUTED_VALUE"""),0.0)</f>
        <v>0</v>
      </c>
    </row>
    <row r="3168">
      <c r="A3168" s="7">
        <f>IFERROR(__xludf.DUMMYFUNCTION("""COMPUTED_VALUE"""),41416.645833333336)</f>
        <v>41416.64583</v>
      </c>
      <c r="B3168" s="3">
        <f>IFERROR(__xludf.DUMMYFUNCTION("""COMPUTED_VALUE"""),6127.05)</f>
        <v>6127.05</v>
      </c>
      <c r="C3168" s="3">
        <f>IFERROR(__xludf.DUMMYFUNCTION("""COMPUTED_VALUE"""),6147.6)</f>
        <v>6147.6</v>
      </c>
      <c r="D3168" s="3">
        <f>IFERROR(__xludf.DUMMYFUNCTION("""COMPUTED_VALUE"""),6074.45)</f>
        <v>6074.45</v>
      </c>
      <c r="E3168" s="3">
        <f>IFERROR(__xludf.DUMMYFUNCTION("""COMPUTED_VALUE"""),6094.5)</f>
        <v>6094.5</v>
      </c>
      <c r="F3168" s="3">
        <f>IFERROR(__xludf.DUMMYFUNCTION("""COMPUTED_VALUE"""),0.0)</f>
        <v>0</v>
      </c>
    </row>
    <row r="3169">
      <c r="A3169" s="7">
        <f>IFERROR(__xludf.DUMMYFUNCTION("""COMPUTED_VALUE"""),41417.645833333336)</f>
        <v>41417.64583</v>
      </c>
      <c r="B3169" s="3">
        <f>IFERROR(__xludf.DUMMYFUNCTION("""COMPUTED_VALUE"""),6050.4)</f>
        <v>6050.4</v>
      </c>
      <c r="C3169" s="3">
        <f>IFERROR(__xludf.DUMMYFUNCTION("""COMPUTED_VALUE"""),6081.45)</f>
        <v>6081.45</v>
      </c>
      <c r="D3169" s="3">
        <f>IFERROR(__xludf.DUMMYFUNCTION("""COMPUTED_VALUE"""),5955.7)</f>
        <v>5955.7</v>
      </c>
      <c r="E3169" s="3">
        <f>IFERROR(__xludf.DUMMYFUNCTION("""COMPUTED_VALUE"""),5967.05)</f>
        <v>5967.05</v>
      </c>
      <c r="F3169" s="3">
        <f>IFERROR(__xludf.DUMMYFUNCTION("""COMPUTED_VALUE"""),0.0)</f>
        <v>0</v>
      </c>
    </row>
    <row r="3170">
      <c r="A3170" s="7">
        <f>IFERROR(__xludf.DUMMYFUNCTION("""COMPUTED_VALUE"""),41418.645833333336)</f>
        <v>41418.64583</v>
      </c>
      <c r="B3170" s="3">
        <f>IFERROR(__xludf.DUMMYFUNCTION("""COMPUTED_VALUE"""),6010.7)</f>
        <v>6010.7</v>
      </c>
      <c r="C3170" s="3">
        <f>IFERROR(__xludf.DUMMYFUNCTION("""COMPUTED_VALUE"""),6015.3)</f>
        <v>6015.3</v>
      </c>
      <c r="D3170" s="3">
        <f>IFERROR(__xludf.DUMMYFUNCTION("""COMPUTED_VALUE"""),5936.8)</f>
        <v>5936.8</v>
      </c>
      <c r="E3170" s="3">
        <f>IFERROR(__xludf.DUMMYFUNCTION("""COMPUTED_VALUE"""),5983.55)</f>
        <v>5983.55</v>
      </c>
      <c r="F3170" s="3">
        <f>IFERROR(__xludf.DUMMYFUNCTION("""COMPUTED_VALUE"""),0.0)</f>
        <v>0</v>
      </c>
    </row>
    <row r="3171">
      <c r="A3171" s="7">
        <f>IFERROR(__xludf.DUMMYFUNCTION("""COMPUTED_VALUE"""),41421.645833333336)</f>
        <v>41421.64583</v>
      </c>
      <c r="B3171" s="3">
        <f>IFERROR(__xludf.DUMMYFUNCTION("""COMPUTED_VALUE"""),5989.4)</f>
        <v>5989.4</v>
      </c>
      <c r="C3171" s="3">
        <f>IFERROR(__xludf.DUMMYFUNCTION("""COMPUTED_VALUE"""),6099.9)</f>
        <v>6099.9</v>
      </c>
      <c r="D3171" s="3">
        <f>IFERROR(__xludf.DUMMYFUNCTION("""COMPUTED_VALUE"""),5975.55)</f>
        <v>5975.55</v>
      </c>
      <c r="E3171" s="3">
        <f>IFERROR(__xludf.DUMMYFUNCTION("""COMPUTED_VALUE"""),6083.15)</f>
        <v>6083.15</v>
      </c>
      <c r="F3171" s="3">
        <f>IFERROR(__xludf.DUMMYFUNCTION("""COMPUTED_VALUE"""),0.0)</f>
        <v>0</v>
      </c>
    </row>
    <row r="3172">
      <c r="A3172" s="7">
        <f>IFERROR(__xludf.DUMMYFUNCTION("""COMPUTED_VALUE"""),41422.645833333336)</f>
        <v>41422.64583</v>
      </c>
      <c r="B3172" s="3">
        <f>IFERROR(__xludf.DUMMYFUNCTION("""COMPUTED_VALUE"""),6086.35)</f>
        <v>6086.35</v>
      </c>
      <c r="C3172" s="3">
        <f>IFERROR(__xludf.DUMMYFUNCTION("""COMPUTED_VALUE"""),6127.65)</f>
        <v>6127.65</v>
      </c>
      <c r="D3172" s="3">
        <f>IFERROR(__xludf.DUMMYFUNCTION("""COMPUTED_VALUE"""),6055.4)</f>
        <v>6055.4</v>
      </c>
      <c r="E3172" s="3">
        <f>IFERROR(__xludf.DUMMYFUNCTION("""COMPUTED_VALUE"""),6111.25)</f>
        <v>6111.25</v>
      </c>
      <c r="F3172" s="3">
        <f>IFERROR(__xludf.DUMMYFUNCTION("""COMPUTED_VALUE"""),0.0)</f>
        <v>0</v>
      </c>
    </row>
    <row r="3173">
      <c r="A3173" s="7">
        <f>IFERROR(__xludf.DUMMYFUNCTION("""COMPUTED_VALUE"""),41423.645833333336)</f>
        <v>41423.64583</v>
      </c>
      <c r="B3173" s="3">
        <f>IFERROR(__xludf.DUMMYFUNCTION("""COMPUTED_VALUE"""),6120.45)</f>
        <v>6120.45</v>
      </c>
      <c r="C3173" s="3">
        <f>IFERROR(__xludf.DUMMYFUNCTION("""COMPUTED_VALUE"""),6125.05)</f>
        <v>6125.05</v>
      </c>
      <c r="D3173" s="3">
        <f>IFERROR(__xludf.DUMMYFUNCTION("""COMPUTED_VALUE"""),6069.8)</f>
        <v>6069.8</v>
      </c>
      <c r="E3173" s="3">
        <f>IFERROR(__xludf.DUMMYFUNCTION("""COMPUTED_VALUE"""),6104.3)</f>
        <v>6104.3</v>
      </c>
      <c r="F3173" s="3">
        <f>IFERROR(__xludf.DUMMYFUNCTION("""COMPUTED_VALUE"""),0.0)</f>
        <v>0</v>
      </c>
    </row>
    <row r="3174">
      <c r="A3174" s="7">
        <f>IFERROR(__xludf.DUMMYFUNCTION("""COMPUTED_VALUE"""),41424.645833333336)</f>
        <v>41424.64583</v>
      </c>
      <c r="B3174" s="3">
        <f>IFERROR(__xludf.DUMMYFUNCTION("""COMPUTED_VALUE"""),6072.15)</f>
        <v>6072.15</v>
      </c>
      <c r="C3174" s="3">
        <f>IFERROR(__xludf.DUMMYFUNCTION("""COMPUTED_VALUE"""),6133.75)</f>
        <v>6133.75</v>
      </c>
      <c r="D3174" s="3">
        <f>IFERROR(__xludf.DUMMYFUNCTION("""COMPUTED_VALUE"""),6072.15)</f>
        <v>6072.15</v>
      </c>
      <c r="E3174" s="3">
        <f>IFERROR(__xludf.DUMMYFUNCTION("""COMPUTED_VALUE"""),6124.05)</f>
        <v>6124.05</v>
      </c>
      <c r="F3174" s="3">
        <f>IFERROR(__xludf.DUMMYFUNCTION("""COMPUTED_VALUE"""),0.0)</f>
        <v>0</v>
      </c>
    </row>
    <row r="3175">
      <c r="A3175" s="7">
        <f>IFERROR(__xludf.DUMMYFUNCTION("""COMPUTED_VALUE"""),41425.645833333336)</f>
        <v>41425.64583</v>
      </c>
      <c r="B3175" s="3">
        <f>IFERROR(__xludf.DUMMYFUNCTION("""COMPUTED_VALUE"""),6098.7)</f>
        <v>6098.7</v>
      </c>
      <c r="C3175" s="3">
        <f>IFERROR(__xludf.DUMMYFUNCTION("""COMPUTED_VALUE"""),6106.25)</f>
        <v>6106.25</v>
      </c>
      <c r="D3175" s="3">
        <f>IFERROR(__xludf.DUMMYFUNCTION("""COMPUTED_VALUE"""),5975.55)</f>
        <v>5975.55</v>
      </c>
      <c r="E3175" s="3">
        <f>IFERROR(__xludf.DUMMYFUNCTION("""COMPUTED_VALUE"""),5985.95)</f>
        <v>5985.95</v>
      </c>
      <c r="F3175" s="3">
        <f>IFERROR(__xludf.DUMMYFUNCTION("""COMPUTED_VALUE"""),0.0)</f>
        <v>0</v>
      </c>
    </row>
    <row r="3176">
      <c r="A3176" s="7">
        <f>IFERROR(__xludf.DUMMYFUNCTION("""COMPUTED_VALUE"""),41428.645833333336)</f>
        <v>41428.64583</v>
      </c>
      <c r="B3176" s="3">
        <f>IFERROR(__xludf.DUMMYFUNCTION("""COMPUTED_VALUE"""),5997.35)</f>
        <v>5997.35</v>
      </c>
      <c r="C3176" s="3">
        <f>IFERROR(__xludf.DUMMYFUNCTION("""COMPUTED_VALUE"""),6011.0)</f>
        <v>6011</v>
      </c>
      <c r="D3176" s="3">
        <f>IFERROR(__xludf.DUMMYFUNCTION("""COMPUTED_VALUE"""),5916.35)</f>
        <v>5916.35</v>
      </c>
      <c r="E3176" s="3">
        <f>IFERROR(__xludf.DUMMYFUNCTION("""COMPUTED_VALUE"""),5939.3)</f>
        <v>5939.3</v>
      </c>
      <c r="F3176" s="3">
        <f>IFERROR(__xludf.DUMMYFUNCTION("""COMPUTED_VALUE"""),0.0)</f>
        <v>0</v>
      </c>
    </row>
    <row r="3177">
      <c r="A3177" s="7">
        <f>IFERROR(__xludf.DUMMYFUNCTION("""COMPUTED_VALUE"""),41429.645833333336)</f>
        <v>41429.64583</v>
      </c>
      <c r="B3177" s="3">
        <f>IFERROR(__xludf.DUMMYFUNCTION("""COMPUTED_VALUE"""),5941.1)</f>
        <v>5941.1</v>
      </c>
      <c r="C3177" s="3">
        <f>IFERROR(__xludf.DUMMYFUNCTION("""COMPUTED_VALUE"""),5981.6)</f>
        <v>5981.6</v>
      </c>
      <c r="D3177" s="3">
        <f>IFERROR(__xludf.DUMMYFUNCTION("""COMPUTED_VALUE"""),5910.25)</f>
        <v>5910.25</v>
      </c>
      <c r="E3177" s="3">
        <f>IFERROR(__xludf.DUMMYFUNCTION("""COMPUTED_VALUE"""),5919.45)</f>
        <v>5919.45</v>
      </c>
      <c r="F3177" s="3">
        <f>IFERROR(__xludf.DUMMYFUNCTION("""COMPUTED_VALUE"""),0.0)</f>
        <v>0</v>
      </c>
    </row>
    <row r="3178">
      <c r="A3178" s="7">
        <f>IFERROR(__xludf.DUMMYFUNCTION("""COMPUTED_VALUE"""),41430.645833333336)</f>
        <v>41430.64583</v>
      </c>
      <c r="B3178" s="3">
        <f>IFERROR(__xludf.DUMMYFUNCTION("""COMPUTED_VALUE"""),5908.3)</f>
        <v>5908.3</v>
      </c>
      <c r="C3178" s="3">
        <f>IFERROR(__xludf.DUMMYFUNCTION("""COMPUTED_VALUE"""),5935.2)</f>
        <v>5935.2</v>
      </c>
      <c r="D3178" s="3">
        <f>IFERROR(__xludf.DUMMYFUNCTION("""COMPUTED_VALUE"""),5883.7)</f>
        <v>5883.7</v>
      </c>
      <c r="E3178" s="3">
        <f>IFERROR(__xludf.DUMMYFUNCTION("""COMPUTED_VALUE"""),5923.85)</f>
        <v>5923.85</v>
      </c>
      <c r="F3178" s="3">
        <f>IFERROR(__xludf.DUMMYFUNCTION("""COMPUTED_VALUE"""),0.0)</f>
        <v>0</v>
      </c>
    </row>
    <row r="3179">
      <c r="A3179" s="7">
        <f>IFERROR(__xludf.DUMMYFUNCTION("""COMPUTED_VALUE"""),41431.645833333336)</f>
        <v>41431.64583</v>
      </c>
      <c r="B3179" s="3">
        <f>IFERROR(__xludf.DUMMYFUNCTION("""COMPUTED_VALUE"""),5895.0)</f>
        <v>5895</v>
      </c>
      <c r="C3179" s="3">
        <f>IFERROR(__xludf.DUMMYFUNCTION("""COMPUTED_VALUE"""),5956.55)</f>
        <v>5956.55</v>
      </c>
      <c r="D3179" s="3">
        <f>IFERROR(__xludf.DUMMYFUNCTION("""COMPUTED_VALUE"""),5869.5)</f>
        <v>5869.5</v>
      </c>
      <c r="E3179" s="3">
        <f>IFERROR(__xludf.DUMMYFUNCTION("""COMPUTED_VALUE"""),5921.4)</f>
        <v>5921.4</v>
      </c>
      <c r="F3179" s="3">
        <f>IFERROR(__xludf.DUMMYFUNCTION("""COMPUTED_VALUE"""),0.0)</f>
        <v>0</v>
      </c>
    </row>
    <row r="3180">
      <c r="A3180" s="7">
        <f>IFERROR(__xludf.DUMMYFUNCTION("""COMPUTED_VALUE"""),41432.645833333336)</f>
        <v>41432.64583</v>
      </c>
      <c r="B3180" s="3">
        <f>IFERROR(__xludf.DUMMYFUNCTION("""COMPUTED_VALUE"""),5900.05)</f>
        <v>5900.05</v>
      </c>
      <c r="C3180" s="3">
        <f>IFERROR(__xludf.DUMMYFUNCTION("""COMPUTED_VALUE"""),5972.7)</f>
        <v>5972.7</v>
      </c>
      <c r="D3180" s="3">
        <f>IFERROR(__xludf.DUMMYFUNCTION("""COMPUTED_VALUE"""),5871.3)</f>
        <v>5871.3</v>
      </c>
      <c r="E3180" s="3">
        <f>IFERROR(__xludf.DUMMYFUNCTION("""COMPUTED_VALUE"""),5881.0)</f>
        <v>5881</v>
      </c>
      <c r="F3180" s="3">
        <f>IFERROR(__xludf.DUMMYFUNCTION("""COMPUTED_VALUE"""),0.0)</f>
        <v>0</v>
      </c>
    </row>
    <row r="3181">
      <c r="A3181" s="7">
        <f>IFERROR(__xludf.DUMMYFUNCTION("""COMPUTED_VALUE"""),41435.645833333336)</f>
        <v>41435.64583</v>
      </c>
      <c r="B3181" s="3">
        <f>IFERROR(__xludf.DUMMYFUNCTION("""COMPUTED_VALUE"""),5907.9)</f>
        <v>5907.9</v>
      </c>
      <c r="C3181" s="3">
        <f>IFERROR(__xludf.DUMMYFUNCTION("""COMPUTED_VALUE"""),5931.65)</f>
        <v>5931.65</v>
      </c>
      <c r="D3181" s="3">
        <f>IFERROR(__xludf.DUMMYFUNCTION("""COMPUTED_VALUE"""),5857.4)</f>
        <v>5857.4</v>
      </c>
      <c r="E3181" s="3">
        <f>IFERROR(__xludf.DUMMYFUNCTION("""COMPUTED_VALUE"""),5878.0)</f>
        <v>5878</v>
      </c>
      <c r="F3181" s="3">
        <f>IFERROR(__xludf.DUMMYFUNCTION("""COMPUTED_VALUE"""),0.0)</f>
        <v>0</v>
      </c>
    </row>
    <row r="3182">
      <c r="A3182" s="7">
        <f>IFERROR(__xludf.DUMMYFUNCTION("""COMPUTED_VALUE"""),41436.645833333336)</f>
        <v>41436.64583</v>
      </c>
      <c r="B3182" s="3">
        <f>IFERROR(__xludf.DUMMYFUNCTION("""COMPUTED_VALUE"""),5848.75)</f>
        <v>5848.75</v>
      </c>
      <c r="C3182" s="3">
        <f>IFERROR(__xludf.DUMMYFUNCTION("""COMPUTED_VALUE"""),5868.05)</f>
        <v>5868.05</v>
      </c>
      <c r="D3182" s="3">
        <f>IFERROR(__xludf.DUMMYFUNCTION("""COMPUTED_VALUE"""),5780.35)</f>
        <v>5780.35</v>
      </c>
      <c r="E3182" s="3">
        <f>IFERROR(__xludf.DUMMYFUNCTION("""COMPUTED_VALUE"""),5788.8)</f>
        <v>5788.8</v>
      </c>
      <c r="F3182" s="3">
        <f>IFERROR(__xludf.DUMMYFUNCTION("""COMPUTED_VALUE"""),0.0)</f>
        <v>0</v>
      </c>
    </row>
    <row r="3183">
      <c r="A3183" s="7">
        <f>IFERROR(__xludf.DUMMYFUNCTION("""COMPUTED_VALUE"""),41437.645833333336)</f>
        <v>41437.64583</v>
      </c>
      <c r="B3183" s="3">
        <f>IFERROR(__xludf.DUMMYFUNCTION("""COMPUTED_VALUE"""),5771.75)</f>
        <v>5771.75</v>
      </c>
      <c r="C3183" s="3">
        <f>IFERROR(__xludf.DUMMYFUNCTION("""COMPUTED_VALUE"""),5792.9)</f>
        <v>5792.9</v>
      </c>
      <c r="D3183" s="3">
        <f>IFERROR(__xludf.DUMMYFUNCTION("""COMPUTED_VALUE"""),5738.6)</f>
        <v>5738.6</v>
      </c>
      <c r="E3183" s="3">
        <f>IFERROR(__xludf.DUMMYFUNCTION("""COMPUTED_VALUE"""),5760.2)</f>
        <v>5760.2</v>
      </c>
      <c r="F3183" s="3">
        <f>IFERROR(__xludf.DUMMYFUNCTION("""COMPUTED_VALUE"""),0.0)</f>
        <v>0</v>
      </c>
    </row>
    <row r="3184">
      <c r="A3184" s="7">
        <f>IFERROR(__xludf.DUMMYFUNCTION("""COMPUTED_VALUE"""),41438.645833333336)</f>
        <v>41438.64583</v>
      </c>
      <c r="B3184" s="3">
        <f>IFERROR(__xludf.DUMMYFUNCTION("""COMPUTED_VALUE"""),5709.35)</f>
        <v>5709.35</v>
      </c>
      <c r="C3184" s="3">
        <f>IFERROR(__xludf.DUMMYFUNCTION("""COMPUTED_VALUE"""),5729.85)</f>
        <v>5729.85</v>
      </c>
      <c r="D3184" s="3">
        <f>IFERROR(__xludf.DUMMYFUNCTION("""COMPUTED_VALUE"""),5683.1)</f>
        <v>5683.1</v>
      </c>
      <c r="E3184" s="3">
        <f>IFERROR(__xludf.DUMMYFUNCTION("""COMPUTED_VALUE"""),5699.1)</f>
        <v>5699.1</v>
      </c>
      <c r="F3184" s="3">
        <f>IFERROR(__xludf.DUMMYFUNCTION("""COMPUTED_VALUE"""),0.0)</f>
        <v>0</v>
      </c>
    </row>
    <row r="3185">
      <c r="A3185" s="7">
        <f>IFERROR(__xludf.DUMMYFUNCTION("""COMPUTED_VALUE"""),41439.645833333336)</f>
        <v>41439.64583</v>
      </c>
      <c r="B3185" s="3">
        <f>IFERROR(__xludf.DUMMYFUNCTION("""COMPUTED_VALUE"""),5748.95)</f>
        <v>5748.95</v>
      </c>
      <c r="C3185" s="3">
        <f>IFERROR(__xludf.DUMMYFUNCTION("""COMPUTED_VALUE"""),5819.4)</f>
        <v>5819.4</v>
      </c>
      <c r="D3185" s="3">
        <f>IFERROR(__xludf.DUMMYFUNCTION("""COMPUTED_VALUE"""),5739.4)</f>
        <v>5739.4</v>
      </c>
      <c r="E3185" s="3">
        <f>IFERROR(__xludf.DUMMYFUNCTION("""COMPUTED_VALUE"""),5808.4)</f>
        <v>5808.4</v>
      </c>
      <c r="F3185" s="3">
        <f>IFERROR(__xludf.DUMMYFUNCTION("""COMPUTED_VALUE"""),0.0)</f>
        <v>0</v>
      </c>
    </row>
    <row r="3186">
      <c r="A3186" s="7">
        <f>IFERROR(__xludf.DUMMYFUNCTION("""COMPUTED_VALUE"""),41442.645833333336)</f>
        <v>41442.64583</v>
      </c>
      <c r="B3186" s="3">
        <f>IFERROR(__xludf.DUMMYFUNCTION("""COMPUTED_VALUE"""),5820.4)</f>
        <v>5820.4</v>
      </c>
      <c r="C3186" s="3">
        <f>IFERROR(__xludf.DUMMYFUNCTION("""COMPUTED_VALUE"""),5854.9)</f>
        <v>5854.9</v>
      </c>
      <c r="D3186" s="3">
        <f>IFERROR(__xludf.DUMMYFUNCTION("""COMPUTED_VALUE"""),5770.25)</f>
        <v>5770.25</v>
      </c>
      <c r="E3186" s="3">
        <f>IFERROR(__xludf.DUMMYFUNCTION("""COMPUTED_VALUE"""),5850.05)</f>
        <v>5850.05</v>
      </c>
      <c r="F3186" s="3">
        <f>IFERROR(__xludf.DUMMYFUNCTION("""COMPUTED_VALUE"""),0.0)</f>
        <v>0</v>
      </c>
    </row>
    <row r="3187">
      <c r="A3187" s="7">
        <f>IFERROR(__xludf.DUMMYFUNCTION("""COMPUTED_VALUE"""),41443.645833333336)</f>
        <v>41443.64583</v>
      </c>
      <c r="B3187" s="3">
        <f>IFERROR(__xludf.DUMMYFUNCTION("""COMPUTED_VALUE"""),5841.9)</f>
        <v>5841.9</v>
      </c>
      <c r="C3187" s="3">
        <f>IFERROR(__xludf.DUMMYFUNCTION("""COMPUTED_VALUE"""),5863.4)</f>
        <v>5863.4</v>
      </c>
      <c r="D3187" s="3">
        <f>IFERROR(__xludf.DUMMYFUNCTION("""COMPUTED_VALUE"""),5804.3)</f>
        <v>5804.3</v>
      </c>
      <c r="E3187" s="3">
        <f>IFERROR(__xludf.DUMMYFUNCTION("""COMPUTED_VALUE"""),5813.6)</f>
        <v>5813.6</v>
      </c>
      <c r="F3187" s="3">
        <f>IFERROR(__xludf.DUMMYFUNCTION("""COMPUTED_VALUE"""),0.0)</f>
        <v>0</v>
      </c>
    </row>
    <row r="3188">
      <c r="A3188" s="7">
        <f>IFERROR(__xludf.DUMMYFUNCTION("""COMPUTED_VALUE"""),41444.645833333336)</f>
        <v>41444.64583</v>
      </c>
      <c r="B3188" s="3">
        <f>IFERROR(__xludf.DUMMYFUNCTION("""COMPUTED_VALUE"""),5805.75)</f>
        <v>5805.75</v>
      </c>
      <c r="C3188" s="3">
        <f>IFERROR(__xludf.DUMMYFUNCTION("""COMPUTED_VALUE"""),5828.4)</f>
        <v>5828.4</v>
      </c>
      <c r="D3188" s="3">
        <f>IFERROR(__xludf.DUMMYFUNCTION("""COMPUTED_VALUE"""),5777.9)</f>
        <v>5777.9</v>
      </c>
      <c r="E3188" s="3">
        <f>IFERROR(__xludf.DUMMYFUNCTION("""COMPUTED_VALUE"""),5822.25)</f>
        <v>5822.25</v>
      </c>
      <c r="F3188" s="3">
        <f>IFERROR(__xludf.DUMMYFUNCTION("""COMPUTED_VALUE"""),0.0)</f>
        <v>0</v>
      </c>
    </row>
    <row r="3189">
      <c r="A3189" s="7">
        <f>IFERROR(__xludf.DUMMYFUNCTION("""COMPUTED_VALUE"""),41445.645833333336)</f>
        <v>41445.64583</v>
      </c>
      <c r="B3189" s="3">
        <f>IFERROR(__xludf.DUMMYFUNCTION("""COMPUTED_VALUE"""),5754.15)</f>
        <v>5754.15</v>
      </c>
      <c r="C3189" s="3">
        <f>IFERROR(__xludf.DUMMYFUNCTION("""COMPUTED_VALUE"""),5755.0)</f>
        <v>5755</v>
      </c>
      <c r="D3189" s="3">
        <f>IFERROR(__xludf.DUMMYFUNCTION("""COMPUTED_VALUE"""),5645.65)</f>
        <v>5645.65</v>
      </c>
      <c r="E3189" s="3">
        <f>IFERROR(__xludf.DUMMYFUNCTION("""COMPUTED_VALUE"""),5655.9)</f>
        <v>5655.9</v>
      </c>
      <c r="F3189" s="3">
        <f>IFERROR(__xludf.DUMMYFUNCTION("""COMPUTED_VALUE"""),0.0)</f>
        <v>0</v>
      </c>
    </row>
    <row r="3190">
      <c r="A3190" s="7">
        <f>IFERROR(__xludf.DUMMYFUNCTION("""COMPUTED_VALUE"""),41446.645833333336)</f>
        <v>41446.64583</v>
      </c>
      <c r="B3190" s="3">
        <f>IFERROR(__xludf.DUMMYFUNCTION("""COMPUTED_VALUE"""),5639.9)</f>
        <v>5639.9</v>
      </c>
      <c r="C3190" s="3">
        <f>IFERROR(__xludf.DUMMYFUNCTION("""COMPUTED_VALUE"""),5686.15)</f>
        <v>5686.15</v>
      </c>
      <c r="D3190" s="3">
        <f>IFERROR(__xludf.DUMMYFUNCTION("""COMPUTED_VALUE"""),5616.85)</f>
        <v>5616.85</v>
      </c>
      <c r="E3190" s="3">
        <f>IFERROR(__xludf.DUMMYFUNCTION("""COMPUTED_VALUE"""),5667.65)</f>
        <v>5667.65</v>
      </c>
      <c r="F3190" s="3">
        <f>IFERROR(__xludf.DUMMYFUNCTION("""COMPUTED_VALUE"""),0.0)</f>
        <v>0</v>
      </c>
    </row>
    <row r="3191">
      <c r="A3191" s="7">
        <f>IFERROR(__xludf.DUMMYFUNCTION("""COMPUTED_VALUE"""),41449.645833333336)</f>
        <v>41449.64583</v>
      </c>
      <c r="B3191" s="3">
        <f>IFERROR(__xludf.DUMMYFUNCTION("""COMPUTED_VALUE"""),5638.05)</f>
        <v>5638.05</v>
      </c>
      <c r="C3191" s="3">
        <f>IFERROR(__xludf.DUMMYFUNCTION("""COMPUTED_VALUE"""),5640.0)</f>
        <v>5640</v>
      </c>
      <c r="D3191" s="3">
        <f>IFERROR(__xludf.DUMMYFUNCTION("""COMPUTED_VALUE"""),5566.25)</f>
        <v>5566.25</v>
      </c>
      <c r="E3191" s="3">
        <f>IFERROR(__xludf.DUMMYFUNCTION("""COMPUTED_VALUE"""),5590.25)</f>
        <v>5590.25</v>
      </c>
      <c r="F3191" s="3">
        <f>IFERROR(__xludf.DUMMYFUNCTION("""COMPUTED_VALUE"""),0.0)</f>
        <v>0</v>
      </c>
    </row>
    <row r="3192">
      <c r="A3192" s="7">
        <f>IFERROR(__xludf.DUMMYFUNCTION("""COMPUTED_VALUE"""),41450.645833333336)</f>
        <v>41450.64583</v>
      </c>
      <c r="B3192" s="3">
        <f>IFERROR(__xludf.DUMMYFUNCTION("""COMPUTED_VALUE"""),5606.95)</f>
        <v>5606.95</v>
      </c>
      <c r="C3192" s="3">
        <f>IFERROR(__xludf.DUMMYFUNCTION("""COMPUTED_VALUE"""),5666.25)</f>
        <v>5666.25</v>
      </c>
      <c r="D3192" s="3">
        <f>IFERROR(__xludf.DUMMYFUNCTION("""COMPUTED_VALUE"""),5570.25)</f>
        <v>5570.25</v>
      </c>
      <c r="E3192" s="3">
        <f>IFERROR(__xludf.DUMMYFUNCTION("""COMPUTED_VALUE"""),5609.1)</f>
        <v>5609.1</v>
      </c>
      <c r="F3192" s="3">
        <f>IFERROR(__xludf.DUMMYFUNCTION("""COMPUTED_VALUE"""),0.0)</f>
        <v>0</v>
      </c>
    </row>
    <row r="3193">
      <c r="A3193" s="7">
        <f>IFERROR(__xludf.DUMMYFUNCTION("""COMPUTED_VALUE"""),41451.645833333336)</f>
        <v>41451.64583</v>
      </c>
      <c r="B3193" s="3">
        <f>IFERROR(__xludf.DUMMYFUNCTION("""COMPUTED_VALUE"""),5627.95)</f>
        <v>5627.95</v>
      </c>
      <c r="C3193" s="3">
        <f>IFERROR(__xludf.DUMMYFUNCTION("""COMPUTED_VALUE"""),5635.25)</f>
        <v>5635.25</v>
      </c>
      <c r="D3193" s="3">
        <f>IFERROR(__xludf.DUMMYFUNCTION("""COMPUTED_VALUE"""),5579.35)</f>
        <v>5579.35</v>
      </c>
      <c r="E3193" s="3">
        <f>IFERROR(__xludf.DUMMYFUNCTION("""COMPUTED_VALUE"""),5588.7)</f>
        <v>5588.7</v>
      </c>
      <c r="F3193" s="3">
        <f>IFERROR(__xludf.DUMMYFUNCTION("""COMPUTED_VALUE"""),0.0)</f>
        <v>0</v>
      </c>
    </row>
    <row r="3194">
      <c r="A3194" s="7">
        <f>IFERROR(__xludf.DUMMYFUNCTION("""COMPUTED_VALUE"""),41452.645833333336)</f>
        <v>41452.64583</v>
      </c>
      <c r="B3194" s="3">
        <f>IFERROR(__xludf.DUMMYFUNCTION("""COMPUTED_VALUE"""),5647.95)</f>
        <v>5647.95</v>
      </c>
      <c r="C3194" s="3">
        <f>IFERROR(__xludf.DUMMYFUNCTION("""COMPUTED_VALUE"""),5699.35)</f>
        <v>5699.35</v>
      </c>
      <c r="D3194" s="3">
        <f>IFERROR(__xludf.DUMMYFUNCTION("""COMPUTED_VALUE"""),5630.95)</f>
        <v>5630.95</v>
      </c>
      <c r="E3194" s="3">
        <f>IFERROR(__xludf.DUMMYFUNCTION("""COMPUTED_VALUE"""),5682.35)</f>
        <v>5682.35</v>
      </c>
      <c r="F3194" s="3">
        <f>IFERROR(__xludf.DUMMYFUNCTION("""COMPUTED_VALUE"""),0.0)</f>
        <v>0</v>
      </c>
    </row>
    <row r="3195">
      <c r="A3195" s="7">
        <f>IFERROR(__xludf.DUMMYFUNCTION("""COMPUTED_VALUE"""),41453.645833333336)</f>
        <v>41453.64583</v>
      </c>
      <c r="B3195" s="3">
        <f>IFERROR(__xludf.DUMMYFUNCTION("""COMPUTED_VALUE"""),5749.5)</f>
        <v>5749.5</v>
      </c>
      <c r="C3195" s="3">
        <f>IFERROR(__xludf.DUMMYFUNCTION("""COMPUTED_VALUE"""),5852.95)</f>
        <v>5852.95</v>
      </c>
      <c r="D3195" s="3">
        <f>IFERROR(__xludf.DUMMYFUNCTION("""COMPUTED_VALUE"""),5749.5)</f>
        <v>5749.5</v>
      </c>
      <c r="E3195" s="3">
        <f>IFERROR(__xludf.DUMMYFUNCTION("""COMPUTED_VALUE"""),5842.2)</f>
        <v>5842.2</v>
      </c>
      <c r="F3195" s="3">
        <f>IFERROR(__xludf.DUMMYFUNCTION("""COMPUTED_VALUE"""),0.0)</f>
        <v>0</v>
      </c>
    </row>
    <row r="3196">
      <c r="A3196" s="7">
        <f>IFERROR(__xludf.DUMMYFUNCTION("""COMPUTED_VALUE"""),41456.645833333336)</f>
        <v>41456.64583</v>
      </c>
      <c r="B3196" s="3">
        <f>IFERROR(__xludf.DUMMYFUNCTION("""COMPUTED_VALUE"""),5834.1)</f>
        <v>5834.1</v>
      </c>
      <c r="C3196" s="3">
        <f>IFERROR(__xludf.DUMMYFUNCTION("""COMPUTED_VALUE"""),5904.35)</f>
        <v>5904.35</v>
      </c>
      <c r="D3196" s="3">
        <f>IFERROR(__xludf.DUMMYFUNCTION("""COMPUTED_VALUE"""),5822.2)</f>
        <v>5822.2</v>
      </c>
      <c r="E3196" s="3">
        <f>IFERROR(__xludf.DUMMYFUNCTION("""COMPUTED_VALUE"""),5898.85)</f>
        <v>5898.85</v>
      </c>
      <c r="F3196" s="3">
        <f>IFERROR(__xludf.DUMMYFUNCTION("""COMPUTED_VALUE"""),0.0)</f>
        <v>0</v>
      </c>
    </row>
    <row r="3197">
      <c r="A3197" s="7">
        <f>IFERROR(__xludf.DUMMYFUNCTION("""COMPUTED_VALUE"""),41457.645833333336)</f>
        <v>41457.64583</v>
      </c>
      <c r="B3197" s="3">
        <f>IFERROR(__xludf.DUMMYFUNCTION("""COMPUTED_VALUE"""),5885.5)</f>
        <v>5885.5</v>
      </c>
      <c r="C3197" s="3">
        <f>IFERROR(__xludf.DUMMYFUNCTION("""COMPUTED_VALUE"""),5898.8)</f>
        <v>5898.8</v>
      </c>
      <c r="D3197" s="3">
        <f>IFERROR(__xludf.DUMMYFUNCTION("""COMPUTED_VALUE"""),5852.3)</f>
        <v>5852.3</v>
      </c>
      <c r="E3197" s="3">
        <f>IFERROR(__xludf.DUMMYFUNCTION("""COMPUTED_VALUE"""),5857.55)</f>
        <v>5857.55</v>
      </c>
      <c r="F3197" s="3">
        <f>IFERROR(__xludf.DUMMYFUNCTION("""COMPUTED_VALUE"""),0.0)</f>
        <v>0</v>
      </c>
    </row>
    <row r="3198">
      <c r="A3198" s="7">
        <f>IFERROR(__xludf.DUMMYFUNCTION("""COMPUTED_VALUE"""),41458.645833333336)</f>
        <v>41458.64583</v>
      </c>
      <c r="B3198" s="3">
        <f>IFERROR(__xludf.DUMMYFUNCTION("""COMPUTED_VALUE"""),5811.95)</f>
        <v>5811.95</v>
      </c>
      <c r="C3198" s="3">
        <f>IFERROR(__xludf.DUMMYFUNCTION("""COMPUTED_VALUE"""),5815.0)</f>
        <v>5815</v>
      </c>
      <c r="D3198" s="3">
        <f>IFERROR(__xludf.DUMMYFUNCTION("""COMPUTED_VALUE"""),5760.4)</f>
        <v>5760.4</v>
      </c>
      <c r="E3198" s="3">
        <f>IFERROR(__xludf.DUMMYFUNCTION("""COMPUTED_VALUE"""),5770.9)</f>
        <v>5770.9</v>
      </c>
      <c r="F3198" s="3">
        <f>IFERROR(__xludf.DUMMYFUNCTION("""COMPUTED_VALUE"""),0.0)</f>
        <v>0</v>
      </c>
    </row>
    <row r="3199">
      <c r="A3199" s="7">
        <f>IFERROR(__xludf.DUMMYFUNCTION("""COMPUTED_VALUE"""),41459.645833333336)</f>
        <v>41459.64583</v>
      </c>
      <c r="B3199" s="3">
        <f>IFERROR(__xludf.DUMMYFUNCTION("""COMPUTED_VALUE"""),5794.75)</f>
        <v>5794.75</v>
      </c>
      <c r="C3199" s="3">
        <f>IFERROR(__xludf.DUMMYFUNCTION("""COMPUTED_VALUE"""),5848.2)</f>
        <v>5848.2</v>
      </c>
      <c r="D3199" s="3">
        <f>IFERROR(__xludf.DUMMYFUNCTION("""COMPUTED_VALUE"""),5786.05)</f>
        <v>5786.05</v>
      </c>
      <c r="E3199" s="3">
        <f>IFERROR(__xludf.DUMMYFUNCTION("""COMPUTED_VALUE"""),5836.95)</f>
        <v>5836.95</v>
      </c>
      <c r="F3199" s="3">
        <f>IFERROR(__xludf.DUMMYFUNCTION("""COMPUTED_VALUE"""),0.0)</f>
        <v>0</v>
      </c>
    </row>
    <row r="3200">
      <c r="A3200" s="7">
        <f>IFERROR(__xludf.DUMMYFUNCTION("""COMPUTED_VALUE"""),41460.645833333336)</f>
        <v>41460.64583</v>
      </c>
      <c r="B3200" s="3">
        <f>IFERROR(__xludf.DUMMYFUNCTION("""COMPUTED_VALUE"""),5889.95)</f>
        <v>5889.95</v>
      </c>
      <c r="C3200" s="3">
        <f>IFERROR(__xludf.DUMMYFUNCTION("""COMPUTED_VALUE"""),5900.45)</f>
        <v>5900.45</v>
      </c>
      <c r="D3200" s="3">
        <f>IFERROR(__xludf.DUMMYFUNCTION("""COMPUTED_VALUE"""),5858.45)</f>
        <v>5858.45</v>
      </c>
      <c r="E3200" s="3">
        <f>IFERROR(__xludf.DUMMYFUNCTION("""COMPUTED_VALUE"""),5867.9)</f>
        <v>5867.9</v>
      </c>
      <c r="F3200" s="3">
        <f>IFERROR(__xludf.DUMMYFUNCTION("""COMPUTED_VALUE"""),0.0)</f>
        <v>0</v>
      </c>
    </row>
    <row r="3201">
      <c r="A3201" s="7">
        <f>IFERROR(__xludf.DUMMYFUNCTION("""COMPUTED_VALUE"""),41463.645833333336)</f>
        <v>41463.64583</v>
      </c>
      <c r="B3201" s="3">
        <f>IFERROR(__xludf.DUMMYFUNCTION("""COMPUTED_VALUE"""),5833.15)</f>
        <v>5833.15</v>
      </c>
      <c r="C3201" s="3">
        <f>IFERROR(__xludf.DUMMYFUNCTION("""COMPUTED_VALUE"""),5833.85)</f>
        <v>5833.85</v>
      </c>
      <c r="D3201" s="3">
        <f>IFERROR(__xludf.DUMMYFUNCTION("""COMPUTED_VALUE"""),5775.55)</f>
        <v>5775.55</v>
      </c>
      <c r="E3201" s="3">
        <f>IFERROR(__xludf.DUMMYFUNCTION("""COMPUTED_VALUE"""),5811.55)</f>
        <v>5811.55</v>
      </c>
      <c r="F3201" s="3">
        <f>IFERROR(__xludf.DUMMYFUNCTION("""COMPUTED_VALUE"""),0.0)</f>
        <v>0</v>
      </c>
    </row>
    <row r="3202">
      <c r="A3202" s="7">
        <f>IFERROR(__xludf.DUMMYFUNCTION("""COMPUTED_VALUE"""),41464.645833333336)</f>
        <v>41464.64583</v>
      </c>
      <c r="B3202" s="3">
        <f>IFERROR(__xludf.DUMMYFUNCTION("""COMPUTED_VALUE"""),5834.6)</f>
        <v>5834.6</v>
      </c>
      <c r="C3202" s="3">
        <f>IFERROR(__xludf.DUMMYFUNCTION("""COMPUTED_VALUE"""),5864.95)</f>
        <v>5864.95</v>
      </c>
      <c r="D3202" s="3">
        <f>IFERROR(__xludf.DUMMYFUNCTION("""COMPUTED_VALUE"""),5834.6)</f>
        <v>5834.6</v>
      </c>
      <c r="E3202" s="3">
        <f>IFERROR(__xludf.DUMMYFUNCTION("""COMPUTED_VALUE"""),5859.0)</f>
        <v>5859</v>
      </c>
      <c r="F3202" s="3">
        <f>IFERROR(__xludf.DUMMYFUNCTION("""COMPUTED_VALUE"""),0.0)</f>
        <v>0</v>
      </c>
    </row>
    <row r="3203">
      <c r="A3203" s="7">
        <f>IFERROR(__xludf.DUMMYFUNCTION("""COMPUTED_VALUE"""),41465.645833333336)</f>
        <v>41465.64583</v>
      </c>
      <c r="B3203" s="3">
        <f>IFERROR(__xludf.DUMMYFUNCTION("""COMPUTED_VALUE"""),5869.9)</f>
        <v>5869.9</v>
      </c>
      <c r="C3203" s="3">
        <f>IFERROR(__xludf.DUMMYFUNCTION("""COMPUTED_VALUE"""),5879.35)</f>
        <v>5879.35</v>
      </c>
      <c r="D3203" s="3">
        <f>IFERROR(__xludf.DUMMYFUNCTION("""COMPUTED_VALUE"""),5802.85)</f>
        <v>5802.85</v>
      </c>
      <c r="E3203" s="3">
        <f>IFERROR(__xludf.DUMMYFUNCTION("""COMPUTED_VALUE"""),5816.7)</f>
        <v>5816.7</v>
      </c>
      <c r="F3203" s="3">
        <f>IFERROR(__xludf.DUMMYFUNCTION("""COMPUTED_VALUE"""),0.0)</f>
        <v>0</v>
      </c>
    </row>
    <row r="3204">
      <c r="A3204" s="7">
        <f>IFERROR(__xludf.DUMMYFUNCTION("""COMPUTED_VALUE"""),41466.645833333336)</f>
        <v>41466.64583</v>
      </c>
      <c r="B3204" s="3">
        <f>IFERROR(__xludf.DUMMYFUNCTION("""COMPUTED_VALUE"""),5894.5)</f>
        <v>5894.5</v>
      </c>
      <c r="C3204" s="3">
        <f>IFERROR(__xludf.DUMMYFUNCTION("""COMPUTED_VALUE"""),5948.85)</f>
        <v>5948.85</v>
      </c>
      <c r="D3204" s="3">
        <f>IFERROR(__xludf.DUMMYFUNCTION("""COMPUTED_VALUE"""),5887.95)</f>
        <v>5887.95</v>
      </c>
      <c r="E3204" s="3">
        <f>IFERROR(__xludf.DUMMYFUNCTION("""COMPUTED_VALUE"""),5935.1)</f>
        <v>5935.1</v>
      </c>
      <c r="F3204" s="3">
        <f>IFERROR(__xludf.DUMMYFUNCTION("""COMPUTED_VALUE"""),0.0)</f>
        <v>0</v>
      </c>
    </row>
    <row r="3205">
      <c r="A3205" s="7">
        <f>IFERROR(__xludf.DUMMYFUNCTION("""COMPUTED_VALUE"""),41467.645833333336)</f>
        <v>41467.64583</v>
      </c>
      <c r="B3205" s="3">
        <f>IFERROR(__xludf.DUMMYFUNCTION("""COMPUTED_VALUE"""),6000.5)</f>
        <v>6000.5</v>
      </c>
      <c r="C3205" s="3">
        <f>IFERROR(__xludf.DUMMYFUNCTION("""COMPUTED_VALUE"""),6019.0)</f>
        <v>6019</v>
      </c>
      <c r="D3205" s="3">
        <f>IFERROR(__xludf.DUMMYFUNCTION("""COMPUTED_VALUE"""),5951.15)</f>
        <v>5951.15</v>
      </c>
      <c r="E3205" s="3">
        <f>IFERROR(__xludf.DUMMYFUNCTION("""COMPUTED_VALUE"""),6009.0)</f>
        <v>6009</v>
      </c>
      <c r="F3205" s="3">
        <f>IFERROR(__xludf.DUMMYFUNCTION("""COMPUTED_VALUE"""),0.0)</f>
        <v>0</v>
      </c>
    </row>
    <row r="3206">
      <c r="A3206" s="7">
        <f>IFERROR(__xludf.DUMMYFUNCTION("""COMPUTED_VALUE"""),41470.645833333336)</f>
        <v>41470.64583</v>
      </c>
      <c r="B3206" s="3">
        <f>IFERROR(__xludf.DUMMYFUNCTION("""COMPUTED_VALUE"""),5991.2)</f>
        <v>5991.2</v>
      </c>
      <c r="C3206" s="3">
        <f>IFERROR(__xludf.DUMMYFUNCTION("""COMPUTED_VALUE"""),6038.2)</f>
        <v>6038.2</v>
      </c>
      <c r="D3206" s="3">
        <f>IFERROR(__xludf.DUMMYFUNCTION("""COMPUTED_VALUE"""),5980.95)</f>
        <v>5980.95</v>
      </c>
      <c r="E3206" s="3">
        <f>IFERROR(__xludf.DUMMYFUNCTION("""COMPUTED_VALUE"""),6030.8)</f>
        <v>6030.8</v>
      </c>
      <c r="F3206" s="3">
        <f>IFERROR(__xludf.DUMMYFUNCTION("""COMPUTED_VALUE"""),0.0)</f>
        <v>0</v>
      </c>
    </row>
    <row r="3207">
      <c r="A3207" s="7">
        <f>IFERROR(__xludf.DUMMYFUNCTION("""COMPUTED_VALUE"""),41471.645833333336)</f>
        <v>41471.64583</v>
      </c>
      <c r="B3207" s="3">
        <f>IFERROR(__xludf.DUMMYFUNCTION("""COMPUTED_VALUE"""),5930.8)</f>
        <v>5930.8</v>
      </c>
      <c r="C3207" s="3">
        <f>IFERROR(__xludf.DUMMYFUNCTION("""COMPUTED_VALUE"""),5966.05)</f>
        <v>5966.05</v>
      </c>
      <c r="D3207" s="3">
        <f>IFERROR(__xludf.DUMMYFUNCTION("""COMPUTED_VALUE"""),5910.95)</f>
        <v>5910.95</v>
      </c>
      <c r="E3207" s="3">
        <f>IFERROR(__xludf.DUMMYFUNCTION("""COMPUTED_VALUE"""),5955.25)</f>
        <v>5955.25</v>
      </c>
      <c r="F3207" s="3">
        <f>IFERROR(__xludf.DUMMYFUNCTION("""COMPUTED_VALUE"""),0.0)</f>
        <v>0</v>
      </c>
    </row>
    <row r="3208">
      <c r="A3208" s="7">
        <f>IFERROR(__xludf.DUMMYFUNCTION("""COMPUTED_VALUE"""),41472.645833333336)</f>
        <v>41472.64583</v>
      </c>
      <c r="B3208" s="3">
        <f>IFERROR(__xludf.DUMMYFUNCTION("""COMPUTED_VALUE"""),5972.25)</f>
        <v>5972.25</v>
      </c>
      <c r="C3208" s="3">
        <f>IFERROR(__xludf.DUMMYFUNCTION("""COMPUTED_VALUE"""),5989.8)</f>
        <v>5989.8</v>
      </c>
      <c r="D3208" s="3">
        <f>IFERROR(__xludf.DUMMYFUNCTION("""COMPUTED_VALUE"""),5926.75)</f>
        <v>5926.75</v>
      </c>
      <c r="E3208" s="3">
        <f>IFERROR(__xludf.DUMMYFUNCTION("""COMPUTED_VALUE"""),5973.3)</f>
        <v>5973.3</v>
      </c>
      <c r="F3208" s="3">
        <f>IFERROR(__xludf.DUMMYFUNCTION("""COMPUTED_VALUE"""),0.0)</f>
        <v>0</v>
      </c>
    </row>
    <row r="3209">
      <c r="A3209" s="7">
        <f>IFERROR(__xludf.DUMMYFUNCTION("""COMPUTED_VALUE"""),41473.645833333336)</f>
        <v>41473.64583</v>
      </c>
      <c r="B3209" s="3">
        <f>IFERROR(__xludf.DUMMYFUNCTION("""COMPUTED_VALUE"""),5984.7)</f>
        <v>5984.7</v>
      </c>
      <c r="C3209" s="3">
        <f>IFERROR(__xludf.DUMMYFUNCTION("""COMPUTED_VALUE"""),6051.1)</f>
        <v>6051.1</v>
      </c>
      <c r="D3209" s="3">
        <f>IFERROR(__xludf.DUMMYFUNCTION("""COMPUTED_VALUE"""),5974.55)</f>
        <v>5974.55</v>
      </c>
      <c r="E3209" s="3">
        <f>IFERROR(__xludf.DUMMYFUNCTION("""COMPUTED_VALUE"""),6038.05)</f>
        <v>6038.05</v>
      </c>
      <c r="F3209" s="3">
        <f>IFERROR(__xludf.DUMMYFUNCTION("""COMPUTED_VALUE"""),0.0)</f>
        <v>0</v>
      </c>
    </row>
    <row r="3210">
      <c r="A3210" s="7">
        <f>IFERROR(__xludf.DUMMYFUNCTION("""COMPUTED_VALUE"""),41474.645833333336)</f>
        <v>41474.64583</v>
      </c>
      <c r="B3210" s="3">
        <f>IFERROR(__xludf.DUMMYFUNCTION("""COMPUTED_VALUE"""),6057.2)</f>
        <v>6057.2</v>
      </c>
      <c r="C3210" s="3">
        <f>IFERROR(__xludf.DUMMYFUNCTION("""COMPUTED_VALUE"""),6066.85)</f>
        <v>6066.85</v>
      </c>
      <c r="D3210" s="3">
        <f>IFERROR(__xludf.DUMMYFUNCTION("""COMPUTED_VALUE"""),6020.25)</f>
        <v>6020.25</v>
      </c>
      <c r="E3210" s="3">
        <f>IFERROR(__xludf.DUMMYFUNCTION("""COMPUTED_VALUE"""),6029.2)</f>
        <v>6029.2</v>
      </c>
      <c r="F3210" s="3">
        <f>IFERROR(__xludf.DUMMYFUNCTION("""COMPUTED_VALUE"""),0.0)</f>
        <v>0</v>
      </c>
    </row>
    <row r="3211">
      <c r="A3211" s="7">
        <f>IFERROR(__xludf.DUMMYFUNCTION("""COMPUTED_VALUE"""),41477.645833333336)</f>
        <v>41477.64583</v>
      </c>
      <c r="B3211" s="3">
        <f>IFERROR(__xludf.DUMMYFUNCTION("""COMPUTED_VALUE"""),6009.75)</f>
        <v>6009.75</v>
      </c>
      <c r="C3211" s="3">
        <f>IFERROR(__xludf.DUMMYFUNCTION("""COMPUTED_VALUE"""),6064.15)</f>
        <v>6064.15</v>
      </c>
      <c r="D3211" s="3">
        <f>IFERROR(__xludf.DUMMYFUNCTION("""COMPUTED_VALUE"""),6004.25)</f>
        <v>6004.25</v>
      </c>
      <c r="E3211" s="3">
        <f>IFERROR(__xludf.DUMMYFUNCTION("""COMPUTED_VALUE"""),6031.8)</f>
        <v>6031.8</v>
      </c>
      <c r="F3211" s="3">
        <f>IFERROR(__xludf.DUMMYFUNCTION("""COMPUTED_VALUE"""),0.0)</f>
        <v>0</v>
      </c>
    </row>
    <row r="3212">
      <c r="A3212" s="7">
        <f>IFERROR(__xludf.DUMMYFUNCTION("""COMPUTED_VALUE"""),41478.645833333336)</f>
        <v>41478.64583</v>
      </c>
      <c r="B3212" s="3">
        <f>IFERROR(__xludf.DUMMYFUNCTION("""COMPUTED_VALUE"""),6064.3)</f>
        <v>6064.3</v>
      </c>
      <c r="C3212" s="3">
        <f>IFERROR(__xludf.DUMMYFUNCTION("""COMPUTED_VALUE"""),6093.35)</f>
        <v>6093.35</v>
      </c>
      <c r="D3212" s="3">
        <f>IFERROR(__xludf.DUMMYFUNCTION("""COMPUTED_VALUE"""),6061.3)</f>
        <v>6061.3</v>
      </c>
      <c r="E3212" s="3">
        <f>IFERROR(__xludf.DUMMYFUNCTION("""COMPUTED_VALUE"""),6077.8)</f>
        <v>6077.8</v>
      </c>
      <c r="F3212" s="3">
        <f>IFERROR(__xludf.DUMMYFUNCTION("""COMPUTED_VALUE"""),0.0)</f>
        <v>0</v>
      </c>
    </row>
    <row r="3213">
      <c r="A3213" s="7">
        <f>IFERROR(__xludf.DUMMYFUNCTION("""COMPUTED_VALUE"""),41479.645833333336)</f>
        <v>41479.64583</v>
      </c>
      <c r="B3213" s="3">
        <f>IFERROR(__xludf.DUMMYFUNCTION("""COMPUTED_VALUE"""),6032.2)</f>
        <v>6032.2</v>
      </c>
      <c r="C3213" s="3">
        <f>IFERROR(__xludf.DUMMYFUNCTION("""COMPUTED_VALUE"""),6047.25)</f>
        <v>6047.25</v>
      </c>
      <c r="D3213" s="3">
        <f>IFERROR(__xludf.DUMMYFUNCTION("""COMPUTED_VALUE"""),5962.6)</f>
        <v>5962.6</v>
      </c>
      <c r="E3213" s="3">
        <f>IFERROR(__xludf.DUMMYFUNCTION("""COMPUTED_VALUE"""),5990.5)</f>
        <v>5990.5</v>
      </c>
      <c r="F3213" s="3">
        <f>IFERROR(__xludf.DUMMYFUNCTION("""COMPUTED_VALUE"""),0.0)</f>
        <v>0</v>
      </c>
    </row>
    <row r="3214">
      <c r="A3214" s="7">
        <f>IFERROR(__xludf.DUMMYFUNCTION("""COMPUTED_VALUE"""),41480.645833333336)</f>
        <v>41480.64583</v>
      </c>
      <c r="B3214" s="3">
        <f>IFERROR(__xludf.DUMMYFUNCTION("""COMPUTED_VALUE"""),5970.4)</f>
        <v>5970.4</v>
      </c>
      <c r="C3214" s="3">
        <f>IFERROR(__xludf.DUMMYFUNCTION("""COMPUTED_VALUE"""),5990.65)</f>
        <v>5990.65</v>
      </c>
      <c r="D3214" s="3">
        <f>IFERROR(__xludf.DUMMYFUNCTION("""COMPUTED_VALUE"""),5896.4)</f>
        <v>5896.4</v>
      </c>
      <c r="E3214" s="3">
        <f>IFERROR(__xludf.DUMMYFUNCTION("""COMPUTED_VALUE"""),5907.5)</f>
        <v>5907.5</v>
      </c>
      <c r="F3214" s="3">
        <f>IFERROR(__xludf.DUMMYFUNCTION("""COMPUTED_VALUE"""),0.0)</f>
        <v>0</v>
      </c>
    </row>
    <row r="3215">
      <c r="A3215" s="7">
        <f>IFERROR(__xludf.DUMMYFUNCTION("""COMPUTED_VALUE"""),41481.645833333336)</f>
        <v>41481.64583</v>
      </c>
      <c r="B3215" s="3">
        <f>IFERROR(__xludf.DUMMYFUNCTION("""COMPUTED_VALUE"""),5937.95)</f>
        <v>5937.95</v>
      </c>
      <c r="C3215" s="3">
        <f>IFERROR(__xludf.DUMMYFUNCTION("""COMPUTED_VALUE"""),5944.5)</f>
        <v>5944.5</v>
      </c>
      <c r="D3215" s="3">
        <f>IFERROR(__xludf.DUMMYFUNCTION("""COMPUTED_VALUE"""),5869.5)</f>
        <v>5869.5</v>
      </c>
      <c r="E3215" s="3">
        <f>IFERROR(__xludf.DUMMYFUNCTION("""COMPUTED_VALUE"""),5886.2)</f>
        <v>5886.2</v>
      </c>
      <c r="F3215" s="3">
        <f>IFERROR(__xludf.DUMMYFUNCTION("""COMPUTED_VALUE"""),0.0)</f>
        <v>0</v>
      </c>
    </row>
    <row r="3216">
      <c r="A3216" s="7">
        <f>IFERROR(__xludf.DUMMYFUNCTION("""COMPUTED_VALUE"""),41484.645833333336)</f>
        <v>41484.64583</v>
      </c>
      <c r="B3216" s="3">
        <f>IFERROR(__xludf.DUMMYFUNCTION("""COMPUTED_VALUE"""),5869.95)</f>
        <v>5869.95</v>
      </c>
      <c r="C3216" s="3">
        <f>IFERROR(__xludf.DUMMYFUNCTION("""COMPUTED_VALUE"""),5886.0)</f>
        <v>5886</v>
      </c>
      <c r="D3216" s="3">
        <f>IFERROR(__xludf.DUMMYFUNCTION("""COMPUTED_VALUE"""),5825.8)</f>
        <v>5825.8</v>
      </c>
      <c r="E3216" s="3">
        <f>IFERROR(__xludf.DUMMYFUNCTION("""COMPUTED_VALUE"""),5831.65)</f>
        <v>5831.65</v>
      </c>
      <c r="F3216" s="3">
        <f>IFERROR(__xludf.DUMMYFUNCTION("""COMPUTED_VALUE"""),0.0)</f>
        <v>0</v>
      </c>
    </row>
    <row r="3217">
      <c r="A3217" s="7">
        <f>IFERROR(__xludf.DUMMYFUNCTION("""COMPUTED_VALUE"""),41485.645833333336)</f>
        <v>41485.64583</v>
      </c>
      <c r="B3217" s="3">
        <f>IFERROR(__xludf.DUMMYFUNCTION("""COMPUTED_VALUE"""),5836.05)</f>
        <v>5836.05</v>
      </c>
      <c r="C3217" s="3">
        <f>IFERROR(__xludf.DUMMYFUNCTION("""COMPUTED_VALUE"""),5861.3)</f>
        <v>5861.3</v>
      </c>
      <c r="D3217" s="3">
        <f>IFERROR(__xludf.DUMMYFUNCTION("""COMPUTED_VALUE"""),5747.6)</f>
        <v>5747.6</v>
      </c>
      <c r="E3217" s="3">
        <f>IFERROR(__xludf.DUMMYFUNCTION("""COMPUTED_VALUE"""),5755.05)</f>
        <v>5755.05</v>
      </c>
      <c r="F3217" s="3">
        <f>IFERROR(__xludf.DUMMYFUNCTION("""COMPUTED_VALUE"""),0.0)</f>
        <v>0</v>
      </c>
    </row>
    <row r="3218">
      <c r="A3218" s="7">
        <f>IFERROR(__xludf.DUMMYFUNCTION("""COMPUTED_VALUE"""),41486.645833333336)</f>
        <v>41486.64583</v>
      </c>
      <c r="B3218" s="3">
        <f>IFERROR(__xludf.DUMMYFUNCTION("""COMPUTED_VALUE"""),5738.35)</f>
        <v>5738.35</v>
      </c>
      <c r="C3218" s="3">
        <f>IFERROR(__xludf.DUMMYFUNCTION("""COMPUTED_VALUE"""),5752.1)</f>
        <v>5752.1</v>
      </c>
      <c r="D3218" s="3">
        <f>IFERROR(__xludf.DUMMYFUNCTION("""COMPUTED_VALUE"""),5675.75)</f>
        <v>5675.75</v>
      </c>
      <c r="E3218" s="3">
        <f>IFERROR(__xludf.DUMMYFUNCTION("""COMPUTED_VALUE"""),5742.0)</f>
        <v>5742</v>
      </c>
      <c r="F3218" s="3">
        <f>IFERROR(__xludf.DUMMYFUNCTION("""COMPUTED_VALUE"""),0.0)</f>
        <v>0</v>
      </c>
    </row>
    <row r="3219">
      <c r="A3219" s="7">
        <f>IFERROR(__xludf.DUMMYFUNCTION("""COMPUTED_VALUE"""),41487.645833333336)</f>
        <v>41487.64583</v>
      </c>
      <c r="B3219" s="3">
        <f>IFERROR(__xludf.DUMMYFUNCTION("""COMPUTED_VALUE"""),5776.9)</f>
        <v>5776.9</v>
      </c>
      <c r="C3219" s="3">
        <f>IFERROR(__xludf.DUMMYFUNCTION("""COMPUTED_VALUE"""),5808.5)</f>
        <v>5808.5</v>
      </c>
      <c r="D3219" s="3">
        <f>IFERROR(__xludf.DUMMYFUNCTION("""COMPUTED_VALUE"""),5676.85)</f>
        <v>5676.85</v>
      </c>
      <c r="E3219" s="3">
        <f>IFERROR(__xludf.DUMMYFUNCTION("""COMPUTED_VALUE"""),5727.85)</f>
        <v>5727.85</v>
      </c>
      <c r="F3219" s="3">
        <f>IFERROR(__xludf.DUMMYFUNCTION("""COMPUTED_VALUE"""),0.0)</f>
        <v>0</v>
      </c>
    </row>
    <row r="3220">
      <c r="A3220" s="7">
        <f>IFERROR(__xludf.DUMMYFUNCTION("""COMPUTED_VALUE"""),41488.645833333336)</f>
        <v>41488.64583</v>
      </c>
      <c r="B3220" s="3">
        <f>IFERROR(__xludf.DUMMYFUNCTION("""COMPUTED_VALUE"""),5750.05)</f>
        <v>5750.05</v>
      </c>
      <c r="C3220" s="3">
        <f>IFERROR(__xludf.DUMMYFUNCTION("""COMPUTED_VALUE"""),5761.85)</f>
        <v>5761.85</v>
      </c>
      <c r="D3220" s="3">
        <f>IFERROR(__xludf.DUMMYFUNCTION("""COMPUTED_VALUE"""),5649.0)</f>
        <v>5649</v>
      </c>
      <c r="E3220" s="3">
        <f>IFERROR(__xludf.DUMMYFUNCTION("""COMPUTED_VALUE"""),5677.9)</f>
        <v>5677.9</v>
      </c>
      <c r="F3220" s="3">
        <f>IFERROR(__xludf.DUMMYFUNCTION("""COMPUTED_VALUE"""),0.0)</f>
        <v>0</v>
      </c>
    </row>
    <row r="3221">
      <c r="A3221" s="7">
        <f>IFERROR(__xludf.DUMMYFUNCTION("""COMPUTED_VALUE"""),41491.645833333336)</f>
        <v>41491.64583</v>
      </c>
      <c r="B3221" s="3">
        <f>IFERROR(__xludf.DUMMYFUNCTION("""COMPUTED_VALUE"""),5682.4)</f>
        <v>5682.4</v>
      </c>
      <c r="C3221" s="3">
        <f>IFERROR(__xludf.DUMMYFUNCTION("""COMPUTED_VALUE"""),5721.0)</f>
        <v>5721</v>
      </c>
      <c r="D3221" s="3">
        <f>IFERROR(__xludf.DUMMYFUNCTION("""COMPUTED_VALUE"""),5661.5)</f>
        <v>5661.5</v>
      </c>
      <c r="E3221" s="3">
        <f>IFERROR(__xludf.DUMMYFUNCTION("""COMPUTED_VALUE"""),5685.4)</f>
        <v>5685.4</v>
      </c>
      <c r="F3221" s="3">
        <f>IFERROR(__xludf.DUMMYFUNCTION("""COMPUTED_VALUE"""),0.0)</f>
        <v>0</v>
      </c>
    </row>
    <row r="3222">
      <c r="A3222" s="7">
        <f>IFERROR(__xludf.DUMMYFUNCTION("""COMPUTED_VALUE"""),41492.645833333336)</f>
        <v>41492.64583</v>
      </c>
      <c r="B3222" s="3">
        <f>IFERROR(__xludf.DUMMYFUNCTION("""COMPUTED_VALUE"""),5664.9)</f>
        <v>5664.9</v>
      </c>
      <c r="C3222" s="3">
        <f>IFERROR(__xludf.DUMMYFUNCTION("""COMPUTED_VALUE"""),5664.9)</f>
        <v>5664.9</v>
      </c>
      <c r="D3222" s="3">
        <f>IFERROR(__xludf.DUMMYFUNCTION("""COMPUTED_VALUE"""),5521.8)</f>
        <v>5521.8</v>
      </c>
      <c r="E3222" s="3">
        <f>IFERROR(__xludf.DUMMYFUNCTION("""COMPUTED_VALUE"""),5542.25)</f>
        <v>5542.25</v>
      </c>
      <c r="F3222" s="3">
        <f>IFERROR(__xludf.DUMMYFUNCTION("""COMPUTED_VALUE"""),0.0)</f>
        <v>0</v>
      </c>
    </row>
    <row r="3223">
      <c r="A3223" s="7">
        <f>IFERROR(__xludf.DUMMYFUNCTION("""COMPUTED_VALUE"""),41493.645833333336)</f>
        <v>41493.64583</v>
      </c>
      <c r="B3223" s="3">
        <f>IFERROR(__xludf.DUMMYFUNCTION("""COMPUTED_VALUE"""),5549.3)</f>
        <v>5549.3</v>
      </c>
      <c r="C3223" s="3">
        <f>IFERROR(__xludf.DUMMYFUNCTION("""COMPUTED_VALUE"""),5561.45)</f>
        <v>5561.45</v>
      </c>
      <c r="D3223" s="3">
        <f>IFERROR(__xludf.DUMMYFUNCTION("""COMPUTED_VALUE"""),5486.85)</f>
        <v>5486.85</v>
      </c>
      <c r="E3223" s="3">
        <f>IFERROR(__xludf.DUMMYFUNCTION("""COMPUTED_VALUE"""),5519.1)</f>
        <v>5519.1</v>
      </c>
      <c r="F3223" s="3">
        <f>IFERROR(__xludf.DUMMYFUNCTION("""COMPUTED_VALUE"""),0.0)</f>
        <v>0</v>
      </c>
    </row>
    <row r="3224">
      <c r="A3224" s="7">
        <f>IFERROR(__xludf.DUMMYFUNCTION("""COMPUTED_VALUE"""),41494.645833333336)</f>
        <v>41494.64583</v>
      </c>
      <c r="B3224" s="3">
        <f>IFERROR(__xludf.DUMMYFUNCTION("""COMPUTED_VALUE"""),5510.05)</f>
        <v>5510.05</v>
      </c>
      <c r="C3224" s="3">
        <f>IFERROR(__xludf.DUMMYFUNCTION("""COMPUTED_VALUE"""),5577.6)</f>
        <v>5577.6</v>
      </c>
      <c r="D3224" s="3">
        <f>IFERROR(__xludf.DUMMYFUNCTION("""COMPUTED_VALUE"""),5510.05)</f>
        <v>5510.05</v>
      </c>
      <c r="E3224" s="3">
        <f>IFERROR(__xludf.DUMMYFUNCTION("""COMPUTED_VALUE"""),5565.65)</f>
        <v>5565.65</v>
      </c>
      <c r="F3224" s="3">
        <f>IFERROR(__xludf.DUMMYFUNCTION("""COMPUTED_VALUE"""),0.0)</f>
        <v>0</v>
      </c>
    </row>
    <row r="3225">
      <c r="A3225" s="7">
        <f>IFERROR(__xludf.DUMMYFUNCTION("""COMPUTED_VALUE"""),41498.645833333336)</f>
        <v>41498.64583</v>
      </c>
      <c r="B3225" s="3">
        <f>IFERROR(__xludf.DUMMYFUNCTION("""COMPUTED_VALUE"""),5606.7)</f>
        <v>5606.7</v>
      </c>
      <c r="C3225" s="3">
        <f>IFERROR(__xludf.DUMMYFUNCTION("""COMPUTED_VALUE"""),5644.1)</f>
        <v>5644.1</v>
      </c>
      <c r="D3225" s="3">
        <f>IFERROR(__xludf.DUMMYFUNCTION("""COMPUTED_VALUE"""),5557.1)</f>
        <v>5557.1</v>
      </c>
      <c r="E3225" s="3">
        <f>IFERROR(__xludf.DUMMYFUNCTION("""COMPUTED_VALUE"""),5612.4)</f>
        <v>5612.4</v>
      </c>
      <c r="F3225" s="3">
        <f>IFERROR(__xludf.DUMMYFUNCTION("""COMPUTED_VALUE"""),0.0)</f>
        <v>0</v>
      </c>
    </row>
    <row r="3226">
      <c r="A3226" s="7">
        <f>IFERROR(__xludf.DUMMYFUNCTION("""COMPUTED_VALUE"""),41499.645833333336)</f>
        <v>41499.64583</v>
      </c>
      <c r="B3226" s="3">
        <f>IFERROR(__xludf.DUMMYFUNCTION("""COMPUTED_VALUE"""),5600.25)</f>
        <v>5600.25</v>
      </c>
      <c r="C3226" s="3">
        <f>IFERROR(__xludf.DUMMYFUNCTION("""COMPUTED_VALUE"""),5704.75)</f>
        <v>5704.75</v>
      </c>
      <c r="D3226" s="3">
        <f>IFERROR(__xludf.DUMMYFUNCTION("""COMPUTED_VALUE"""),5578.9)</f>
        <v>5578.9</v>
      </c>
      <c r="E3226" s="3">
        <f>IFERROR(__xludf.DUMMYFUNCTION("""COMPUTED_VALUE"""),5699.3)</f>
        <v>5699.3</v>
      </c>
      <c r="F3226" s="3">
        <f>IFERROR(__xludf.DUMMYFUNCTION("""COMPUTED_VALUE"""),0.0)</f>
        <v>0</v>
      </c>
    </row>
    <row r="3227">
      <c r="A3227" s="7">
        <f>IFERROR(__xludf.DUMMYFUNCTION("""COMPUTED_VALUE"""),41500.645833333336)</f>
        <v>41500.64583</v>
      </c>
      <c r="B3227" s="3">
        <f>IFERROR(__xludf.DUMMYFUNCTION("""COMPUTED_VALUE"""),5715.4)</f>
        <v>5715.4</v>
      </c>
      <c r="C3227" s="3">
        <f>IFERROR(__xludf.DUMMYFUNCTION("""COMPUTED_VALUE"""),5754.55)</f>
        <v>5754.55</v>
      </c>
      <c r="D3227" s="3">
        <f>IFERROR(__xludf.DUMMYFUNCTION("""COMPUTED_VALUE"""),5690.2)</f>
        <v>5690.2</v>
      </c>
      <c r="E3227" s="3">
        <f>IFERROR(__xludf.DUMMYFUNCTION("""COMPUTED_VALUE"""),5742.3)</f>
        <v>5742.3</v>
      </c>
      <c r="F3227" s="3">
        <f>IFERROR(__xludf.DUMMYFUNCTION("""COMPUTED_VALUE"""),0.0)</f>
        <v>0</v>
      </c>
    </row>
    <row r="3228">
      <c r="A3228" s="7">
        <f>IFERROR(__xludf.DUMMYFUNCTION("""COMPUTED_VALUE"""),41502.645833333336)</f>
        <v>41502.64583</v>
      </c>
      <c r="B3228" s="3">
        <f>IFERROR(__xludf.DUMMYFUNCTION("""COMPUTED_VALUE"""),5705.45)</f>
        <v>5705.45</v>
      </c>
      <c r="C3228" s="3">
        <f>IFERROR(__xludf.DUMMYFUNCTION("""COMPUTED_VALUE"""),5716.6)</f>
        <v>5716.6</v>
      </c>
      <c r="D3228" s="3">
        <f>IFERROR(__xludf.DUMMYFUNCTION("""COMPUTED_VALUE"""),5496.05)</f>
        <v>5496.05</v>
      </c>
      <c r="E3228" s="3">
        <f>IFERROR(__xludf.DUMMYFUNCTION("""COMPUTED_VALUE"""),5507.85)</f>
        <v>5507.85</v>
      </c>
      <c r="F3228" s="3">
        <f>IFERROR(__xludf.DUMMYFUNCTION("""COMPUTED_VALUE"""),0.0)</f>
        <v>0</v>
      </c>
    </row>
    <row r="3229">
      <c r="A3229" s="7">
        <f>IFERROR(__xludf.DUMMYFUNCTION("""COMPUTED_VALUE"""),41505.645833333336)</f>
        <v>41505.64583</v>
      </c>
      <c r="B3229" s="3">
        <f>IFERROR(__xludf.DUMMYFUNCTION("""COMPUTED_VALUE"""),5497.55)</f>
        <v>5497.55</v>
      </c>
      <c r="C3229" s="3">
        <f>IFERROR(__xludf.DUMMYFUNCTION("""COMPUTED_VALUE"""),5499.65)</f>
        <v>5499.65</v>
      </c>
      <c r="D3229" s="3">
        <f>IFERROR(__xludf.DUMMYFUNCTION("""COMPUTED_VALUE"""),5360.65)</f>
        <v>5360.65</v>
      </c>
      <c r="E3229" s="3">
        <f>IFERROR(__xludf.DUMMYFUNCTION("""COMPUTED_VALUE"""),5414.75)</f>
        <v>5414.75</v>
      </c>
      <c r="F3229" s="3">
        <f>IFERROR(__xludf.DUMMYFUNCTION("""COMPUTED_VALUE"""),0.0)</f>
        <v>0</v>
      </c>
    </row>
    <row r="3230">
      <c r="A3230" s="7">
        <f>IFERROR(__xludf.DUMMYFUNCTION("""COMPUTED_VALUE"""),41506.645833333336)</f>
        <v>41506.64583</v>
      </c>
      <c r="B3230" s="3">
        <f>IFERROR(__xludf.DUMMYFUNCTION("""COMPUTED_VALUE"""),5353.45)</f>
        <v>5353.45</v>
      </c>
      <c r="C3230" s="3">
        <f>IFERROR(__xludf.DUMMYFUNCTION("""COMPUTED_VALUE"""),5417.8)</f>
        <v>5417.8</v>
      </c>
      <c r="D3230" s="3">
        <f>IFERROR(__xludf.DUMMYFUNCTION("""COMPUTED_VALUE"""),5306.35)</f>
        <v>5306.35</v>
      </c>
      <c r="E3230" s="3">
        <f>IFERROR(__xludf.DUMMYFUNCTION("""COMPUTED_VALUE"""),5401.45)</f>
        <v>5401.45</v>
      </c>
      <c r="F3230" s="3">
        <f>IFERROR(__xludf.DUMMYFUNCTION("""COMPUTED_VALUE"""),0.0)</f>
        <v>0</v>
      </c>
    </row>
    <row r="3231">
      <c r="A3231" s="7">
        <f>IFERROR(__xludf.DUMMYFUNCTION("""COMPUTED_VALUE"""),41507.645833333336)</f>
        <v>41507.64583</v>
      </c>
      <c r="B3231" s="3">
        <f>IFERROR(__xludf.DUMMYFUNCTION("""COMPUTED_VALUE"""),5494.45)</f>
        <v>5494.45</v>
      </c>
      <c r="C3231" s="3">
        <f>IFERROR(__xludf.DUMMYFUNCTION("""COMPUTED_VALUE"""),5504.1)</f>
        <v>5504.1</v>
      </c>
      <c r="D3231" s="3">
        <f>IFERROR(__xludf.DUMMYFUNCTION("""COMPUTED_VALUE"""),5268.45)</f>
        <v>5268.45</v>
      </c>
      <c r="E3231" s="3">
        <f>IFERROR(__xludf.DUMMYFUNCTION("""COMPUTED_VALUE"""),5302.55)</f>
        <v>5302.55</v>
      </c>
      <c r="F3231" s="3">
        <f>IFERROR(__xludf.DUMMYFUNCTION("""COMPUTED_VALUE"""),0.0)</f>
        <v>0</v>
      </c>
    </row>
    <row r="3232">
      <c r="A3232" s="7">
        <f>IFERROR(__xludf.DUMMYFUNCTION("""COMPUTED_VALUE"""),41508.645833333336)</f>
        <v>41508.64583</v>
      </c>
      <c r="B3232" s="3">
        <f>IFERROR(__xludf.DUMMYFUNCTION("""COMPUTED_VALUE"""),5282.8)</f>
        <v>5282.8</v>
      </c>
      <c r="C3232" s="3">
        <f>IFERROR(__xludf.DUMMYFUNCTION("""COMPUTED_VALUE"""),5418.95)</f>
        <v>5418.95</v>
      </c>
      <c r="D3232" s="3">
        <f>IFERROR(__xludf.DUMMYFUNCTION("""COMPUTED_VALUE"""),5254.05)</f>
        <v>5254.05</v>
      </c>
      <c r="E3232" s="3">
        <f>IFERROR(__xludf.DUMMYFUNCTION("""COMPUTED_VALUE"""),5408.45)</f>
        <v>5408.45</v>
      </c>
      <c r="F3232" s="3">
        <f>IFERROR(__xludf.DUMMYFUNCTION("""COMPUTED_VALUE"""),0.0)</f>
        <v>0</v>
      </c>
    </row>
    <row r="3233">
      <c r="A3233" s="7">
        <f>IFERROR(__xludf.DUMMYFUNCTION("""COMPUTED_VALUE"""),41509.645833333336)</f>
        <v>41509.64583</v>
      </c>
      <c r="B3233" s="3">
        <f>IFERROR(__xludf.DUMMYFUNCTION("""COMPUTED_VALUE"""),5428.75)</f>
        <v>5428.75</v>
      </c>
      <c r="C3233" s="3">
        <f>IFERROR(__xludf.DUMMYFUNCTION("""COMPUTED_VALUE"""),5478.8)</f>
        <v>5478.8</v>
      </c>
      <c r="D3233" s="3">
        <f>IFERROR(__xludf.DUMMYFUNCTION("""COMPUTED_VALUE"""),5377.8)</f>
        <v>5377.8</v>
      </c>
      <c r="E3233" s="3">
        <f>IFERROR(__xludf.DUMMYFUNCTION("""COMPUTED_VALUE"""),5471.75)</f>
        <v>5471.75</v>
      </c>
      <c r="F3233" s="3">
        <f>IFERROR(__xludf.DUMMYFUNCTION("""COMPUTED_VALUE"""),0.0)</f>
        <v>0</v>
      </c>
    </row>
    <row r="3234">
      <c r="A3234" s="7">
        <f>IFERROR(__xludf.DUMMYFUNCTION("""COMPUTED_VALUE"""),41512.645833333336)</f>
        <v>41512.64583</v>
      </c>
      <c r="B3234" s="3">
        <f>IFERROR(__xludf.DUMMYFUNCTION("""COMPUTED_VALUE"""),5499.4)</f>
        <v>5499.4</v>
      </c>
      <c r="C3234" s="3">
        <f>IFERROR(__xludf.DUMMYFUNCTION("""COMPUTED_VALUE"""),5528.7)</f>
        <v>5528.7</v>
      </c>
      <c r="D3234" s="3">
        <f>IFERROR(__xludf.DUMMYFUNCTION("""COMPUTED_VALUE"""),5454.45)</f>
        <v>5454.45</v>
      </c>
      <c r="E3234" s="3">
        <f>IFERROR(__xludf.DUMMYFUNCTION("""COMPUTED_VALUE"""),5476.5)</f>
        <v>5476.5</v>
      </c>
      <c r="F3234" s="3">
        <f>IFERROR(__xludf.DUMMYFUNCTION("""COMPUTED_VALUE"""),0.0)</f>
        <v>0</v>
      </c>
    </row>
    <row r="3235">
      <c r="A3235" s="7">
        <f>IFERROR(__xludf.DUMMYFUNCTION("""COMPUTED_VALUE"""),41513.645833333336)</f>
        <v>41513.64583</v>
      </c>
      <c r="B3235" s="3">
        <f>IFERROR(__xludf.DUMMYFUNCTION("""COMPUTED_VALUE"""),5426.5)</f>
        <v>5426.5</v>
      </c>
      <c r="C3235" s="3">
        <f>IFERROR(__xludf.DUMMYFUNCTION("""COMPUTED_VALUE"""),5427.4)</f>
        <v>5427.4</v>
      </c>
      <c r="D3235" s="3">
        <f>IFERROR(__xludf.DUMMYFUNCTION("""COMPUTED_VALUE"""),5274.25)</f>
        <v>5274.25</v>
      </c>
      <c r="E3235" s="3">
        <f>IFERROR(__xludf.DUMMYFUNCTION("""COMPUTED_VALUE"""),5287.45)</f>
        <v>5287.45</v>
      </c>
      <c r="F3235" s="3">
        <f>IFERROR(__xludf.DUMMYFUNCTION("""COMPUTED_VALUE"""),0.0)</f>
        <v>0</v>
      </c>
    </row>
    <row r="3236">
      <c r="A3236" s="7">
        <f>IFERROR(__xludf.DUMMYFUNCTION("""COMPUTED_VALUE"""),41514.645833333336)</f>
        <v>41514.64583</v>
      </c>
      <c r="B3236" s="3">
        <f>IFERROR(__xludf.DUMMYFUNCTION("""COMPUTED_VALUE"""),5233.45)</f>
        <v>5233.45</v>
      </c>
      <c r="C3236" s="3">
        <f>IFERROR(__xludf.DUMMYFUNCTION("""COMPUTED_VALUE"""),5317.7)</f>
        <v>5317.7</v>
      </c>
      <c r="D3236" s="3">
        <f>IFERROR(__xludf.DUMMYFUNCTION("""COMPUTED_VALUE"""),5118.85)</f>
        <v>5118.85</v>
      </c>
      <c r="E3236" s="3">
        <f>IFERROR(__xludf.DUMMYFUNCTION("""COMPUTED_VALUE"""),5285.0)</f>
        <v>5285</v>
      </c>
      <c r="F3236" s="3">
        <f>IFERROR(__xludf.DUMMYFUNCTION("""COMPUTED_VALUE"""),0.0)</f>
        <v>0</v>
      </c>
    </row>
    <row r="3237">
      <c r="A3237" s="7">
        <f>IFERROR(__xludf.DUMMYFUNCTION("""COMPUTED_VALUE"""),41515.645833333336)</f>
        <v>41515.64583</v>
      </c>
      <c r="B3237" s="3">
        <f>IFERROR(__xludf.DUMMYFUNCTION("""COMPUTED_VALUE"""),5316.5)</f>
        <v>5316.5</v>
      </c>
      <c r="C3237" s="3">
        <f>IFERROR(__xludf.DUMMYFUNCTION("""COMPUTED_VALUE"""),5428.9)</f>
        <v>5428.9</v>
      </c>
      <c r="D3237" s="3">
        <f>IFERROR(__xludf.DUMMYFUNCTION("""COMPUTED_VALUE"""),5303.0)</f>
        <v>5303</v>
      </c>
      <c r="E3237" s="3">
        <f>IFERROR(__xludf.DUMMYFUNCTION("""COMPUTED_VALUE"""),5409.05)</f>
        <v>5409.05</v>
      </c>
      <c r="F3237" s="3">
        <f>IFERROR(__xludf.DUMMYFUNCTION("""COMPUTED_VALUE"""),0.0)</f>
        <v>0</v>
      </c>
    </row>
    <row r="3238">
      <c r="A3238" s="7">
        <f>IFERROR(__xludf.DUMMYFUNCTION("""COMPUTED_VALUE"""),41516.645833333336)</f>
        <v>41516.64583</v>
      </c>
      <c r="B3238" s="3">
        <f>IFERROR(__xludf.DUMMYFUNCTION("""COMPUTED_VALUE"""),5407.45)</f>
        <v>5407.45</v>
      </c>
      <c r="C3238" s="3">
        <f>IFERROR(__xludf.DUMMYFUNCTION("""COMPUTED_VALUE"""),5493.3)</f>
        <v>5493.3</v>
      </c>
      <c r="D3238" s="3">
        <f>IFERROR(__xludf.DUMMYFUNCTION("""COMPUTED_VALUE"""),5360.2)</f>
        <v>5360.2</v>
      </c>
      <c r="E3238" s="3">
        <f>IFERROR(__xludf.DUMMYFUNCTION("""COMPUTED_VALUE"""),5471.8)</f>
        <v>5471.8</v>
      </c>
      <c r="F3238" s="3">
        <f>IFERROR(__xludf.DUMMYFUNCTION("""COMPUTED_VALUE"""),0.0)</f>
        <v>0</v>
      </c>
    </row>
    <row r="3239">
      <c r="A3239" s="7">
        <f>IFERROR(__xludf.DUMMYFUNCTION("""COMPUTED_VALUE"""),41519.645833333336)</f>
        <v>41519.64583</v>
      </c>
      <c r="B3239" s="3">
        <f>IFERROR(__xludf.DUMMYFUNCTION("""COMPUTED_VALUE"""),5480.25)</f>
        <v>5480.25</v>
      </c>
      <c r="C3239" s="3">
        <f>IFERROR(__xludf.DUMMYFUNCTION("""COMPUTED_VALUE"""),5564.9)</f>
        <v>5564.9</v>
      </c>
      <c r="D3239" s="3">
        <f>IFERROR(__xludf.DUMMYFUNCTION("""COMPUTED_VALUE"""),5478.85)</f>
        <v>5478.85</v>
      </c>
      <c r="E3239" s="3">
        <f>IFERROR(__xludf.DUMMYFUNCTION("""COMPUTED_VALUE"""),5550.75)</f>
        <v>5550.75</v>
      </c>
      <c r="F3239" s="3">
        <f>IFERROR(__xludf.DUMMYFUNCTION("""COMPUTED_VALUE"""),0.0)</f>
        <v>0</v>
      </c>
    </row>
    <row r="3240">
      <c r="A3240" s="7">
        <f>IFERROR(__xludf.DUMMYFUNCTION("""COMPUTED_VALUE"""),41520.645833333336)</f>
        <v>41520.64583</v>
      </c>
      <c r="B3240" s="3">
        <f>IFERROR(__xludf.DUMMYFUNCTION("""COMPUTED_VALUE"""),5574.7)</f>
        <v>5574.7</v>
      </c>
      <c r="C3240" s="3">
        <f>IFERROR(__xludf.DUMMYFUNCTION("""COMPUTED_VALUE"""),5580.95)</f>
        <v>5580.95</v>
      </c>
      <c r="D3240" s="3">
        <f>IFERROR(__xludf.DUMMYFUNCTION("""COMPUTED_VALUE"""),5323.75)</f>
        <v>5323.75</v>
      </c>
      <c r="E3240" s="3">
        <f>IFERROR(__xludf.DUMMYFUNCTION("""COMPUTED_VALUE"""),5341.45)</f>
        <v>5341.45</v>
      </c>
      <c r="F3240" s="3">
        <f>IFERROR(__xludf.DUMMYFUNCTION("""COMPUTED_VALUE"""),0.0)</f>
        <v>0</v>
      </c>
    </row>
    <row r="3241">
      <c r="A3241" s="7">
        <f>IFERROR(__xludf.DUMMYFUNCTION("""COMPUTED_VALUE"""),41521.645833333336)</f>
        <v>41521.64583</v>
      </c>
      <c r="B3241" s="3">
        <f>IFERROR(__xludf.DUMMYFUNCTION("""COMPUTED_VALUE"""),5358.65)</f>
        <v>5358.65</v>
      </c>
      <c r="C3241" s="3">
        <f>IFERROR(__xludf.DUMMYFUNCTION("""COMPUTED_VALUE"""),5460.25)</f>
        <v>5460.25</v>
      </c>
      <c r="D3241" s="3">
        <f>IFERROR(__xludf.DUMMYFUNCTION("""COMPUTED_VALUE"""),5318.9)</f>
        <v>5318.9</v>
      </c>
      <c r="E3241" s="3">
        <f>IFERROR(__xludf.DUMMYFUNCTION("""COMPUTED_VALUE"""),5448.1)</f>
        <v>5448.1</v>
      </c>
      <c r="F3241" s="3">
        <f>IFERROR(__xludf.DUMMYFUNCTION("""COMPUTED_VALUE"""),0.0)</f>
        <v>0</v>
      </c>
    </row>
    <row r="3242">
      <c r="A3242" s="7">
        <f>IFERROR(__xludf.DUMMYFUNCTION("""COMPUTED_VALUE"""),41522.645833333336)</f>
        <v>41522.64583</v>
      </c>
      <c r="B3242" s="3">
        <f>IFERROR(__xludf.DUMMYFUNCTION("""COMPUTED_VALUE"""),5553.75)</f>
        <v>5553.75</v>
      </c>
      <c r="C3242" s="3">
        <f>IFERROR(__xludf.DUMMYFUNCTION("""COMPUTED_VALUE"""),5625.75)</f>
        <v>5625.75</v>
      </c>
      <c r="D3242" s="3">
        <f>IFERROR(__xludf.DUMMYFUNCTION("""COMPUTED_VALUE"""),5552.7)</f>
        <v>5552.7</v>
      </c>
      <c r="E3242" s="3">
        <f>IFERROR(__xludf.DUMMYFUNCTION("""COMPUTED_VALUE"""),5592.95)</f>
        <v>5592.95</v>
      </c>
      <c r="F3242" s="3">
        <f>IFERROR(__xludf.DUMMYFUNCTION("""COMPUTED_VALUE"""),0.0)</f>
        <v>0</v>
      </c>
    </row>
    <row r="3243">
      <c r="A3243" s="7">
        <f>IFERROR(__xludf.DUMMYFUNCTION("""COMPUTED_VALUE"""),41523.645833333336)</f>
        <v>41523.64583</v>
      </c>
      <c r="B3243" s="3">
        <f>IFERROR(__xludf.DUMMYFUNCTION("""COMPUTED_VALUE"""),5617.45)</f>
        <v>5617.45</v>
      </c>
      <c r="C3243" s="3">
        <f>IFERROR(__xludf.DUMMYFUNCTION("""COMPUTED_VALUE"""),5688.6)</f>
        <v>5688.6</v>
      </c>
      <c r="D3243" s="3">
        <f>IFERROR(__xludf.DUMMYFUNCTION("""COMPUTED_VALUE"""),5566.15)</f>
        <v>5566.15</v>
      </c>
      <c r="E3243" s="3">
        <f>IFERROR(__xludf.DUMMYFUNCTION("""COMPUTED_VALUE"""),5680.4)</f>
        <v>5680.4</v>
      </c>
      <c r="F3243" s="3">
        <f>IFERROR(__xludf.DUMMYFUNCTION("""COMPUTED_VALUE"""),0.0)</f>
        <v>0</v>
      </c>
    </row>
    <row r="3244">
      <c r="A3244" s="7">
        <f>IFERROR(__xludf.DUMMYFUNCTION("""COMPUTED_VALUE"""),41527.645833333336)</f>
        <v>41527.64583</v>
      </c>
      <c r="B3244" s="3">
        <f>IFERROR(__xludf.DUMMYFUNCTION("""COMPUTED_VALUE"""),5738.5)</f>
        <v>5738.5</v>
      </c>
      <c r="C3244" s="3">
        <f>IFERROR(__xludf.DUMMYFUNCTION("""COMPUTED_VALUE"""),5904.85)</f>
        <v>5904.85</v>
      </c>
      <c r="D3244" s="3">
        <f>IFERROR(__xludf.DUMMYFUNCTION("""COMPUTED_VALUE"""),5738.2)</f>
        <v>5738.2</v>
      </c>
      <c r="E3244" s="3">
        <f>IFERROR(__xludf.DUMMYFUNCTION("""COMPUTED_VALUE"""),5896.75)</f>
        <v>5896.75</v>
      </c>
      <c r="F3244" s="3">
        <f>IFERROR(__xludf.DUMMYFUNCTION("""COMPUTED_VALUE"""),0.0)</f>
        <v>0</v>
      </c>
    </row>
    <row r="3245">
      <c r="A3245" s="7">
        <f>IFERROR(__xludf.DUMMYFUNCTION("""COMPUTED_VALUE"""),41528.645833333336)</f>
        <v>41528.64583</v>
      </c>
      <c r="B3245" s="3">
        <f>IFERROR(__xludf.DUMMYFUNCTION("""COMPUTED_VALUE"""),5887.25)</f>
        <v>5887.25</v>
      </c>
      <c r="C3245" s="3">
        <f>IFERROR(__xludf.DUMMYFUNCTION("""COMPUTED_VALUE"""),5924.35)</f>
        <v>5924.35</v>
      </c>
      <c r="D3245" s="3">
        <f>IFERROR(__xludf.DUMMYFUNCTION("""COMPUTED_VALUE"""),5832.7)</f>
        <v>5832.7</v>
      </c>
      <c r="E3245" s="3">
        <f>IFERROR(__xludf.DUMMYFUNCTION("""COMPUTED_VALUE"""),5913.15)</f>
        <v>5913.15</v>
      </c>
      <c r="F3245" s="3">
        <f>IFERROR(__xludf.DUMMYFUNCTION("""COMPUTED_VALUE"""),0.0)</f>
        <v>0</v>
      </c>
    </row>
    <row r="3246">
      <c r="A3246" s="7">
        <f>IFERROR(__xludf.DUMMYFUNCTION("""COMPUTED_VALUE"""),41529.645833333336)</f>
        <v>41529.64583</v>
      </c>
      <c r="B3246" s="3">
        <f>IFERROR(__xludf.DUMMYFUNCTION("""COMPUTED_VALUE"""),5931.15)</f>
        <v>5931.15</v>
      </c>
      <c r="C3246" s="3">
        <f>IFERROR(__xludf.DUMMYFUNCTION("""COMPUTED_VALUE"""),5932.0)</f>
        <v>5932</v>
      </c>
      <c r="D3246" s="3">
        <f>IFERROR(__xludf.DUMMYFUNCTION("""COMPUTED_VALUE"""),5815.8)</f>
        <v>5815.8</v>
      </c>
      <c r="E3246" s="3">
        <f>IFERROR(__xludf.DUMMYFUNCTION("""COMPUTED_VALUE"""),5850.7)</f>
        <v>5850.7</v>
      </c>
      <c r="F3246" s="3">
        <f>IFERROR(__xludf.DUMMYFUNCTION("""COMPUTED_VALUE"""),0.0)</f>
        <v>0</v>
      </c>
    </row>
    <row r="3247">
      <c r="A3247" s="7">
        <f>IFERROR(__xludf.DUMMYFUNCTION("""COMPUTED_VALUE"""),41530.645833333336)</f>
        <v>41530.64583</v>
      </c>
      <c r="B3247" s="3">
        <f>IFERROR(__xludf.DUMMYFUNCTION("""COMPUTED_VALUE"""),5828.0)</f>
        <v>5828</v>
      </c>
      <c r="C3247" s="3">
        <f>IFERROR(__xludf.DUMMYFUNCTION("""COMPUTED_VALUE"""),5884.3)</f>
        <v>5884.3</v>
      </c>
      <c r="D3247" s="3">
        <f>IFERROR(__xludf.DUMMYFUNCTION("""COMPUTED_VALUE"""),5822.9)</f>
        <v>5822.9</v>
      </c>
      <c r="E3247" s="3">
        <f>IFERROR(__xludf.DUMMYFUNCTION("""COMPUTED_VALUE"""),5850.6)</f>
        <v>5850.6</v>
      </c>
      <c r="F3247" s="3">
        <f>IFERROR(__xludf.DUMMYFUNCTION("""COMPUTED_VALUE"""),0.0)</f>
        <v>0</v>
      </c>
    </row>
    <row r="3248">
      <c r="A3248" s="7">
        <f>IFERROR(__xludf.DUMMYFUNCTION("""COMPUTED_VALUE"""),41533.645833333336)</f>
        <v>41533.64583</v>
      </c>
      <c r="B3248" s="3">
        <f>IFERROR(__xludf.DUMMYFUNCTION("""COMPUTED_VALUE"""),5930.3)</f>
        <v>5930.3</v>
      </c>
      <c r="C3248" s="3">
        <f>IFERROR(__xludf.DUMMYFUNCTION("""COMPUTED_VALUE"""),5957.25)</f>
        <v>5957.25</v>
      </c>
      <c r="D3248" s="3">
        <f>IFERROR(__xludf.DUMMYFUNCTION("""COMPUTED_VALUE"""),5798.15)</f>
        <v>5798.15</v>
      </c>
      <c r="E3248" s="3">
        <f>IFERROR(__xludf.DUMMYFUNCTION("""COMPUTED_VALUE"""),5840.55)</f>
        <v>5840.55</v>
      </c>
      <c r="F3248" s="3">
        <f>IFERROR(__xludf.DUMMYFUNCTION("""COMPUTED_VALUE"""),0.0)</f>
        <v>0</v>
      </c>
    </row>
    <row r="3249">
      <c r="A3249" s="7">
        <f>IFERROR(__xludf.DUMMYFUNCTION("""COMPUTED_VALUE"""),41534.645833333336)</f>
        <v>41534.64583</v>
      </c>
      <c r="B3249" s="3">
        <f>IFERROR(__xludf.DUMMYFUNCTION("""COMPUTED_VALUE"""),5824.2)</f>
        <v>5824.2</v>
      </c>
      <c r="C3249" s="3">
        <f>IFERROR(__xludf.DUMMYFUNCTION("""COMPUTED_VALUE"""),5857.8)</f>
        <v>5857.8</v>
      </c>
      <c r="D3249" s="3">
        <f>IFERROR(__xludf.DUMMYFUNCTION("""COMPUTED_VALUE"""),5804.9)</f>
        <v>5804.9</v>
      </c>
      <c r="E3249" s="3">
        <f>IFERROR(__xludf.DUMMYFUNCTION("""COMPUTED_VALUE"""),5850.2)</f>
        <v>5850.2</v>
      </c>
      <c r="F3249" s="3">
        <f>IFERROR(__xludf.DUMMYFUNCTION("""COMPUTED_VALUE"""),0.0)</f>
        <v>0</v>
      </c>
    </row>
    <row r="3250">
      <c r="A3250" s="7">
        <f>IFERROR(__xludf.DUMMYFUNCTION("""COMPUTED_VALUE"""),41535.645833333336)</f>
        <v>41535.64583</v>
      </c>
      <c r="B3250" s="3">
        <f>IFERROR(__xludf.DUMMYFUNCTION("""COMPUTED_VALUE"""),5872.75)</f>
        <v>5872.75</v>
      </c>
      <c r="C3250" s="3">
        <f>IFERROR(__xludf.DUMMYFUNCTION("""COMPUTED_VALUE"""),5916.9)</f>
        <v>5916.9</v>
      </c>
      <c r="D3250" s="3">
        <f>IFERROR(__xludf.DUMMYFUNCTION("""COMPUTED_VALUE"""),5840.2)</f>
        <v>5840.2</v>
      </c>
      <c r="E3250" s="3">
        <f>IFERROR(__xludf.DUMMYFUNCTION("""COMPUTED_VALUE"""),5899.45)</f>
        <v>5899.45</v>
      </c>
      <c r="F3250" s="3">
        <f>IFERROR(__xludf.DUMMYFUNCTION("""COMPUTED_VALUE"""),0.0)</f>
        <v>0</v>
      </c>
    </row>
    <row r="3251">
      <c r="A3251" s="7">
        <f>IFERROR(__xludf.DUMMYFUNCTION("""COMPUTED_VALUE"""),41536.645833333336)</f>
        <v>41536.64583</v>
      </c>
      <c r="B3251" s="3">
        <f>IFERROR(__xludf.DUMMYFUNCTION("""COMPUTED_VALUE"""),6044.15)</f>
        <v>6044.15</v>
      </c>
      <c r="C3251" s="3">
        <f>IFERROR(__xludf.DUMMYFUNCTION("""COMPUTED_VALUE"""),6142.5)</f>
        <v>6142.5</v>
      </c>
      <c r="D3251" s="3">
        <f>IFERROR(__xludf.DUMMYFUNCTION("""COMPUTED_VALUE"""),6040.15)</f>
        <v>6040.15</v>
      </c>
      <c r="E3251" s="3">
        <f>IFERROR(__xludf.DUMMYFUNCTION("""COMPUTED_VALUE"""),6115.55)</f>
        <v>6115.55</v>
      </c>
      <c r="F3251" s="3">
        <f>IFERROR(__xludf.DUMMYFUNCTION("""COMPUTED_VALUE"""),0.0)</f>
        <v>0</v>
      </c>
    </row>
    <row r="3252">
      <c r="A3252" s="7">
        <f>IFERROR(__xludf.DUMMYFUNCTION("""COMPUTED_VALUE"""),41537.645833333336)</f>
        <v>41537.64583</v>
      </c>
      <c r="B3252" s="3">
        <f>IFERROR(__xludf.DUMMYFUNCTION("""COMPUTED_VALUE"""),6104.55)</f>
        <v>6104.55</v>
      </c>
      <c r="C3252" s="3">
        <f>IFERROR(__xludf.DUMMYFUNCTION("""COMPUTED_VALUE"""),6130.95)</f>
        <v>6130.95</v>
      </c>
      <c r="D3252" s="3">
        <f>IFERROR(__xludf.DUMMYFUNCTION("""COMPUTED_VALUE"""),5932.85)</f>
        <v>5932.85</v>
      </c>
      <c r="E3252" s="3">
        <f>IFERROR(__xludf.DUMMYFUNCTION("""COMPUTED_VALUE"""),6012.1)</f>
        <v>6012.1</v>
      </c>
      <c r="F3252" s="3">
        <f>IFERROR(__xludf.DUMMYFUNCTION("""COMPUTED_VALUE"""),0.0)</f>
        <v>0</v>
      </c>
    </row>
    <row r="3253">
      <c r="A3253" s="7">
        <f>IFERROR(__xludf.DUMMYFUNCTION("""COMPUTED_VALUE"""),41540.645833333336)</f>
        <v>41540.64583</v>
      </c>
      <c r="B3253" s="3">
        <f>IFERROR(__xludf.DUMMYFUNCTION("""COMPUTED_VALUE"""),5945.8)</f>
        <v>5945.8</v>
      </c>
      <c r="C3253" s="3">
        <f>IFERROR(__xludf.DUMMYFUNCTION("""COMPUTED_VALUE"""),5989.4)</f>
        <v>5989.4</v>
      </c>
      <c r="D3253" s="3">
        <f>IFERROR(__xludf.DUMMYFUNCTION("""COMPUTED_VALUE"""),5871.4)</f>
        <v>5871.4</v>
      </c>
      <c r="E3253" s="3">
        <f>IFERROR(__xludf.DUMMYFUNCTION("""COMPUTED_VALUE"""),5889.75)</f>
        <v>5889.75</v>
      </c>
      <c r="F3253" s="3">
        <f>IFERROR(__xludf.DUMMYFUNCTION("""COMPUTED_VALUE"""),0.0)</f>
        <v>0</v>
      </c>
    </row>
    <row r="3254">
      <c r="A3254" s="7">
        <f>IFERROR(__xludf.DUMMYFUNCTION("""COMPUTED_VALUE"""),41541.645833333336)</f>
        <v>41541.64583</v>
      </c>
      <c r="B3254" s="3">
        <f>IFERROR(__xludf.DUMMYFUNCTION("""COMPUTED_VALUE"""),5855.0)</f>
        <v>5855</v>
      </c>
      <c r="C3254" s="3">
        <f>IFERROR(__xludf.DUMMYFUNCTION("""COMPUTED_VALUE"""),5938.4)</f>
        <v>5938.4</v>
      </c>
      <c r="D3254" s="3">
        <f>IFERROR(__xludf.DUMMYFUNCTION("""COMPUTED_VALUE"""),5854.55)</f>
        <v>5854.55</v>
      </c>
      <c r="E3254" s="3">
        <f>IFERROR(__xludf.DUMMYFUNCTION("""COMPUTED_VALUE"""),5892.45)</f>
        <v>5892.45</v>
      </c>
      <c r="F3254" s="3">
        <f>IFERROR(__xludf.DUMMYFUNCTION("""COMPUTED_VALUE"""),0.0)</f>
        <v>0</v>
      </c>
    </row>
    <row r="3255">
      <c r="A3255" s="7">
        <f>IFERROR(__xludf.DUMMYFUNCTION("""COMPUTED_VALUE"""),41542.645833333336)</f>
        <v>41542.64583</v>
      </c>
      <c r="B3255" s="3">
        <f>IFERROR(__xludf.DUMMYFUNCTION("""COMPUTED_VALUE"""),5901.55)</f>
        <v>5901.55</v>
      </c>
      <c r="C3255" s="3">
        <f>IFERROR(__xludf.DUMMYFUNCTION("""COMPUTED_VALUE"""),5910.55)</f>
        <v>5910.55</v>
      </c>
      <c r="D3255" s="3">
        <f>IFERROR(__xludf.DUMMYFUNCTION("""COMPUTED_VALUE"""),5811.1)</f>
        <v>5811.1</v>
      </c>
      <c r="E3255" s="3">
        <f>IFERROR(__xludf.DUMMYFUNCTION("""COMPUTED_VALUE"""),5873.85)</f>
        <v>5873.85</v>
      </c>
      <c r="F3255" s="3">
        <f>IFERROR(__xludf.DUMMYFUNCTION("""COMPUTED_VALUE"""),0.0)</f>
        <v>0</v>
      </c>
    </row>
    <row r="3256">
      <c r="A3256" s="7">
        <f>IFERROR(__xludf.DUMMYFUNCTION("""COMPUTED_VALUE"""),41543.645833333336)</f>
        <v>41543.64583</v>
      </c>
      <c r="B3256" s="3">
        <f>IFERROR(__xludf.DUMMYFUNCTION("""COMPUTED_VALUE"""),5872.8)</f>
        <v>5872.8</v>
      </c>
      <c r="C3256" s="3">
        <f>IFERROR(__xludf.DUMMYFUNCTION("""COMPUTED_VALUE"""),5917.65)</f>
        <v>5917.65</v>
      </c>
      <c r="D3256" s="3">
        <f>IFERROR(__xludf.DUMMYFUNCTION("""COMPUTED_VALUE"""),5864.1)</f>
        <v>5864.1</v>
      </c>
      <c r="E3256" s="3">
        <f>IFERROR(__xludf.DUMMYFUNCTION("""COMPUTED_VALUE"""),5882.25)</f>
        <v>5882.25</v>
      </c>
      <c r="F3256" s="3">
        <f>IFERROR(__xludf.DUMMYFUNCTION("""COMPUTED_VALUE"""),0.0)</f>
        <v>0</v>
      </c>
    </row>
    <row r="3257">
      <c r="A3257" s="7">
        <f>IFERROR(__xludf.DUMMYFUNCTION("""COMPUTED_VALUE"""),41544.645833333336)</f>
        <v>41544.64583</v>
      </c>
      <c r="B3257" s="3">
        <f>IFERROR(__xludf.DUMMYFUNCTION("""COMPUTED_VALUE"""),5905.55)</f>
        <v>5905.55</v>
      </c>
      <c r="C3257" s="3">
        <f>IFERROR(__xludf.DUMMYFUNCTION("""COMPUTED_VALUE"""),5909.2)</f>
        <v>5909.2</v>
      </c>
      <c r="D3257" s="3">
        <f>IFERROR(__xludf.DUMMYFUNCTION("""COMPUTED_VALUE"""),5819.3)</f>
        <v>5819.3</v>
      </c>
      <c r="E3257" s="3">
        <f>IFERROR(__xludf.DUMMYFUNCTION("""COMPUTED_VALUE"""),5833.2)</f>
        <v>5833.2</v>
      </c>
      <c r="F3257" s="3">
        <f>IFERROR(__xludf.DUMMYFUNCTION("""COMPUTED_VALUE"""),0.0)</f>
        <v>0</v>
      </c>
    </row>
    <row r="3258">
      <c r="A3258" s="7">
        <f>IFERROR(__xludf.DUMMYFUNCTION("""COMPUTED_VALUE"""),41547.645833333336)</f>
        <v>41547.64583</v>
      </c>
      <c r="B3258" s="3">
        <f>IFERROR(__xludf.DUMMYFUNCTION("""COMPUTED_VALUE"""),5801.05)</f>
        <v>5801.05</v>
      </c>
      <c r="C3258" s="3">
        <f>IFERROR(__xludf.DUMMYFUNCTION("""COMPUTED_VALUE"""),5810.2)</f>
        <v>5810.2</v>
      </c>
      <c r="D3258" s="3">
        <f>IFERROR(__xludf.DUMMYFUNCTION("""COMPUTED_VALUE"""),5718.5)</f>
        <v>5718.5</v>
      </c>
      <c r="E3258" s="3">
        <f>IFERROR(__xludf.DUMMYFUNCTION("""COMPUTED_VALUE"""),5735.3)</f>
        <v>5735.3</v>
      </c>
      <c r="F3258" s="3">
        <f>IFERROR(__xludf.DUMMYFUNCTION("""COMPUTED_VALUE"""),0.0)</f>
        <v>0</v>
      </c>
    </row>
    <row r="3259">
      <c r="A3259" s="7">
        <f>IFERROR(__xludf.DUMMYFUNCTION("""COMPUTED_VALUE"""),41548.645833333336)</f>
        <v>41548.64583</v>
      </c>
      <c r="B3259" s="3">
        <f>IFERROR(__xludf.DUMMYFUNCTION("""COMPUTED_VALUE"""),5756.1)</f>
        <v>5756.1</v>
      </c>
      <c r="C3259" s="3">
        <f>IFERROR(__xludf.DUMMYFUNCTION("""COMPUTED_VALUE"""),5786.45)</f>
        <v>5786.45</v>
      </c>
      <c r="D3259" s="3">
        <f>IFERROR(__xludf.DUMMYFUNCTION("""COMPUTED_VALUE"""),5700.95)</f>
        <v>5700.95</v>
      </c>
      <c r="E3259" s="3">
        <f>IFERROR(__xludf.DUMMYFUNCTION("""COMPUTED_VALUE"""),5780.05)</f>
        <v>5780.05</v>
      </c>
      <c r="F3259" s="3">
        <f>IFERROR(__xludf.DUMMYFUNCTION("""COMPUTED_VALUE"""),0.0)</f>
        <v>0</v>
      </c>
    </row>
    <row r="3260">
      <c r="A3260" s="7">
        <f>IFERROR(__xludf.DUMMYFUNCTION("""COMPUTED_VALUE"""),41550.645833333336)</f>
        <v>41550.64583</v>
      </c>
      <c r="B3260" s="3">
        <f>IFERROR(__xludf.DUMMYFUNCTION("""COMPUTED_VALUE"""),5819.1)</f>
        <v>5819.1</v>
      </c>
      <c r="C3260" s="3">
        <f>IFERROR(__xludf.DUMMYFUNCTION("""COMPUTED_VALUE"""),5917.6)</f>
        <v>5917.6</v>
      </c>
      <c r="D3260" s="3">
        <f>IFERROR(__xludf.DUMMYFUNCTION("""COMPUTED_VALUE"""),5802.7)</f>
        <v>5802.7</v>
      </c>
      <c r="E3260" s="3">
        <f>IFERROR(__xludf.DUMMYFUNCTION("""COMPUTED_VALUE"""),5909.7)</f>
        <v>5909.7</v>
      </c>
      <c r="F3260" s="3">
        <f>IFERROR(__xludf.DUMMYFUNCTION("""COMPUTED_VALUE"""),0.0)</f>
        <v>0</v>
      </c>
    </row>
    <row r="3261">
      <c r="A3261" s="7">
        <f>IFERROR(__xludf.DUMMYFUNCTION("""COMPUTED_VALUE"""),41551.645833333336)</f>
        <v>41551.64583</v>
      </c>
      <c r="B3261" s="3">
        <f>IFERROR(__xludf.DUMMYFUNCTION("""COMPUTED_VALUE"""),5891.3)</f>
        <v>5891.3</v>
      </c>
      <c r="C3261" s="3">
        <f>IFERROR(__xludf.DUMMYFUNCTION("""COMPUTED_VALUE"""),5950.45)</f>
        <v>5950.45</v>
      </c>
      <c r="D3261" s="3">
        <f>IFERROR(__xludf.DUMMYFUNCTION("""COMPUTED_VALUE"""),5885.0)</f>
        <v>5885</v>
      </c>
      <c r="E3261" s="3">
        <f>IFERROR(__xludf.DUMMYFUNCTION("""COMPUTED_VALUE"""),5907.3)</f>
        <v>5907.3</v>
      </c>
      <c r="F3261" s="3">
        <f>IFERROR(__xludf.DUMMYFUNCTION("""COMPUTED_VALUE"""),0.0)</f>
        <v>0</v>
      </c>
    </row>
    <row r="3262">
      <c r="A3262" s="7">
        <f>IFERROR(__xludf.DUMMYFUNCTION("""COMPUTED_VALUE"""),41554.645833333336)</f>
        <v>41554.64583</v>
      </c>
      <c r="B3262" s="3">
        <f>IFERROR(__xludf.DUMMYFUNCTION("""COMPUTED_VALUE"""),5889.05)</f>
        <v>5889.05</v>
      </c>
      <c r="C3262" s="3">
        <f>IFERROR(__xludf.DUMMYFUNCTION("""COMPUTED_VALUE"""),5912.0)</f>
        <v>5912</v>
      </c>
      <c r="D3262" s="3">
        <f>IFERROR(__xludf.DUMMYFUNCTION("""COMPUTED_VALUE"""),5825.85)</f>
        <v>5825.85</v>
      </c>
      <c r="E3262" s="3">
        <f>IFERROR(__xludf.DUMMYFUNCTION("""COMPUTED_VALUE"""),5906.15)</f>
        <v>5906.15</v>
      </c>
      <c r="F3262" s="3">
        <f>IFERROR(__xludf.DUMMYFUNCTION("""COMPUTED_VALUE"""),0.0)</f>
        <v>0</v>
      </c>
    </row>
    <row r="3263">
      <c r="A3263" s="7">
        <f>IFERROR(__xludf.DUMMYFUNCTION("""COMPUTED_VALUE"""),41555.645833333336)</f>
        <v>41555.64583</v>
      </c>
      <c r="B3263" s="3">
        <f>IFERROR(__xludf.DUMMYFUNCTION("""COMPUTED_VALUE"""),5975.0)</f>
        <v>5975</v>
      </c>
      <c r="C3263" s="3">
        <f>IFERROR(__xludf.DUMMYFUNCTION("""COMPUTED_VALUE"""),5981.7)</f>
        <v>5981.7</v>
      </c>
      <c r="D3263" s="3">
        <f>IFERROR(__xludf.DUMMYFUNCTION("""COMPUTED_VALUE"""),5913.0)</f>
        <v>5913</v>
      </c>
      <c r="E3263" s="3">
        <f>IFERROR(__xludf.DUMMYFUNCTION("""COMPUTED_VALUE"""),5928.4)</f>
        <v>5928.4</v>
      </c>
      <c r="F3263" s="3">
        <f>IFERROR(__xludf.DUMMYFUNCTION("""COMPUTED_VALUE"""),0.0)</f>
        <v>0</v>
      </c>
    </row>
    <row r="3264">
      <c r="A3264" s="7">
        <f>IFERROR(__xludf.DUMMYFUNCTION("""COMPUTED_VALUE"""),41556.645833333336)</f>
        <v>41556.64583</v>
      </c>
      <c r="B3264" s="3">
        <f>IFERROR(__xludf.DUMMYFUNCTION("""COMPUTED_VALUE"""),5893.25)</f>
        <v>5893.25</v>
      </c>
      <c r="C3264" s="3">
        <f>IFERROR(__xludf.DUMMYFUNCTION("""COMPUTED_VALUE"""),6015.5)</f>
        <v>6015.5</v>
      </c>
      <c r="D3264" s="3">
        <f>IFERROR(__xludf.DUMMYFUNCTION("""COMPUTED_VALUE"""),5877.1)</f>
        <v>5877.1</v>
      </c>
      <c r="E3264" s="3">
        <f>IFERROR(__xludf.DUMMYFUNCTION("""COMPUTED_VALUE"""),6007.45)</f>
        <v>6007.45</v>
      </c>
      <c r="F3264" s="3">
        <f>IFERROR(__xludf.DUMMYFUNCTION("""COMPUTED_VALUE"""),0.0)</f>
        <v>0</v>
      </c>
    </row>
    <row r="3265">
      <c r="A3265" s="7">
        <f>IFERROR(__xludf.DUMMYFUNCTION("""COMPUTED_VALUE"""),41557.645833333336)</f>
        <v>41557.64583</v>
      </c>
      <c r="B3265" s="3">
        <f>IFERROR(__xludf.DUMMYFUNCTION("""COMPUTED_VALUE"""),6001.05)</f>
        <v>6001.05</v>
      </c>
      <c r="C3265" s="3">
        <f>IFERROR(__xludf.DUMMYFUNCTION("""COMPUTED_VALUE"""),6033.95)</f>
        <v>6033.95</v>
      </c>
      <c r="D3265" s="3">
        <f>IFERROR(__xludf.DUMMYFUNCTION("""COMPUTED_VALUE"""),5979.8)</f>
        <v>5979.8</v>
      </c>
      <c r="E3265" s="3">
        <f>IFERROR(__xludf.DUMMYFUNCTION("""COMPUTED_VALUE"""),6020.95)</f>
        <v>6020.95</v>
      </c>
      <c r="F3265" s="3">
        <f>IFERROR(__xludf.DUMMYFUNCTION("""COMPUTED_VALUE"""),0.0)</f>
        <v>0</v>
      </c>
    </row>
    <row r="3266">
      <c r="A3266" s="7">
        <f>IFERROR(__xludf.DUMMYFUNCTION("""COMPUTED_VALUE"""),41558.645833333336)</f>
        <v>41558.64583</v>
      </c>
      <c r="B3266" s="3">
        <f>IFERROR(__xludf.DUMMYFUNCTION("""COMPUTED_VALUE"""),6104.85)</f>
        <v>6104.85</v>
      </c>
      <c r="C3266" s="3">
        <f>IFERROR(__xludf.DUMMYFUNCTION("""COMPUTED_VALUE"""),6107.6)</f>
        <v>6107.6</v>
      </c>
      <c r="D3266" s="3">
        <f>IFERROR(__xludf.DUMMYFUNCTION("""COMPUTED_VALUE"""),6046.4)</f>
        <v>6046.4</v>
      </c>
      <c r="E3266" s="3">
        <f>IFERROR(__xludf.DUMMYFUNCTION("""COMPUTED_VALUE"""),6096.2)</f>
        <v>6096.2</v>
      </c>
      <c r="F3266" s="3">
        <f>IFERROR(__xludf.DUMMYFUNCTION("""COMPUTED_VALUE"""),0.0)</f>
        <v>0</v>
      </c>
    </row>
    <row r="3267">
      <c r="A3267" s="7">
        <f>IFERROR(__xludf.DUMMYFUNCTION("""COMPUTED_VALUE"""),41561.645833333336)</f>
        <v>41561.64583</v>
      </c>
      <c r="B3267" s="3">
        <f>IFERROR(__xludf.DUMMYFUNCTION("""COMPUTED_VALUE"""),6093.0)</f>
        <v>6093</v>
      </c>
      <c r="C3267" s="3">
        <f>IFERROR(__xludf.DUMMYFUNCTION("""COMPUTED_VALUE"""),6124.1)</f>
        <v>6124.1</v>
      </c>
      <c r="D3267" s="3">
        <f>IFERROR(__xludf.DUMMYFUNCTION("""COMPUTED_VALUE"""),6082.9)</f>
        <v>6082.9</v>
      </c>
      <c r="E3267" s="3">
        <f>IFERROR(__xludf.DUMMYFUNCTION("""COMPUTED_VALUE"""),6112.7)</f>
        <v>6112.7</v>
      </c>
      <c r="F3267" s="3">
        <f>IFERROR(__xludf.DUMMYFUNCTION("""COMPUTED_VALUE"""),0.0)</f>
        <v>0</v>
      </c>
    </row>
    <row r="3268">
      <c r="A3268" s="7">
        <f>IFERROR(__xludf.DUMMYFUNCTION("""COMPUTED_VALUE"""),41562.645833333336)</f>
        <v>41562.64583</v>
      </c>
      <c r="B3268" s="3">
        <f>IFERROR(__xludf.DUMMYFUNCTION("""COMPUTED_VALUE"""),6147.55)</f>
        <v>6147.55</v>
      </c>
      <c r="C3268" s="3">
        <f>IFERROR(__xludf.DUMMYFUNCTION("""COMPUTED_VALUE"""),6156.3)</f>
        <v>6156.3</v>
      </c>
      <c r="D3268" s="3">
        <f>IFERROR(__xludf.DUMMYFUNCTION("""COMPUTED_VALUE"""),6056.55)</f>
        <v>6056.55</v>
      </c>
      <c r="E3268" s="3">
        <f>IFERROR(__xludf.DUMMYFUNCTION("""COMPUTED_VALUE"""),6089.05)</f>
        <v>6089.05</v>
      </c>
      <c r="F3268" s="3">
        <f>IFERROR(__xludf.DUMMYFUNCTION("""COMPUTED_VALUE"""),0.0)</f>
        <v>0</v>
      </c>
    </row>
    <row r="3269">
      <c r="A3269" s="7">
        <f>IFERROR(__xludf.DUMMYFUNCTION("""COMPUTED_VALUE"""),41564.645833333336)</f>
        <v>41564.64583</v>
      </c>
      <c r="B3269" s="3">
        <f>IFERROR(__xludf.DUMMYFUNCTION("""COMPUTED_VALUE"""),6098.5)</f>
        <v>6098.5</v>
      </c>
      <c r="C3269" s="3">
        <f>IFERROR(__xludf.DUMMYFUNCTION("""COMPUTED_VALUE"""),6110.75)</f>
        <v>6110.75</v>
      </c>
      <c r="D3269" s="3">
        <f>IFERROR(__xludf.DUMMYFUNCTION("""COMPUTED_VALUE"""),6032.55)</f>
        <v>6032.55</v>
      </c>
      <c r="E3269" s="3">
        <f>IFERROR(__xludf.DUMMYFUNCTION("""COMPUTED_VALUE"""),6045.85)</f>
        <v>6045.85</v>
      </c>
      <c r="F3269" s="3">
        <f>IFERROR(__xludf.DUMMYFUNCTION("""COMPUTED_VALUE"""),0.0)</f>
        <v>0</v>
      </c>
    </row>
    <row r="3270">
      <c r="A3270" s="7">
        <f>IFERROR(__xludf.DUMMYFUNCTION("""COMPUTED_VALUE"""),41565.645833333336)</f>
        <v>41565.64583</v>
      </c>
      <c r="B3270" s="3">
        <f>IFERROR(__xludf.DUMMYFUNCTION("""COMPUTED_VALUE"""),6070.9)</f>
        <v>6070.9</v>
      </c>
      <c r="C3270" s="3">
        <f>IFERROR(__xludf.DUMMYFUNCTION("""COMPUTED_VALUE"""),6201.45)</f>
        <v>6201.45</v>
      </c>
      <c r="D3270" s="3">
        <f>IFERROR(__xludf.DUMMYFUNCTION("""COMPUTED_VALUE"""),6070.9)</f>
        <v>6070.9</v>
      </c>
      <c r="E3270" s="3">
        <f>IFERROR(__xludf.DUMMYFUNCTION("""COMPUTED_VALUE"""),6189.35)</f>
        <v>6189.35</v>
      </c>
      <c r="F3270" s="3">
        <f>IFERROR(__xludf.DUMMYFUNCTION("""COMPUTED_VALUE"""),0.0)</f>
        <v>0</v>
      </c>
    </row>
    <row r="3271">
      <c r="A3271" s="7">
        <f>IFERROR(__xludf.DUMMYFUNCTION("""COMPUTED_VALUE"""),41568.645833333336)</f>
        <v>41568.64583</v>
      </c>
      <c r="B3271" s="3">
        <f>IFERROR(__xludf.DUMMYFUNCTION("""COMPUTED_VALUE"""),6202.0)</f>
        <v>6202</v>
      </c>
      <c r="C3271" s="3">
        <f>IFERROR(__xludf.DUMMYFUNCTION("""COMPUTED_VALUE"""),6218.95)</f>
        <v>6218.95</v>
      </c>
      <c r="D3271" s="3">
        <f>IFERROR(__xludf.DUMMYFUNCTION("""COMPUTED_VALUE"""),6163.3)</f>
        <v>6163.3</v>
      </c>
      <c r="E3271" s="3">
        <f>IFERROR(__xludf.DUMMYFUNCTION("""COMPUTED_VALUE"""),6204.95)</f>
        <v>6204.95</v>
      </c>
      <c r="F3271" s="3">
        <f>IFERROR(__xludf.DUMMYFUNCTION("""COMPUTED_VALUE"""),0.0)</f>
        <v>0</v>
      </c>
    </row>
    <row r="3272">
      <c r="A3272" s="7">
        <f>IFERROR(__xludf.DUMMYFUNCTION("""COMPUTED_VALUE"""),41569.645833333336)</f>
        <v>41569.64583</v>
      </c>
      <c r="B3272" s="3">
        <f>IFERROR(__xludf.DUMMYFUNCTION("""COMPUTED_VALUE"""),6192.3)</f>
        <v>6192.3</v>
      </c>
      <c r="C3272" s="3">
        <f>IFERROR(__xludf.DUMMYFUNCTION("""COMPUTED_VALUE"""),6220.1)</f>
        <v>6220.1</v>
      </c>
      <c r="D3272" s="3">
        <f>IFERROR(__xludf.DUMMYFUNCTION("""COMPUTED_VALUE"""),6181.8)</f>
        <v>6181.8</v>
      </c>
      <c r="E3272" s="3">
        <f>IFERROR(__xludf.DUMMYFUNCTION("""COMPUTED_VALUE"""),6202.8)</f>
        <v>6202.8</v>
      </c>
      <c r="F3272" s="3">
        <f>IFERROR(__xludf.DUMMYFUNCTION("""COMPUTED_VALUE"""),0.0)</f>
        <v>0</v>
      </c>
    </row>
    <row r="3273">
      <c r="A3273" s="7">
        <f>IFERROR(__xludf.DUMMYFUNCTION("""COMPUTED_VALUE"""),41570.645833333336)</f>
        <v>41570.64583</v>
      </c>
      <c r="B3273" s="3">
        <f>IFERROR(__xludf.DUMMYFUNCTION("""COMPUTED_VALUE"""),6209.55)</f>
        <v>6209.55</v>
      </c>
      <c r="C3273" s="3">
        <f>IFERROR(__xludf.DUMMYFUNCTION("""COMPUTED_VALUE"""),6217.95)</f>
        <v>6217.95</v>
      </c>
      <c r="D3273" s="3">
        <f>IFERROR(__xludf.DUMMYFUNCTION("""COMPUTED_VALUE"""),6116.6)</f>
        <v>6116.6</v>
      </c>
      <c r="E3273" s="3">
        <f>IFERROR(__xludf.DUMMYFUNCTION("""COMPUTED_VALUE"""),6178.35)</f>
        <v>6178.35</v>
      </c>
      <c r="F3273" s="3">
        <f>IFERROR(__xludf.DUMMYFUNCTION("""COMPUTED_VALUE"""),0.0)</f>
        <v>0</v>
      </c>
    </row>
    <row r="3274">
      <c r="A3274" s="7">
        <f>IFERROR(__xludf.DUMMYFUNCTION("""COMPUTED_VALUE"""),41571.645833333336)</f>
        <v>41571.64583</v>
      </c>
      <c r="B3274" s="3">
        <f>IFERROR(__xludf.DUMMYFUNCTION("""COMPUTED_VALUE"""),6162.8)</f>
        <v>6162.8</v>
      </c>
      <c r="C3274" s="3">
        <f>IFERROR(__xludf.DUMMYFUNCTION("""COMPUTED_VALUE"""),6252.45)</f>
        <v>6252.45</v>
      </c>
      <c r="D3274" s="3">
        <f>IFERROR(__xludf.DUMMYFUNCTION("""COMPUTED_VALUE"""),6142.95)</f>
        <v>6142.95</v>
      </c>
      <c r="E3274" s="3">
        <f>IFERROR(__xludf.DUMMYFUNCTION("""COMPUTED_VALUE"""),6164.35)</f>
        <v>6164.35</v>
      </c>
      <c r="F3274" s="3">
        <f>IFERROR(__xludf.DUMMYFUNCTION("""COMPUTED_VALUE"""),0.0)</f>
        <v>0</v>
      </c>
    </row>
    <row r="3275">
      <c r="A3275" s="7">
        <f>IFERROR(__xludf.DUMMYFUNCTION("""COMPUTED_VALUE"""),41572.645833333336)</f>
        <v>41572.64583</v>
      </c>
      <c r="B3275" s="3">
        <f>IFERROR(__xludf.DUMMYFUNCTION("""COMPUTED_VALUE"""),6154.0)</f>
        <v>6154</v>
      </c>
      <c r="C3275" s="3">
        <f>IFERROR(__xludf.DUMMYFUNCTION("""COMPUTED_VALUE"""),6174.75)</f>
        <v>6174.75</v>
      </c>
      <c r="D3275" s="3">
        <f>IFERROR(__xludf.DUMMYFUNCTION("""COMPUTED_VALUE"""),6125.95)</f>
        <v>6125.95</v>
      </c>
      <c r="E3275" s="3">
        <f>IFERROR(__xludf.DUMMYFUNCTION("""COMPUTED_VALUE"""),6144.9)</f>
        <v>6144.9</v>
      </c>
      <c r="F3275" s="3">
        <f>IFERROR(__xludf.DUMMYFUNCTION("""COMPUTED_VALUE"""),0.0)</f>
        <v>0</v>
      </c>
    </row>
    <row r="3276">
      <c r="A3276" s="7">
        <f>IFERROR(__xludf.DUMMYFUNCTION("""COMPUTED_VALUE"""),41575.645833333336)</f>
        <v>41575.64583</v>
      </c>
      <c r="B3276" s="3">
        <f>IFERROR(__xludf.DUMMYFUNCTION("""COMPUTED_VALUE"""),6155.1)</f>
        <v>6155.1</v>
      </c>
      <c r="C3276" s="3">
        <f>IFERROR(__xludf.DUMMYFUNCTION("""COMPUTED_VALUE"""),6168.75)</f>
        <v>6168.75</v>
      </c>
      <c r="D3276" s="3">
        <f>IFERROR(__xludf.DUMMYFUNCTION("""COMPUTED_VALUE"""),6094.1)</f>
        <v>6094.1</v>
      </c>
      <c r="E3276" s="3">
        <f>IFERROR(__xludf.DUMMYFUNCTION("""COMPUTED_VALUE"""),6101.1)</f>
        <v>6101.1</v>
      </c>
      <c r="F3276" s="3">
        <f>IFERROR(__xludf.DUMMYFUNCTION("""COMPUTED_VALUE"""),0.0)</f>
        <v>0</v>
      </c>
    </row>
    <row r="3277">
      <c r="A3277" s="7">
        <f>IFERROR(__xludf.DUMMYFUNCTION("""COMPUTED_VALUE"""),41576.645833333336)</f>
        <v>41576.64583</v>
      </c>
      <c r="B3277" s="3">
        <f>IFERROR(__xludf.DUMMYFUNCTION("""COMPUTED_VALUE"""),6107.55)</f>
        <v>6107.55</v>
      </c>
      <c r="C3277" s="3">
        <f>IFERROR(__xludf.DUMMYFUNCTION("""COMPUTED_VALUE"""),6228.05)</f>
        <v>6228.05</v>
      </c>
      <c r="D3277" s="3">
        <f>IFERROR(__xludf.DUMMYFUNCTION("""COMPUTED_VALUE"""),6079.2)</f>
        <v>6079.2</v>
      </c>
      <c r="E3277" s="3">
        <f>IFERROR(__xludf.DUMMYFUNCTION("""COMPUTED_VALUE"""),6220.9)</f>
        <v>6220.9</v>
      </c>
      <c r="F3277" s="3">
        <f>IFERROR(__xludf.DUMMYFUNCTION("""COMPUTED_VALUE"""),0.0)</f>
        <v>0</v>
      </c>
    </row>
    <row r="3278">
      <c r="A3278" s="7">
        <f>IFERROR(__xludf.DUMMYFUNCTION("""COMPUTED_VALUE"""),41577.645833333336)</f>
        <v>41577.64583</v>
      </c>
      <c r="B3278" s="3">
        <f>IFERROR(__xludf.DUMMYFUNCTION("""COMPUTED_VALUE"""),6230.8)</f>
        <v>6230.8</v>
      </c>
      <c r="C3278" s="3">
        <f>IFERROR(__xludf.DUMMYFUNCTION("""COMPUTED_VALUE"""),6269.2)</f>
        <v>6269.2</v>
      </c>
      <c r="D3278" s="3">
        <f>IFERROR(__xludf.DUMMYFUNCTION("""COMPUTED_VALUE"""),6222.6)</f>
        <v>6222.6</v>
      </c>
      <c r="E3278" s="3">
        <f>IFERROR(__xludf.DUMMYFUNCTION("""COMPUTED_VALUE"""),6251.7)</f>
        <v>6251.7</v>
      </c>
      <c r="F3278" s="3">
        <f>IFERROR(__xludf.DUMMYFUNCTION("""COMPUTED_VALUE"""),0.0)</f>
        <v>0</v>
      </c>
    </row>
    <row r="3279">
      <c r="A3279" s="7">
        <f>IFERROR(__xludf.DUMMYFUNCTION("""COMPUTED_VALUE"""),41578.645833333336)</f>
        <v>41578.64583</v>
      </c>
      <c r="B3279" s="3">
        <f>IFERROR(__xludf.DUMMYFUNCTION("""COMPUTED_VALUE"""),6237.15)</f>
        <v>6237.15</v>
      </c>
      <c r="C3279" s="3">
        <f>IFERROR(__xludf.DUMMYFUNCTION("""COMPUTED_VALUE"""),6309.05)</f>
        <v>6309.05</v>
      </c>
      <c r="D3279" s="3">
        <f>IFERROR(__xludf.DUMMYFUNCTION("""COMPUTED_VALUE"""),6235.9)</f>
        <v>6235.9</v>
      </c>
      <c r="E3279" s="3">
        <f>IFERROR(__xludf.DUMMYFUNCTION("""COMPUTED_VALUE"""),6299.15)</f>
        <v>6299.15</v>
      </c>
      <c r="F3279" s="3">
        <f>IFERROR(__xludf.DUMMYFUNCTION("""COMPUTED_VALUE"""),0.0)</f>
        <v>0</v>
      </c>
    </row>
    <row r="3280">
      <c r="A3280" s="7">
        <f>IFERROR(__xludf.DUMMYFUNCTION("""COMPUTED_VALUE"""),41579.645833333336)</f>
        <v>41579.64583</v>
      </c>
      <c r="B3280" s="3">
        <f>IFERROR(__xludf.DUMMYFUNCTION("""COMPUTED_VALUE"""),6289.75)</f>
        <v>6289.75</v>
      </c>
      <c r="C3280" s="3">
        <f>IFERROR(__xludf.DUMMYFUNCTION("""COMPUTED_VALUE"""),6332.6)</f>
        <v>6332.6</v>
      </c>
      <c r="D3280" s="3">
        <f>IFERROR(__xludf.DUMMYFUNCTION("""COMPUTED_VALUE"""),6286.95)</f>
        <v>6286.95</v>
      </c>
      <c r="E3280" s="3">
        <f>IFERROR(__xludf.DUMMYFUNCTION("""COMPUTED_VALUE"""),6307.2)</f>
        <v>6307.2</v>
      </c>
      <c r="F3280" s="3">
        <f>IFERROR(__xludf.DUMMYFUNCTION("""COMPUTED_VALUE"""),0.0)</f>
        <v>0</v>
      </c>
    </row>
    <row r="3281">
      <c r="A3281" s="7">
        <f>IFERROR(__xludf.DUMMYFUNCTION("""COMPUTED_VALUE"""),41583.645833333336)</f>
        <v>41583.64583</v>
      </c>
      <c r="B3281" s="3">
        <f>IFERROR(__xludf.DUMMYFUNCTION("""COMPUTED_VALUE"""),6282.15)</f>
        <v>6282.15</v>
      </c>
      <c r="C3281" s="3">
        <f>IFERROR(__xludf.DUMMYFUNCTION("""COMPUTED_VALUE"""),6304.75)</f>
        <v>6304.75</v>
      </c>
      <c r="D3281" s="3">
        <f>IFERROR(__xludf.DUMMYFUNCTION("""COMPUTED_VALUE"""),6244.3)</f>
        <v>6244.3</v>
      </c>
      <c r="E3281" s="3">
        <f>IFERROR(__xludf.DUMMYFUNCTION("""COMPUTED_VALUE"""),6253.15)</f>
        <v>6253.15</v>
      </c>
      <c r="F3281" s="3">
        <f>IFERROR(__xludf.DUMMYFUNCTION("""COMPUTED_VALUE"""),0.0)</f>
        <v>0</v>
      </c>
    </row>
    <row r="3282">
      <c r="A3282" s="7">
        <f>IFERROR(__xludf.DUMMYFUNCTION("""COMPUTED_VALUE"""),41584.645833333336)</f>
        <v>41584.64583</v>
      </c>
      <c r="B3282" s="3">
        <f>IFERROR(__xludf.DUMMYFUNCTION("""COMPUTED_VALUE"""),6260.55)</f>
        <v>6260.55</v>
      </c>
      <c r="C3282" s="3">
        <f>IFERROR(__xludf.DUMMYFUNCTION("""COMPUTED_VALUE"""),6269.7)</f>
        <v>6269.7</v>
      </c>
      <c r="D3282" s="3">
        <f>IFERROR(__xludf.DUMMYFUNCTION("""COMPUTED_VALUE"""),6208.7)</f>
        <v>6208.7</v>
      </c>
      <c r="E3282" s="3">
        <f>IFERROR(__xludf.DUMMYFUNCTION("""COMPUTED_VALUE"""),6215.15)</f>
        <v>6215.15</v>
      </c>
      <c r="F3282" s="3">
        <f>IFERROR(__xludf.DUMMYFUNCTION("""COMPUTED_VALUE"""),0.0)</f>
        <v>0</v>
      </c>
    </row>
    <row r="3283">
      <c r="A3283" s="7">
        <f>IFERROR(__xludf.DUMMYFUNCTION("""COMPUTED_VALUE"""),41585.645833333336)</f>
        <v>41585.64583</v>
      </c>
      <c r="B3283" s="3">
        <f>IFERROR(__xludf.DUMMYFUNCTION("""COMPUTED_VALUE"""),6228.9)</f>
        <v>6228.9</v>
      </c>
      <c r="C3283" s="3">
        <f>IFERROR(__xludf.DUMMYFUNCTION("""COMPUTED_VALUE"""),6288.95)</f>
        <v>6288.95</v>
      </c>
      <c r="D3283" s="3">
        <f>IFERROR(__xludf.DUMMYFUNCTION("""COMPUTED_VALUE"""),6180.8)</f>
        <v>6180.8</v>
      </c>
      <c r="E3283" s="3">
        <f>IFERROR(__xludf.DUMMYFUNCTION("""COMPUTED_VALUE"""),6187.25)</f>
        <v>6187.25</v>
      </c>
      <c r="F3283" s="3">
        <f>IFERROR(__xludf.DUMMYFUNCTION("""COMPUTED_VALUE"""),0.0)</f>
        <v>0</v>
      </c>
    </row>
    <row r="3284">
      <c r="A3284" s="7">
        <f>IFERROR(__xludf.DUMMYFUNCTION("""COMPUTED_VALUE"""),41586.645833333336)</f>
        <v>41586.64583</v>
      </c>
      <c r="B3284" s="3">
        <f>IFERROR(__xludf.DUMMYFUNCTION("""COMPUTED_VALUE"""),6170.15)</f>
        <v>6170.15</v>
      </c>
      <c r="C3284" s="3">
        <f>IFERROR(__xludf.DUMMYFUNCTION("""COMPUTED_VALUE"""),6185.15)</f>
        <v>6185.15</v>
      </c>
      <c r="D3284" s="3">
        <f>IFERROR(__xludf.DUMMYFUNCTION("""COMPUTED_VALUE"""),6120.95)</f>
        <v>6120.95</v>
      </c>
      <c r="E3284" s="3">
        <f>IFERROR(__xludf.DUMMYFUNCTION("""COMPUTED_VALUE"""),6140.75)</f>
        <v>6140.75</v>
      </c>
      <c r="F3284" s="3">
        <f>IFERROR(__xludf.DUMMYFUNCTION("""COMPUTED_VALUE"""),0.0)</f>
        <v>0</v>
      </c>
    </row>
    <row r="3285">
      <c r="A3285" s="7">
        <f>IFERROR(__xludf.DUMMYFUNCTION("""COMPUTED_VALUE"""),41589.645833333336)</f>
        <v>41589.64583</v>
      </c>
      <c r="B3285" s="3">
        <f>IFERROR(__xludf.DUMMYFUNCTION("""COMPUTED_VALUE"""),6110.4)</f>
        <v>6110.4</v>
      </c>
      <c r="C3285" s="3">
        <f>IFERROR(__xludf.DUMMYFUNCTION("""COMPUTED_VALUE"""),6141.65)</f>
        <v>6141.65</v>
      </c>
      <c r="D3285" s="3">
        <f>IFERROR(__xludf.DUMMYFUNCTION("""COMPUTED_VALUE"""),6067.75)</f>
        <v>6067.75</v>
      </c>
      <c r="E3285" s="3">
        <f>IFERROR(__xludf.DUMMYFUNCTION("""COMPUTED_VALUE"""),6078.8)</f>
        <v>6078.8</v>
      </c>
      <c r="F3285" s="3">
        <f>IFERROR(__xludf.DUMMYFUNCTION("""COMPUTED_VALUE"""),0.0)</f>
        <v>0</v>
      </c>
    </row>
    <row r="3286">
      <c r="A3286" s="7">
        <f>IFERROR(__xludf.DUMMYFUNCTION("""COMPUTED_VALUE"""),41590.645833333336)</f>
        <v>41590.64583</v>
      </c>
      <c r="B3286" s="3">
        <f>IFERROR(__xludf.DUMMYFUNCTION("""COMPUTED_VALUE"""),6087.25)</f>
        <v>6087.25</v>
      </c>
      <c r="C3286" s="3">
        <f>IFERROR(__xludf.DUMMYFUNCTION("""COMPUTED_VALUE"""),6108.7)</f>
        <v>6108.7</v>
      </c>
      <c r="D3286" s="3">
        <f>IFERROR(__xludf.DUMMYFUNCTION("""COMPUTED_VALUE"""),6011.75)</f>
        <v>6011.75</v>
      </c>
      <c r="E3286" s="3">
        <f>IFERROR(__xludf.DUMMYFUNCTION("""COMPUTED_VALUE"""),6018.05)</f>
        <v>6018.05</v>
      </c>
      <c r="F3286" s="3">
        <f>IFERROR(__xludf.DUMMYFUNCTION("""COMPUTED_VALUE"""),0.0)</f>
        <v>0</v>
      </c>
    </row>
    <row r="3287">
      <c r="A3287" s="7">
        <f>IFERROR(__xludf.DUMMYFUNCTION("""COMPUTED_VALUE"""),41591.645833333336)</f>
        <v>41591.64583</v>
      </c>
      <c r="B3287" s="3">
        <f>IFERROR(__xludf.DUMMYFUNCTION("""COMPUTED_VALUE"""),5998.85)</f>
        <v>5998.85</v>
      </c>
      <c r="C3287" s="3">
        <f>IFERROR(__xludf.DUMMYFUNCTION("""COMPUTED_VALUE"""),6042.25)</f>
        <v>6042.25</v>
      </c>
      <c r="D3287" s="3">
        <f>IFERROR(__xludf.DUMMYFUNCTION("""COMPUTED_VALUE"""),5972.45)</f>
        <v>5972.45</v>
      </c>
      <c r="E3287" s="3">
        <f>IFERROR(__xludf.DUMMYFUNCTION("""COMPUTED_VALUE"""),5989.6)</f>
        <v>5989.6</v>
      </c>
      <c r="F3287" s="3">
        <f>IFERROR(__xludf.DUMMYFUNCTION("""COMPUTED_VALUE"""),0.0)</f>
        <v>0</v>
      </c>
    </row>
    <row r="3288">
      <c r="A3288" s="7">
        <f>IFERROR(__xludf.DUMMYFUNCTION("""COMPUTED_VALUE"""),41592.645833333336)</f>
        <v>41592.64583</v>
      </c>
      <c r="B3288" s="3">
        <f>IFERROR(__xludf.DUMMYFUNCTION("""COMPUTED_VALUE"""),6037.0)</f>
        <v>6037</v>
      </c>
      <c r="C3288" s="3">
        <f>IFERROR(__xludf.DUMMYFUNCTION("""COMPUTED_VALUE"""),6101.65)</f>
        <v>6101.65</v>
      </c>
      <c r="D3288" s="3">
        <f>IFERROR(__xludf.DUMMYFUNCTION("""COMPUTED_VALUE"""),6036.65)</f>
        <v>6036.65</v>
      </c>
      <c r="E3288" s="3">
        <f>IFERROR(__xludf.DUMMYFUNCTION("""COMPUTED_VALUE"""),6056.15)</f>
        <v>6056.15</v>
      </c>
      <c r="F3288" s="3">
        <f>IFERROR(__xludf.DUMMYFUNCTION("""COMPUTED_VALUE"""),0.0)</f>
        <v>0</v>
      </c>
    </row>
    <row r="3289">
      <c r="A3289" s="7">
        <f>IFERROR(__xludf.DUMMYFUNCTION("""COMPUTED_VALUE"""),41596.645833333336)</f>
        <v>41596.64583</v>
      </c>
      <c r="B3289" s="3">
        <f>IFERROR(__xludf.DUMMYFUNCTION("""COMPUTED_VALUE"""),6111.05)</f>
        <v>6111.05</v>
      </c>
      <c r="C3289" s="3">
        <f>IFERROR(__xludf.DUMMYFUNCTION("""COMPUTED_VALUE"""),6196.8)</f>
        <v>6196.8</v>
      </c>
      <c r="D3289" s="3">
        <f>IFERROR(__xludf.DUMMYFUNCTION("""COMPUTED_VALUE"""),6110.4)</f>
        <v>6110.4</v>
      </c>
      <c r="E3289" s="3">
        <f>IFERROR(__xludf.DUMMYFUNCTION("""COMPUTED_VALUE"""),6189.0)</f>
        <v>6189</v>
      </c>
      <c r="F3289" s="3">
        <f>IFERROR(__xludf.DUMMYFUNCTION("""COMPUTED_VALUE"""),0.0)</f>
        <v>0</v>
      </c>
    </row>
    <row r="3290">
      <c r="A3290" s="7">
        <f>IFERROR(__xludf.DUMMYFUNCTION("""COMPUTED_VALUE"""),41597.645833333336)</f>
        <v>41597.64583</v>
      </c>
      <c r="B3290" s="3">
        <f>IFERROR(__xludf.DUMMYFUNCTION("""COMPUTED_VALUE"""),6197.25)</f>
        <v>6197.25</v>
      </c>
      <c r="C3290" s="3">
        <f>IFERROR(__xludf.DUMMYFUNCTION("""COMPUTED_VALUE"""),6212.4)</f>
        <v>6212.4</v>
      </c>
      <c r="D3290" s="3">
        <f>IFERROR(__xludf.DUMMYFUNCTION("""COMPUTED_VALUE"""),6180.2)</f>
        <v>6180.2</v>
      </c>
      <c r="E3290" s="3">
        <f>IFERROR(__xludf.DUMMYFUNCTION("""COMPUTED_VALUE"""),6203.35)</f>
        <v>6203.35</v>
      </c>
      <c r="F3290" s="3">
        <f>IFERROR(__xludf.DUMMYFUNCTION("""COMPUTED_VALUE"""),0.0)</f>
        <v>0</v>
      </c>
    </row>
    <row r="3291">
      <c r="A3291" s="7">
        <f>IFERROR(__xludf.DUMMYFUNCTION("""COMPUTED_VALUE"""),41598.645833333336)</f>
        <v>41598.64583</v>
      </c>
      <c r="B3291" s="3">
        <f>IFERROR(__xludf.DUMMYFUNCTION("""COMPUTED_VALUE"""),6186.85)</f>
        <v>6186.85</v>
      </c>
      <c r="C3291" s="3">
        <f>IFERROR(__xludf.DUMMYFUNCTION("""COMPUTED_VALUE"""),6204.35)</f>
        <v>6204.35</v>
      </c>
      <c r="D3291" s="3">
        <f>IFERROR(__xludf.DUMMYFUNCTION("""COMPUTED_VALUE"""),6106.95)</f>
        <v>6106.95</v>
      </c>
      <c r="E3291" s="3">
        <f>IFERROR(__xludf.DUMMYFUNCTION("""COMPUTED_VALUE"""),6122.9)</f>
        <v>6122.9</v>
      </c>
      <c r="F3291" s="3">
        <f>IFERROR(__xludf.DUMMYFUNCTION("""COMPUTED_VALUE"""),0.0)</f>
        <v>0</v>
      </c>
    </row>
    <row r="3292">
      <c r="A3292" s="7">
        <f>IFERROR(__xludf.DUMMYFUNCTION("""COMPUTED_VALUE"""),41599.645833333336)</f>
        <v>41599.64583</v>
      </c>
      <c r="B3292" s="3">
        <f>IFERROR(__xludf.DUMMYFUNCTION("""COMPUTED_VALUE"""),6096.5)</f>
        <v>6096.5</v>
      </c>
      <c r="C3292" s="3">
        <f>IFERROR(__xludf.DUMMYFUNCTION("""COMPUTED_VALUE"""),6097.35)</f>
        <v>6097.35</v>
      </c>
      <c r="D3292" s="3">
        <f>IFERROR(__xludf.DUMMYFUNCTION("""COMPUTED_VALUE"""),5985.4)</f>
        <v>5985.4</v>
      </c>
      <c r="E3292" s="3">
        <f>IFERROR(__xludf.DUMMYFUNCTION("""COMPUTED_VALUE"""),5999.05)</f>
        <v>5999.05</v>
      </c>
      <c r="F3292" s="3">
        <f>IFERROR(__xludf.DUMMYFUNCTION("""COMPUTED_VALUE"""),0.0)</f>
        <v>0</v>
      </c>
    </row>
    <row r="3293">
      <c r="A3293" s="7">
        <f>IFERROR(__xludf.DUMMYFUNCTION("""COMPUTED_VALUE"""),41600.645833333336)</f>
        <v>41600.64583</v>
      </c>
      <c r="B3293" s="3">
        <f>IFERROR(__xludf.DUMMYFUNCTION("""COMPUTED_VALUE"""),6027.35)</f>
        <v>6027.35</v>
      </c>
      <c r="C3293" s="3">
        <f>IFERROR(__xludf.DUMMYFUNCTION("""COMPUTED_VALUE"""),6049.6)</f>
        <v>6049.6</v>
      </c>
      <c r="D3293" s="3">
        <f>IFERROR(__xludf.DUMMYFUNCTION("""COMPUTED_VALUE"""),5972.8)</f>
        <v>5972.8</v>
      </c>
      <c r="E3293" s="3">
        <f>IFERROR(__xludf.DUMMYFUNCTION("""COMPUTED_VALUE"""),5995.45)</f>
        <v>5995.45</v>
      </c>
      <c r="F3293" s="3">
        <f>IFERROR(__xludf.DUMMYFUNCTION("""COMPUTED_VALUE"""),0.0)</f>
        <v>0</v>
      </c>
    </row>
    <row r="3294">
      <c r="A3294" s="7">
        <f>IFERROR(__xludf.DUMMYFUNCTION("""COMPUTED_VALUE"""),41603.645833333336)</f>
        <v>41603.64583</v>
      </c>
      <c r="B3294" s="3">
        <f>IFERROR(__xludf.DUMMYFUNCTION("""COMPUTED_VALUE"""),6035.95)</f>
        <v>6035.95</v>
      </c>
      <c r="C3294" s="3">
        <f>IFERROR(__xludf.DUMMYFUNCTION("""COMPUTED_VALUE"""),6123.5)</f>
        <v>6123.5</v>
      </c>
      <c r="D3294" s="3">
        <f>IFERROR(__xludf.DUMMYFUNCTION("""COMPUTED_VALUE"""),6035.95)</f>
        <v>6035.95</v>
      </c>
      <c r="E3294" s="3">
        <f>IFERROR(__xludf.DUMMYFUNCTION("""COMPUTED_VALUE"""),6115.35)</f>
        <v>6115.35</v>
      </c>
      <c r="F3294" s="3">
        <f>IFERROR(__xludf.DUMMYFUNCTION("""COMPUTED_VALUE"""),0.0)</f>
        <v>0</v>
      </c>
    </row>
    <row r="3295">
      <c r="A3295" s="7">
        <f>IFERROR(__xludf.DUMMYFUNCTION("""COMPUTED_VALUE"""),41604.645833333336)</f>
        <v>41604.64583</v>
      </c>
      <c r="B3295" s="3">
        <f>IFERROR(__xludf.DUMMYFUNCTION("""COMPUTED_VALUE"""),6099.25)</f>
        <v>6099.25</v>
      </c>
      <c r="C3295" s="3">
        <f>IFERROR(__xludf.DUMMYFUNCTION("""COMPUTED_VALUE"""),6112.7)</f>
        <v>6112.7</v>
      </c>
      <c r="D3295" s="3">
        <f>IFERROR(__xludf.DUMMYFUNCTION("""COMPUTED_VALUE"""),6047.75)</f>
        <v>6047.75</v>
      </c>
      <c r="E3295" s="3">
        <f>IFERROR(__xludf.DUMMYFUNCTION("""COMPUTED_VALUE"""),6059.1)</f>
        <v>6059.1</v>
      </c>
      <c r="F3295" s="3">
        <f>IFERROR(__xludf.DUMMYFUNCTION("""COMPUTED_VALUE"""),0.0)</f>
        <v>0</v>
      </c>
    </row>
    <row r="3296">
      <c r="A3296" s="7">
        <f>IFERROR(__xludf.DUMMYFUNCTION("""COMPUTED_VALUE"""),41605.645833333336)</f>
        <v>41605.64583</v>
      </c>
      <c r="B3296" s="3">
        <f>IFERROR(__xludf.DUMMYFUNCTION("""COMPUTED_VALUE"""),6062.7)</f>
        <v>6062.7</v>
      </c>
      <c r="C3296" s="3">
        <f>IFERROR(__xludf.DUMMYFUNCTION("""COMPUTED_VALUE"""),6074.0)</f>
        <v>6074</v>
      </c>
      <c r="D3296" s="3">
        <f>IFERROR(__xludf.DUMMYFUNCTION("""COMPUTED_VALUE"""),6030.3)</f>
        <v>6030.3</v>
      </c>
      <c r="E3296" s="3">
        <f>IFERROR(__xludf.DUMMYFUNCTION("""COMPUTED_VALUE"""),6057.1)</f>
        <v>6057.1</v>
      </c>
      <c r="F3296" s="3">
        <f>IFERROR(__xludf.DUMMYFUNCTION("""COMPUTED_VALUE"""),0.0)</f>
        <v>0</v>
      </c>
    </row>
    <row r="3297">
      <c r="A3297" s="7">
        <f>IFERROR(__xludf.DUMMYFUNCTION("""COMPUTED_VALUE"""),41606.645833333336)</f>
        <v>41606.64583</v>
      </c>
      <c r="B3297" s="3">
        <f>IFERROR(__xludf.DUMMYFUNCTION("""COMPUTED_VALUE"""),6092.0)</f>
        <v>6092</v>
      </c>
      <c r="C3297" s="3">
        <f>IFERROR(__xludf.DUMMYFUNCTION("""COMPUTED_VALUE"""),6112.95)</f>
        <v>6112.95</v>
      </c>
      <c r="D3297" s="3">
        <f>IFERROR(__xludf.DUMMYFUNCTION("""COMPUTED_VALUE"""),6068.3)</f>
        <v>6068.3</v>
      </c>
      <c r="E3297" s="3">
        <f>IFERROR(__xludf.DUMMYFUNCTION("""COMPUTED_VALUE"""),6091.85)</f>
        <v>6091.85</v>
      </c>
      <c r="F3297" s="3">
        <f>IFERROR(__xludf.DUMMYFUNCTION("""COMPUTED_VALUE"""),0.0)</f>
        <v>0</v>
      </c>
    </row>
    <row r="3298">
      <c r="A3298" s="7">
        <f>IFERROR(__xludf.DUMMYFUNCTION("""COMPUTED_VALUE"""),41607.645833333336)</f>
        <v>41607.64583</v>
      </c>
      <c r="B3298" s="3">
        <f>IFERROR(__xludf.DUMMYFUNCTION("""COMPUTED_VALUE"""),6103.9)</f>
        <v>6103.9</v>
      </c>
      <c r="C3298" s="3">
        <f>IFERROR(__xludf.DUMMYFUNCTION("""COMPUTED_VALUE"""),6182.5)</f>
        <v>6182.5</v>
      </c>
      <c r="D3298" s="3">
        <f>IFERROR(__xludf.DUMMYFUNCTION("""COMPUTED_VALUE"""),6103.8)</f>
        <v>6103.8</v>
      </c>
      <c r="E3298" s="3">
        <f>IFERROR(__xludf.DUMMYFUNCTION("""COMPUTED_VALUE"""),6176.1)</f>
        <v>6176.1</v>
      </c>
      <c r="F3298" s="3">
        <f>IFERROR(__xludf.DUMMYFUNCTION("""COMPUTED_VALUE"""),0.0)</f>
        <v>0</v>
      </c>
    </row>
    <row r="3299">
      <c r="A3299" s="7">
        <f>IFERROR(__xludf.DUMMYFUNCTION("""COMPUTED_VALUE"""),41610.645833333336)</f>
        <v>41610.64583</v>
      </c>
      <c r="B3299" s="3">
        <f>IFERROR(__xludf.DUMMYFUNCTION("""COMPUTED_VALUE"""),6171.15)</f>
        <v>6171.15</v>
      </c>
      <c r="C3299" s="3">
        <f>IFERROR(__xludf.DUMMYFUNCTION("""COMPUTED_VALUE"""),6228.7)</f>
        <v>6228.7</v>
      </c>
      <c r="D3299" s="3">
        <f>IFERROR(__xludf.DUMMYFUNCTION("""COMPUTED_VALUE"""),6171.15)</f>
        <v>6171.15</v>
      </c>
      <c r="E3299" s="3">
        <f>IFERROR(__xludf.DUMMYFUNCTION("""COMPUTED_VALUE"""),6217.85)</f>
        <v>6217.85</v>
      </c>
      <c r="F3299" s="3">
        <f>IFERROR(__xludf.DUMMYFUNCTION("""COMPUTED_VALUE"""),0.0)</f>
        <v>0</v>
      </c>
    </row>
    <row r="3300">
      <c r="A3300" s="7">
        <f>IFERROR(__xludf.DUMMYFUNCTION("""COMPUTED_VALUE"""),41611.645833333336)</f>
        <v>41611.64583</v>
      </c>
      <c r="B3300" s="3">
        <f>IFERROR(__xludf.DUMMYFUNCTION("""COMPUTED_VALUE"""),6204.25)</f>
        <v>6204.25</v>
      </c>
      <c r="C3300" s="3">
        <f>IFERROR(__xludf.DUMMYFUNCTION("""COMPUTED_VALUE"""),6225.4)</f>
        <v>6225.4</v>
      </c>
      <c r="D3300" s="3">
        <f>IFERROR(__xludf.DUMMYFUNCTION("""COMPUTED_VALUE"""),6191.4)</f>
        <v>6191.4</v>
      </c>
      <c r="E3300" s="3">
        <f>IFERROR(__xludf.DUMMYFUNCTION("""COMPUTED_VALUE"""),6201.85)</f>
        <v>6201.85</v>
      </c>
      <c r="F3300" s="3">
        <f>IFERROR(__xludf.DUMMYFUNCTION("""COMPUTED_VALUE"""),0.0)</f>
        <v>0</v>
      </c>
    </row>
    <row r="3301">
      <c r="A3301" s="7">
        <f>IFERROR(__xludf.DUMMYFUNCTION("""COMPUTED_VALUE"""),41612.645833333336)</f>
        <v>41612.64583</v>
      </c>
      <c r="B3301" s="3">
        <f>IFERROR(__xludf.DUMMYFUNCTION("""COMPUTED_VALUE"""),6187.95)</f>
        <v>6187.95</v>
      </c>
      <c r="C3301" s="3">
        <f>IFERROR(__xludf.DUMMYFUNCTION("""COMPUTED_VALUE"""),6209.15)</f>
        <v>6209.15</v>
      </c>
      <c r="D3301" s="3">
        <f>IFERROR(__xludf.DUMMYFUNCTION("""COMPUTED_VALUE"""),6149.9)</f>
        <v>6149.9</v>
      </c>
      <c r="E3301" s="3">
        <f>IFERROR(__xludf.DUMMYFUNCTION("""COMPUTED_VALUE"""),6160.95)</f>
        <v>6160.95</v>
      </c>
      <c r="F3301" s="3">
        <f>IFERROR(__xludf.DUMMYFUNCTION("""COMPUTED_VALUE"""),0.0)</f>
        <v>0</v>
      </c>
    </row>
    <row r="3302">
      <c r="A3302" s="7">
        <f>IFERROR(__xludf.DUMMYFUNCTION("""COMPUTED_VALUE"""),41613.645833333336)</f>
        <v>41613.64583</v>
      </c>
      <c r="B3302" s="3">
        <f>IFERROR(__xludf.DUMMYFUNCTION("""COMPUTED_VALUE"""),6262.45)</f>
        <v>6262.45</v>
      </c>
      <c r="C3302" s="3">
        <f>IFERROR(__xludf.DUMMYFUNCTION("""COMPUTED_VALUE"""),6300.55)</f>
        <v>6300.55</v>
      </c>
      <c r="D3302" s="3">
        <f>IFERROR(__xludf.DUMMYFUNCTION("""COMPUTED_VALUE"""),6232.0)</f>
        <v>6232</v>
      </c>
      <c r="E3302" s="3">
        <f>IFERROR(__xludf.DUMMYFUNCTION("""COMPUTED_VALUE"""),6241.1)</f>
        <v>6241.1</v>
      </c>
      <c r="F3302" s="3">
        <f>IFERROR(__xludf.DUMMYFUNCTION("""COMPUTED_VALUE"""),0.0)</f>
        <v>0</v>
      </c>
    </row>
    <row r="3303">
      <c r="A3303" s="7">
        <f>IFERROR(__xludf.DUMMYFUNCTION("""COMPUTED_VALUE"""),41614.645833333336)</f>
        <v>41614.64583</v>
      </c>
      <c r="B3303" s="3">
        <f>IFERROR(__xludf.DUMMYFUNCTION("""COMPUTED_VALUE"""),6234.4)</f>
        <v>6234.4</v>
      </c>
      <c r="C3303" s="3">
        <f>IFERROR(__xludf.DUMMYFUNCTION("""COMPUTED_VALUE"""),6275.35)</f>
        <v>6275.35</v>
      </c>
      <c r="D3303" s="3">
        <f>IFERROR(__xludf.DUMMYFUNCTION("""COMPUTED_VALUE"""),6230.75)</f>
        <v>6230.75</v>
      </c>
      <c r="E3303" s="3">
        <f>IFERROR(__xludf.DUMMYFUNCTION("""COMPUTED_VALUE"""),6259.9)</f>
        <v>6259.9</v>
      </c>
      <c r="F3303" s="3">
        <f>IFERROR(__xludf.DUMMYFUNCTION("""COMPUTED_VALUE"""),0.0)</f>
        <v>0</v>
      </c>
    </row>
    <row r="3304">
      <c r="A3304" s="7">
        <f>IFERROR(__xludf.DUMMYFUNCTION("""COMPUTED_VALUE"""),41617.645833333336)</f>
        <v>41617.64583</v>
      </c>
      <c r="B3304" s="3">
        <f>IFERROR(__xludf.DUMMYFUNCTION("""COMPUTED_VALUE"""),6415.0)</f>
        <v>6415</v>
      </c>
      <c r="C3304" s="3">
        <f>IFERROR(__xludf.DUMMYFUNCTION("""COMPUTED_VALUE"""),6415.25)</f>
        <v>6415.25</v>
      </c>
      <c r="D3304" s="3">
        <f>IFERROR(__xludf.DUMMYFUNCTION("""COMPUTED_VALUE"""),6345.0)</f>
        <v>6345</v>
      </c>
      <c r="E3304" s="3">
        <f>IFERROR(__xludf.DUMMYFUNCTION("""COMPUTED_VALUE"""),6363.9)</f>
        <v>6363.9</v>
      </c>
      <c r="F3304" s="3">
        <f>IFERROR(__xludf.DUMMYFUNCTION("""COMPUTED_VALUE"""),0.0)</f>
        <v>0</v>
      </c>
    </row>
    <row r="3305">
      <c r="A3305" s="7">
        <f>IFERROR(__xludf.DUMMYFUNCTION("""COMPUTED_VALUE"""),41618.645833333336)</f>
        <v>41618.64583</v>
      </c>
      <c r="B3305" s="3">
        <f>IFERROR(__xludf.DUMMYFUNCTION("""COMPUTED_VALUE"""),6354.7)</f>
        <v>6354.7</v>
      </c>
      <c r="C3305" s="3">
        <f>IFERROR(__xludf.DUMMYFUNCTION("""COMPUTED_VALUE"""),6362.25)</f>
        <v>6362.25</v>
      </c>
      <c r="D3305" s="3">
        <f>IFERROR(__xludf.DUMMYFUNCTION("""COMPUTED_VALUE"""),6307.55)</f>
        <v>6307.55</v>
      </c>
      <c r="E3305" s="3">
        <f>IFERROR(__xludf.DUMMYFUNCTION("""COMPUTED_VALUE"""),6332.85)</f>
        <v>6332.85</v>
      </c>
      <c r="F3305" s="3">
        <f>IFERROR(__xludf.DUMMYFUNCTION("""COMPUTED_VALUE"""),0.0)</f>
        <v>0</v>
      </c>
    </row>
    <row r="3306">
      <c r="A3306" s="7">
        <f>IFERROR(__xludf.DUMMYFUNCTION("""COMPUTED_VALUE"""),41619.645833333336)</f>
        <v>41619.64583</v>
      </c>
      <c r="B3306" s="3">
        <f>IFERROR(__xludf.DUMMYFUNCTION("""COMPUTED_VALUE"""),6307.2)</f>
        <v>6307.2</v>
      </c>
      <c r="C3306" s="3">
        <f>IFERROR(__xludf.DUMMYFUNCTION("""COMPUTED_VALUE"""),6326.6)</f>
        <v>6326.6</v>
      </c>
      <c r="D3306" s="3">
        <f>IFERROR(__xludf.DUMMYFUNCTION("""COMPUTED_VALUE"""),6280.25)</f>
        <v>6280.25</v>
      </c>
      <c r="E3306" s="3">
        <f>IFERROR(__xludf.DUMMYFUNCTION("""COMPUTED_VALUE"""),6307.9)</f>
        <v>6307.9</v>
      </c>
      <c r="F3306" s="3">
        <f>IFERROR(__xludf.DUMMYFUNCTION("""COMPUTED_VALUE"""),0.0)</f>
        <v>0</v>
      </c>
    </row>
    <row r="3307">
      <c r="A3307" s="7">
        <f>IFERROR(__xludf.DUMMYFUNCTION("""COMPUTED_VALUE"""),41620.645833333336)</f>
        <v>41620.64583</v>
      </c>
      <c r="B3307" s="3">
        <f>IFERROR(__xludf.DUMMYFUNCTION("""COMPUTED_VALUE"""),6276.75)</f>
        <v>6276.75</v>
      </c>
      <c r="C3307" s="3">
        <f>IFERROR(__xludf.DUMMYFUNCTION("""COMPUTED_VALUE"""),6286.85)</f>
        <v>6286.85</v>
      </c>
      <c r="D3307" s="3">
        <f>IFERROR(__xludf.DUMMYFUNCTION("""COMPUTED_VALUE"""),6230.55)</f>
        <v>6230.55</v>
      </c>
      <c r="E3307" s="3">
        <f>IFERROR(__xludf.DUMMYFUNCTION("""COMPUTED_VALUE"""),6237.05)</f>
        <v>6237.05</v>
      </c>
      <c r="F3307" s="3">
        <f>IFERROR(__xludf.DUMMYFUNCTION("""COMPUTED_VALUE"""),0.0)</f>
        <v>0</v>
      </c>
    </row>
    <row r="3308">
      <c r="A3308" s="7">
        <f>IFERROR(__xludf.DUMMYFUNCTION("""COMPUTED_VALUE"""),41621.645833333336)</f>
        <v>41621.64583</v>
      </c>
      <c r="B3308" s="3">
        <f>IFERROR(__xludf.DUMMYFUNCTION("""COMPUTED_VALUE"""),6201.3)</f>
        <v>6201.3</v>
      </c>
      <c r="C3308" s="3">
        <f>IFERROR(__xludf.DUMMYFUNCTION("""COMPUTED_VALUE"""),6208.6)</f>
        <v>6208.6</v>
      </c>
      <c r="D3308" s="3">
        <f>IFERROR(__xludf.DUMMYFUNCTION("""COMPUTED_VALUE"""),6161.4)</f>
        <v>6161.4</v>
      </c>
      <c r="E3308" s="3">
        <f>IFERROR(__xludf.DUMMYFUNCTION("""COMPUTED_VALUE"""),6168.4)</f>
        <v>6168.4</v>
      </c>
      <c r="F3308" s="3">
        <f>IFERROR(__xludf.DUMMYFUNCTION("""COMPUTED_VALUE"""),0.0)</f>
        <v>0</v>
      </c>
    </row>
    <row r="3309">
      <c r="A3309" s="7">
        <f>IFERROR(__xludf.DUMMYFUNCTION("""COMPUTED_VALUE"""),41624.645833333336)</f>
        <v>41624.64583</v>
      </c>
      <c r="B3309" s="3">
        <f>IFERROR(__xludf.DUMMYFUNCTION("""COMPUTED_VALUE"""),6168.35)</f>
        <v>6168.35</v>
      </c>
      <c r="C3309" s="3">
        <f>IFERROR(__xludf.DUMMYFUNCTION("""COMPUTED_VALUE"""),6183.25)</f>
        <v>6183.25</v>
      </c>
      <c r="D3309" s="3">
        <f>IFERROR(__xludf.DUMMYFUNCTION("""COMPUTED_VALUE"""),6146.05)</f>
        <v>6146.05</v>
      </c>
      <c r="E3309" s="3">
        <f>IFERROR(__xludf.DUMMYFUNCTION("""COMPUTED_VALUE"""),6154.7)</f>
        <v>6154.7</v>
      </c>
      <c r="F3309" s="3">
        <f>IFERROR(__xludf.DUMMYFUNCTION("""COMPUTED_VALUE"""),0.0)</f>
        <v>0</v>
      </c>
    </row>
    <row r="3310">
      <c r="A3310" s="7">
        <f>IFERROR(__xludf.DUMMYFUNCTION("""COMPUTED_VALUE"""),41625.645833333336)</f>
        <v>41625.64583</v>
      </c>
      <c r="B3310" s="3">
        <f>IFERROR(__xludf.DUMMYFUNCTION("""COMPUTED_VALUE"""),6178.2)</f>
        <v>6178.2</v>
      </c>
      <c r="C3310" s="3">
        <f>IFERROR(__xludf.DUMMYFUNCTION("""COMPUTED_VALUE"""),6190.55)</f>
        <v>6190.55</v>
      </c>
      <c r="D3310" s="3">
        <f>IFERROR(__xludf.DUMMYFUNCTION("""COMPUTED_VALUE"""),6133.0)</f>
        <v>6133</v>
      </c>
      <c r="E3310" s="3">
        <f>IFERROR(__xludf.DUMMYFUNCTION("""COMPUTED_VALUE"""),6139.05)</f>
        <v>6139.05</v>
      </c>
      <c r="F3310" s="3">
        <f>IFERROR(__xludf.DUMMYFUNCTION("""COMPUTED_VALUE"""),0.0)</f>
        <v>0</v>
      </c>
    </row>
    <row r="3311">
      <c r="A3311" s="7">
        <f>IFERROR(__xludf.DUMMYFUNCTION("""COMPUTED_VALUE"""),41626.645833333336)</f>
        <v>41626.64583</v>
      </c>
      <c r="B3311" s="3">
        <f>IFERROR(__xludf.DUMMYFUNCTION("""COMPUTED_VALUE"""),6129.95)</f>
        <v>6129.95</v>
      </c>
      <c r="C3311" s="3">
        <f>IFERROR(__xludf.DUMMYFUNCTION("""COMPUTED_VALUE"""),6236.0)</f>
        <v>6236</v>
      </c>
      <c r="D3311" s="3">
        <f>IFERROR(__xludf.DUMMYFUNCTION("""COMPUTED_VALUE"""),6129.95)</f>
        <v>6129.95</v>
      </c>
      <c r="E3311" s="3">
        <f>IFERROR(__xludf.DUMMYFUNCTION("""COMPUTED_VALUE"""),6217.15)</f>
        <v>6217.15</v>
      </c>
      <c r="F3311" s="3">
        <f>IFERROR(__xludf.DUMMYFUNCTION("""COMPUTED_VALUE"""),0.0)</f>
        <v>0</v>
      </c>
    </row>
    <row r="3312">
      <c r="A3312" s="7">
        <f>IFERROR(__xludf.DUMMYFUNCTION("""COMPUTED_VALUE"""),41627.645833333336)</f>
        <v>41627.64583</v>
      </c>
      <c r="B3312" s="3">
        <f>IFERROR(__xludf.DUMMYFUNCTION("""COMPUTED_VALUE"""),6253.9)</f>
        <v>6253.9</v>
      </c>
      <c r="C3312" s="3">
        <f>IFERROR(__xludf.DUMMYFUNCTION("""COMPUTED_VALUE"""),6263.75)</f>
        <v>6263.75</v>
      </c>
      <c r="D3312" s="3">
        <f>IFERROR(__xludf.DUMMYFUNCTION("""COMPUTED_VALUE"""),6150.7)</f>
        <v>6150.7</v>
      </c>
      <c r="E3312" s="3">
        <f>IFERROR(__xludf.DUMMYFUNCTION("""COMPUTED_VALUE"""),6166.65)</f>
        <v>6166.65</v>
      </c>
      <c r="F3312" s="3">
        <f>IFERROR(__xludf.DUMMYFUNCTION("""COMPUTED_VALUE"""),0.0)</f>
        <v>0</v>
      </c>
    </row>
    <row r="3313">
      <c r="A3313" s="7">
        <f>IFERROR(__xludf.DUMMYFUNCTION("""COMPUTED_VALUE"""),41628.645833333336)</f>
        <v>41628.64583</v>
      </c>
      <c r="B3313" s="3">
        <f>IFERROR(__xludf.DUMMYFUNCTION("""COMPUTED_VALUE"""),6179.95)</f>
        <v>6179.95</v>
      </c>
      <c r="C3313" s="3">
        <f>IFERROR(__xludf.DUMMYFUNCTION("""COMPUTED_VALUE"""),6284.5)</f>
        <v>6284.5</v>
      </c>
      <c r="D3313" s="3">
        <f>IFERROR(__xludf.DUMMYFUNCTION("""COMPUTED_VALUE"""),6170.35)</f>
        <v>6170.35</v>
      </c>
      <c r="E3313" s="3">
        <f>IFERROR(__xludf.DUMMYFUNCTION("""COMPUTED_VALUE"""),6274.25)</f>
        <v>6274.25</v>
      </c>
      <c r="F3313" s="3">
        <f>IFERROR(__xludf.DUMMYFUNCTION("""COMPUTED_VALUE"""),0.0)</f>
        <v>0</v>
      </c>
    </row>
    <row r="3314">
      <c r="A3314" s="7">
        <f>IFERROR(__xludf.DUMMYFUNCTION("""COMPUTED_VALUE"""),41631.645833333336)</f>
        <v>41631.64583</v>
      </c>
      <c r="B3314" s="3">
        <f>IFERROR(__xludf.DUMMYFUNCTION("""COMPUTED_VALUE"""),6267.2)</f>
        <v>6267.2</v>
      </c>
      <c r="C3314" s="3">
        <f>IFERROR(__xludf.DUMMYFUNCTION("""COMPUTED_VALUE"""),6317.5)</f>
        <v>6317.5</v>
      </c>
      <c r="D3314" s="3">
        <f>IFERROR(__xludf.DUMMYFUNCTION("""COMPUTED_VALUE"""),6266.95)</f>
        <v>6266.95</v>
      </c>
      <c r="E3314" s="3">
        <f>IFERROR(__xludf.DUMMYFUNCTION("""COMPUTED_VALUE"""),6284.5)</f>
        <v>6284.5</v>
      </c>
      <c r="F3314" s="3">
        <f>IFERROR(__xludf.DUMMYFUNCTION("""COMPUTED_VALUE"""),0.0)</f>
        <v>0</v>
      </c>
    </row>
    <row r="3315">
      <c r="A3315" s="7">
        <f>IFERROR(__xludf.DUMMYFUNCTION("""COMPUTED_VALUE"""),41632.645833333336)</f>
        <v>41632.64583</v>
      </c>
      <c r="B3315" s="3">
        <f>IFERROR(__xludf.DUMMYFUNCTION("""COMPUTED_VALUE"""),6296.45)</f>
        <v>6296.45</v>
      </c>
      <c r="C3315" s="3">
        <f>IFERROR(__xludf.DUMMYFUNCTION("""COMPUTED_VALUE"""),6301.5)</f>
        <v>6301.5</v>
      </c>
      <c r="D3315" s="3">
        <f>IFERROR(__xludf.DUMMYFUNCTION("""COMPUTED_VALUE"""),6262.0)</f>
        <v>6262</v>
      </c>
      <c r="E3315" s="3">
        <f>IFERROR(__xludf.DUMMYFUNCTION("""COMPUTED_VALUE"""),6268.4)</f>
        <v>6268.4</v>
      </c>
      <c r="F3315" s="3">
        <f>IFERROR(__xludf.DUMMYFUNCTION("""COMPUTED_VALUE"""),0.0)</f>
        <v>0</v>
      </c>
    </row>
    <row r="3316">
      <c r="A3316" s="7">
        <f>IFERROR(__xludf.DUMMYFUNCTION("""COMPUTED_VALUE"""),41634.645833333336)</f>
        <v>41634.64583</v>
      </c>
      <c r="B3316" s="3">
        <f>IFERROR(__xludf.DUMMYFUNCTION("""COMPUTED_VALUE"""),6270.1)</f>
        <v>6270.1</v>
      </c>
      <c r="C3316" s="3">
        <f>IFERROR(__xludf.DUMMYFUNCTION("""COMPUTED_VALUE"""),6302.75)</f>
        <v>6302.75</v>
      </c>
      <c r="D3316" s="3">
        <f>IFERROR(__xludf.DUMMYFUNCTION("""COMPUTED_VALUE"""),6259.45)</f>
        <v>6259.45</v>
      </c>
      <c r="E3316" s="3">
        <f>IFERROR(__xludf.DUMMYFUNCTION("""COMPUTED_VALUE"""),6278.9)</f>
        <v>6278.9</v>
      </c>
      <c r="F3316" s="3">
        <f>IFERROR(__xludf.DUMMYFUNCTION("""COMPUTED_VALUE"""),0.0)</f>
        <v>0</v>
      </c>
    </row>
    <row r="3317">
      <c r="A3317" s="7">
        <f>IFERROR(__xludf.DUMMYFUNCTION("""COMPUTED_VALUE"""),41635.645833333336)</f>
        <v>41635.64583</v>
      </c>
      <c r="B3317" s="3">
        <f>IFERROR(__xludf.DUMMYFUNCTION("""COMPUTED_VALUE"""),6292.8)</f>
        <v>6292.8</v>
      </c>
      <c r="C3317" s="3">
        <f>IFERROR(__xludf.DUMMYFUNCTION("""COMPUTED_VALUE"""),6324.9)</f>
        <v>6324.9</v>
      </c>
      <c r="D3317" s="3">
        <f>IFERROR(__xludf.DUMMYFUNCTION("""COMPUTED_VALUE"""),6289.4)</f>
        <v>6289.4</v>
      </c>
      <c r="E3317" s="3">
        <f>IFERROR(__xludf.DUMMYFUNCTION("""COMPUTED_VALUE"""),6313.8)</f>
        <v>6313.8</v>
      </c>
      <c r="F3317" s="3">
        <f>IFERROR(__xludf.DUMMYFUNCTION("""COMPUTED_VALUE"""),0.0)</f>
        <v>0</v>
      </c>
    </row>
    <row r="3318">
      <c r="A3318" s="7">
        <f>IFERROR(__xludf.DUMMYFUNCTION("""COMPUTED_VALUE"""),41638.645833333336)</f>
        <v>41638.64583</v>
      </c>
      <c r="B3318" s="3">
        <f>IFERROR(__xludf.DUMMYFUNCTION("""COMPUTED_VALUE"""),6336.4)</f>
        <v>6336.4</v>
      </c>
      <c r="C3318" s="3">
        <f>IFERROR(__xludf.DUMMYFUNCTION("""COMPUTED_VALUE"""),6344.05)</f>
        <v>6344.05</v>
      </c>
      <c r="D3318" s="3">
        <f>IFERROR(__xludf.DUMMYFUNCTION("""COMPUTED_VALUE"""),6273.15)</f>
        <v>6273.15</v>
      </c>
      <c r="E3318" s="3">
        <f>IFERROR(__xludf.DUMMYFUNCTION("""COMPUTED_VALUE"""),6291.1)</f>
        <v>6291.1</v>
      </c>
      <c r="F3318" s="3">
        <f>IFERROR(__xludf.DUMMYFUNCTION("""COMPUTED_VALUE"""),0.0)</f>
        <v>0</v>
      </c>
    </row>
    <row r="3319">
      <c r="A3319" s="7">
        <f>IFERROR(__xludf.DUMMYFUNCTION("""COMPUTED_VALUE"""),41639.645833333336)</f>
        <v>41639.64583</v>
      </c>
      <c r="B3319" s="3">
        <f>IFERROR(__xludf.DUMMYFUNCTION("""COMPUTED_VALUE"""),6307.35)</f>
        <v>6307.35</v>
      </c>
      <c r="C3319" s="3">
        <f>IFERROR(__xludf.DUMMYFUNCTION("""COMPUTED_VALUE"""),6317.3)</f>
        <v>6317.3</v>
      </c>
      <c r="D3319" s="3">
        <f>IFERROR(__xludf.DUMMYFUNCTION("""COMPUTED_VALUE"""),6287.3)</f>
        <v>6287.3</v>
      </c>
      <c r="E3319" s="3">
        <f>IFERROR(__xludf.DUMMYFUNCTION("""COMPUTED_VALUE"""),6304.0)</f>
        <v>6304</v>
      </c>
      <c r="F3319" s="3">
        <f>IFERROR(__xludf.DUMMYFUNCTION("""COMPUTED_VALUE"""),0.0)</f>
        <v>0</v>
      </c>
    </row>
    <row r="3320">
      <c r="A3320" s="7">
        <f>IFERROR(__xludf.DUMMYFUNCTION("""COMPUTED_VALUE"""),41640.645833333336)</f>
        <v>41640.64583</v>
      </c>
      <c r="B3320" s="3">
        <f>IFERROR(__xludf.DUMMYFUNCTION("""COMPUTED_VALUE"""),6323.8)</f>
        <v>6323.8</v>
      </c>
      <c r="C3320" s="3">
        <f>IFERROR(__xludf.DUMMYFUNCTION("""COMPUTED_VALUE"""),6327.2)</f>
        <v>6327.2</v>
      </c>
      <c r="D3320" s="3">
        <f>IFERROR(__xludf.DUMMYFUNCTION("""COMPUTED_VALUE"""),6298.25)</f>
        <v>6298.25</v>
      </c>
      <c r="E3320" s="3">
        <f>IFERROR(__xludf.DUMMYFUNCTION("""COMPUTED_VALUE"""),6301.65)</f>
        <v>6301.65</v>
      </c>
      <c r="F3320" s="3">
        <f>IFERROR(__xludf.DUMMYFUNCTION("""COMPUTED_VALUE"""),0.0)</f>
        <v>0</v>
      </c>
    </row>
    <row r="3321">
      <c r="A3321" s="7">
        <f>IFERROR(__xludf.DUMMYFUNCTION("""COMPUTED_VALUE"""),41641.645833333336)</f>
        <v>41641.64583</v>
      </c>
      <c r="B3321" s="3">
        <f>IFERROR(__xludf.DUMMYFUNCTION("""COMPUTED_VALUE"""),6301.25)</f>
        <v>6301.25</v>
      </c>
      <c r="C3321" s="3">
        <f>IFERROR(__xludf.DUMMYFUNCTION("""COMPUTED_VALUE"""),6358.3)</f>
        <v>6358.3</v>
      </c>
      <c r="D3321" s="3">
        <f>IFERROR(__xludf.DUMMYFUNCTION("""COMPUTED_VALUE"""),6211.3)</f>
        <v>6211.3</v>
      </c>
      <c r="E3321" s="3">
        <f>IFERROR(__xludf.DUMMYFUNCTION("""COMPUTED_VALUE"""),6221.15)</f>
        <v>6221.15</v>
      </c>
      <c r="F3321" s="3">
        <f>IFERROR(__xludf.DUMMYFUNCTION("""COMPUTED_VALUE"""),0.0)</f>
        <v>0</v>
      </c>
    </row>
    <row r="3322">
      <c r="A3322" s="7">
        <f>IFERROR(__xludf.DUMMYFUNCTION("""COMPUTED_VALUE"""),41642.645833333336)</f>
        <v>41642.64583</v>
      </c>
      <c r="B3322" s="3">
        <f>IFERROR(__xludf.DUMMYFUNCTION("""COMPUTED_VALUE"""),6194.55)</f>
        <v>6194.55</v>
      </c>
      <c r="C3322" s="3">
        <f>IFERROR(__xludf.DUMMYFUNCTION("""COMPUTED_VALUE"""),6221.7)</f>
        <v>6221.7</v>
      </c>
      <c r="D3322" s="3">
        <f>IFERROR(__xludf.DUMMYFUNCTION("""COMPUTED_VALUE"""),6171.25)</f>
        <v>6171.25</v>
      </c>
      <c r="E3322" s="3">
        <f>IFERROR(__xludf.DUMMYFUNCTION("""COMPUTED_VALUE"""),6211.15)</f>
        <v>6211.15</v>
      </c>
      <c r="F3322" s="3">
        <f>IFERROR(__xludf.DUMMYFUNCTION("""COMPUTED_VALUE"""),0.0)</f>
        <v>0</v>
      </c>
    </row>
    <row r="3323">
      <c r="A3323" s="7">
        <f>IFERROR(__xludf.DUMMYFUNCTION("""COMPUTED_VALUE"""),41645.645833333336)</f>
        <v>41645.64583</v>
      </c>
      <c r="B3323" s="3">
        <f>IFERROR(__xludf.DUMMYFUNCTION("""COMPUTED_VALUE"""),6220.85)</f>
        <v>6220.85</v>
      </c>
      <c r="C3323" s="3">
        <f>IFERROR(__xludf.DUMMYFUNCTION("""COMPUTED_VALUE"""),6224.7)</f>
        <v>6224.7</v>
      </c>
      <c r="D3323" s="3">
        <f>IFERROR(__xludf.DUMMYFUNCTION("""COMPUTED_VALUE"""),6170.25)</f>
        <v>6170.25</v>
      </c>
      <c r="E3323" s="3">
        <f>IFERROR(__xludf.DUMMYFUNCTION("""COMPUTED_VALUE"""),6191.45)</f>
        <v>6191.45</v>
      </c>
      <c r="F3323" s="3">
        <f>IFERROR(__xludf.DUMMYFUNCTION("""COMPUTED_VALUE"""),0.0)</f>
        <v>0</v>
      </c>
    </row>
    <row r="3324">
      <c r="A3324" s="7">
        <f>IFERROR(__xludf.DUMMYFUNCTION("""COMPUTED_VALUE"""),41646.645833333336)</f>
        <v>41646.64583</v>
      </c>
      <c r="B3324" s="3">
        <f>IFERROR(__xludf.DUMMYFUNCTION("""COMPUTED_VALUE"""),6203.9)</f>
        <v>6203.9</v>
      </c>
      <c r="C3324" s="3">
        <f>IFERROR(__xludf.DUMMYFUNCTION("""COMPUTED_VALUE"""),6221.5)</f>
        <v>6221.5</v>
      </c>
      <c r="D3324" s="3">
        <f>IFERROR(__xludf.DUMMYFUNCTION("""COMPUTED_VALUE"""),6144.75)</f>
        <v>6144.75</v>
      </c>
      <c r="E3324" s="3">
        <f>IFERROR(__xludf.DUMMYFUNCTION("""COMPUTED_VALUE"""),6162.25)</f>
        <v>6162.25</v>
      </c>
      <c r="F3324" s="3">
        <f>IFERROR(__xludf.DUMMYFUNCTION("""COMPUTED_VALUE"""),0.0)</f>
        <v>0</v>
      </c>
    </row>
    <row r="3325">
      <c r="A3325" s="7">
        <f>IFERROR(__xludf.DUMMYFUNCTION("""COMPUTED_VALUE"""),41647.645833333336)</f>
        <v>41647.64583</v>
      </c>
      <c r="B3325" s="3">
        <f>IFERROR(__xludf.DUMMYFUNCTION("""COMPUTED_VALUE"""),6178.05)</f>
        <v>6178.05</v>
      </c>
      <c r="C3325" s="3">
        <f>IFERROR(__xludf.DUMMYFUNCTION("""COMPUTED_VALUE"""),6192.1)</f>
        <v>6192.1</v>
      </c>
      <c r="D3325" s="3">
        <f>IFERROR(__xludf.DUMMYFUNCTION("""COMPUTED_VALUE"""),6160.35)</f>
        <v>6160.35</v>
      </c>
      <c r="E3325" s="3">
        <f>IFERROR(__xludf.DUMMYFUNCTION("""COMPUTED_VALUE"""),6174.6)</f>
        <v>6174.6</v>
      </c>
      <c r="F3325" s="3">
        <f>IFERROR(__xludf.DUMMYFUNCTION("""COMPUTED_VALUE"""),0.0)</f>
        <v>0</v>
      </c>
    </row>
    <row r="3326">
      <c r="A3326" s="7">
        <f>IFERROR(__xludf.DUMMYFUNCTION("""COMPUTED_VALUE"""),41648.645833333336)</f>
        <v>41648.64583</v>
      </c>
      <c r="B3326" s="3">
        <f>IFERROR(__xludf.DUMMYFUNCTION("""COMPUTED_VALUE"""),6181.7)</f>
        <v>6181.7</v>
      </c>
      <c r="C3326" s="3">
        <f>IFERROR(__xludf.DUMMYFUNCTION("""COMPUTED_VALUE"""),6188.05)</f>
        <v>6188.05</v>
      </c>
      <c r="D3326" s="3">
        <f>IFERROR(__xludf.DUMMYFUNCTION("""COMPUTED_VALUE"""),6148.25)</f>
        <v>6148.25</v>
      </c>
      <c r="E3326" s="3">
        <f>IFERROR(__xludf.DUMMYFUNCTION("""COMPUTED_VALUE"""),6168.35)</f>
        <v>6168.35</v>
      </c>
      <c r="F3326" s="3">
        <f>IFERROR(__xludf.DUMMYFUNCTION("""COMPUTED_VALUE"""),0.0)</f>
        <v>0</v>
      </c>
    </row>
    <row r="3327">
      <c r="A3327" s="7">
        <f>IFERROR(__xludf.DUMMYFUNCTION("""COMPUTED_VALUE"""),41649.645833333336)</f>
        <v>41649.64583</v>
      </c>
      <c r="B3327" s="3">
        <f>IFERROR(__xludf.DUMMYFUNCTION("""COMPUTED_VALUE"""),6178.85)</f>
        <v>6178.85</v>
      </c>
      <c r="C3327" s="3">
        <f>IFERROR(__xludf.DUMMYFUNCTION("""COMPUTED_VALUE"""),6239.1)</f>
        <v>6239.1</v>
      </c>
      <c r="D3327" s="3">
        <f>IFERROR(__xludf.DUMMYFUNCTION("""COMPUTED_VALUE"""),6139.6)</f>
        <v>6139.6</v>
      </c>
      <c r="E3327" s="3">
        <f>IFERROR(__xludf.DUMMYFUNCTION("""COMPUTED_VALUE"""),6171.45)</f>
        <v>6171.45</v>
      </c>
      <c r="F3327" s="3">
        <f>IFERROR(__xludf.DUMMYFUNCTION("""COMPUTED_VALUE"""),0.0)</f>
        <v>0</v>
      </c>
    </row>
    <row r="3328">
      <c r="A3328" s="7">
        <f>IFERROR(__xludf.DUMMYFUNCTION("""COMPUTED_VALUE"""),41652.645833333336)</f>
        <v>41652.64583</v>
      </c>
      <c r="B3328" s="3">
        <f>IFERROR(__xludf.DUMMYFUNCTION("""COMPUTED_VALUE"""),6189.55)</f>
        <v>6189.55</v>
      </c>
      <c r="C3328" s="3">
        <f>IFERROR(__xludf.DUMMYFUNCTION("""COMPUTED_VALUE"""),6288.2)</f>
        <v>6288.2</v>
      </c>
      <c r="D3328" s="3">
        <f>IFERROR(__xludf.DUMMYFUNCTION("""COMPUTED_VALUE"""),6189.55)</f>
        <v>6189.55</v>
      </c>
      <c r="E3328" s="3">
        <f>IFERROR(__xludf.DUMMYFUNCTION("""COMPUTED_VALUE"""),6272.75)</f>
        <v>6272.75</v>
      </c>
      <c r="F3328" s="3">
        <f>IFERROR(__xludf.DUMMYFUNCTION("""COMPUTED_VALUE"""),0.0)</f>
        <v>0</v>
      </c>
    </row>
    <row r="3329">
      <c r="A3329" s="7">
        <f>IFERROR(__xludf.DUMMYFUNCTION("""COMPUTED_VALUE"""),41653.645833333336)</f>
        <v>41653.64583</v>
      </c>
      <c r="B3329" s="3">
        <f>IFERROR(__xludf.DUMMYFUNCTION("""COMPUTED_VALUE"""),6260.25)</f>
        <v>6260.25</v>
      </c>
      <c r="C3329" s="3">
        <f>IFERROR(__xludf.DUMMYFUNCTION("""COMPUTED_VALUE"""),6280.35)</f>
        <v>6280.35</v>
      </c>
      <c r="D3329" s="3">
        <f>IFERROR(__xludf.DUMMYFUNCTION("""COMPUTED_VALUE"""),6234.15)</f>
        <v>6234.15</v>
      </c>
      <c r="E3329" s="3">
        <f>IFERROR(__xludf.DUMMYFUNCTION("""COMPUTED_VALUE"""),6241.85)</f>
        <v>6241.85</v>
      </c>
      <c r="F3329" s="3">
        <f>IFERROR(__xludf.DUMMYFUNCTION("""COMPUTED_VALUE"""),0.0)</f>
        <v>0</v>
      </c>
    </row>
    <row r="3330">
      <c r="A3330" s="7">
        <f>IFERROR(__xludf.DUMMYFUNCTION("""COMPUTED_VALUE"""),41654.645833333336)</f>
        <v>41654.64583</v>
      </c>
      <c r="B3330" s="3">
        <f>IFERROR(__xludf.DUMMYFUNCTION("""COMPUTED_VALUE"""),6265.95)</f>
        <v>6265.95</v>
      </c>
      <c r="C3330" s="3">
        <f>IFERROR(__xludf.DUMMYFUNCTION("""COMPUTED_VALUE"""),6325.2)</f>
        <v>6325.2</v>
      </c>
      <c r="D3330" s="3">
        <f>IFERROR(__xludf.DUMMYFUNCTION("""COMPUTED_VALUE"""),6265.3)</f>
        <v>6265.3</v>
      </c>
      <c r="E3330" s="3">
        <f>IFERROR(__xludf.DUMMYFUNCTION("""COMPUTED_VALUE"""),6320.9)</f>
        <v>6320.9</v>
      </c>
      <c r="F3330" s="3">
        <f>IFERROR(__xludf.DUMMYFUNCTION("""COMPUTED_VALUE"""),0.0)</f>
        <v>0</v>
      </c>
    </row>
    <row r="3331">
      <c r="A3331" s="7">
        <f>IFERROR(__xludf.DUMMYFUNCTION("""COMPUTED_VALUE"""),41655.645833333336)</f>
        <v>41655.64583</v>
      </c>
      <c r="B3331" s="3">
        <f>IFERROR(__xludf.DUMMYFUNCTION("""COMPUTED_VALUE"""),6341.35)</f>
        <v>6341.35</v>
      </c>
      <c r="C3331" s="3">
        <f>IFERROR(__xludf.DUMMYFUNCTION("""COMPUTED_VALUE"""),6346.5)</f>
        <v>6346.5</v>
      </c>
      <c r="D3331" s="3">
        <f>IFERROR(__xludf.DUMMYFUNCTION("""COMPUTED_VALUE"""),6299.85)</f>
        <v>6299.85</v>
      </c>
      <c r="E3331" s="3">
        <f>IFERROR(__xludf.DUMMYFUNCTION("""COMPUTED_VALUE"""),6318.9)</f>
        <v>6318.9</v>
      </c>
      <c r="F3331" s="3">
        <f>IFERROR(__xludf.DUMMYFUNCTION("""COMPUTED_VALUE"""),0.0)</f>
        <v>0</v>
      </c>
    </row>
    <row r="3332">
      <c r="A3332" s="7">
        <f>IFERROR(__xludf.DUMMYFUNCTION("""COMPUTED_VALUE"""),41656.645833333336)</f>
        <v>41656.64583</v>
      </c>
      <c r="B3332" s="3">
        <f>IFERROR(__xludf.DUMMYFUNCTION("""COMPUTED_VALUE"""),6306.25)</f>
        <v>6306.25</v>
      </c>
      <c r="C3332" s="3">
        <f>IFERROR(__xludf.DUMMYFUNCTION("""COMPUTED_VALUE"""),6327.1)</f>
        <v>6327.1</v>
      </c>
      <c r="D3332" s="3">
        <f>IFERROR(__xludf.DUMMYFUNCTION("""COMPUTED_VALUE"""),6246.35)</f>
        <v>6246.35</v>
      </c>
      <c r="E3332" s="3">
        <f>IFERROR(__xludf.DUMMYFUNCTION("""COMPUTED_VALUE"""),6261.65)</f>
        <v>6261.65</v>
      </c>
      <c r="F3332" s="3">
        <f>IFERROR(__xludf.DUMMYFUNCTION("""COMPUTED_VALUE"""),0.0)</f>
        <v>0</v>
      </c>
    </row>
    <row r="3333">
      <c r="A3333" s="7">
        <f>IFERROR(__xludf.DUMMYFUNCTION("""COMPUTED_VALUE"""),41659.645833333336)</f>
        <v>41659.64583</v>
      </c>
      <c r="B3333" s="3">
        <f>IFERROR(__xludf.DUMMYFUNCTION("""COMPUTED_VALUE"""),6261.75)</f>
        <v>6261.75</v>
      </c>
      <c r="C3333" s="3">
        <f>IFERROR(__xludf.DUMMYFUNCTION("""COMPUTED_VALUE"""),6307.45)</f>
        <v>6307.45</v>
      </c>
      <c r="D3333" s="3">
        <f>IFERROR(__xludf.DUMMYFUNCTION("""COMPUTED_VALUE"""),6243.35)</f>
        <v>6243.35</v>
      </c>
      <c r="E3333" s="3">
        <f>IFERROR(__xludf.DUMMYFUNCTION("""COMPUTED_VALUE"""),6303.95)</f>
        <v>6303.95</v>
      </c>
      <c r="F3333" s="3">
        <f>IFERROR(__xludf.DUMMYFUNCTION("""COMPUTED_VALUE"""),0.0)</f>
        <v>0</v>
      </c>
    </row>
    <row r="3334">
      <c r="A3334" s="7">
        <f>IFERROR(__xludf.DUMMYFUNCTION("""COMPUTED_VALUE"""),41660.645833333336)</f>
        <v>41660.64583</v>
      </c>
      <c r="B3334" s="3">
        <f>IFERROR(__xludf.DUMMYFUNCTION("""COMPUTED_VALUE"""),6320.15)</f>
        <v>6320.15</v>
      </c>
      <c r="C3334" s="3">
        <f>IFERROR(__xludf.DUMMYFUNCTION("""COMPUTED_VALUE"""),6330.3)</f>
        <v>6330.3</v>
      </c>
      <c r="D3334" s="3">
        <f>IFERROR(__xludf.DUMMYFUNCTION("""COMPUTED_VALUE"""),6297.9)</f>
        <v>6297.9</v>
      </c>
      <c r="E3334" s="3">
        <f>IFERROR(__xludf.DUMMYFUNCTION("""COMPUTED_VALUE"""),6313.8)</f>
        <v>6313.8</v>
      </c>
      <c r="F3334" s="3">
        <f>IFERROR(__xludf.DUMMYFUNCTION("""COMPUTED_VALUE"""),0.0)</f>
        <v>0</v>
      </c>
    </row>
    <row r="3335">
      <c r="A3335" s="7">
        <f>IFERROR(__xludf.DUMMYFUNCTION("""COMPUTED_VALUE"""),41661.645833333336)</f>
        <v>41661.64583</v>
      </c>
      <c r="B3335" s="3">
        <f>IFERROR(__xludf.DUMMYFUNCTION("""COMPUTED_VALUE"""),6309.05)</f>
        <v>6309.05</v>
      </c>
      <c r="C3335" s="3">
        <f>IFERROR(__xludf.DUMMYFUNCTION("""COMPUTED_VALUE"""),6349.95)</f>
        <v>6349.95</v>
      </c>
      <c r="D3335" s="3">
        <f>IFERROR(__xludf.DUMMYFUNCTION("""COMPUTED_VALUE"""),6287.45)</f>
        <v>6287.45</v>
      </c>
      <c r="E3335" s="3">
        <f>IFERROR(__xludf.DUMMYFUNCTION("""COMPUTED_VALUE"""),6338.95)</f>
        <v>6338.95</v>
      </c>
      <c r="F3335" s="3">
        <f>IFERROR(__xludf.DUMMYFUNCTION("""COMPUTED_VALUE"""),0.0)</f>
        <v>0</v>
      </c>
    </row>
    <row r="3336">
      <c r="A3336" s="7">
        <f>IFERROR(__xludf.DUMMYFUNCTION("""COMPUTED_VALUE"""),41662.645833333336)</f>
        <v>41662.64583</v>
      </c>
      <c r="B3336" s="3">
        <f>IFERROR(__xludf.DUMMYFUNCTION("""COMPUTED_VALUE"""),6325.95)</f>
        <v>6325.95</v>
      </c>
      <c r="C3336" s="3">
        <f>IFERROR(__xludf.DUMMYFUNCTION("""COMPUTED_VALUE"""),6355.6)</f>
        <v>6355.6</v>
      </c>
      <c r="D3336" s="3">
        <f>IFERROR(__xludf.DUMMYFUNCTION("""COMPUTED_VALUE"""),6316.4)</f>
        <v>6316.4</v>
      </c>
      <c r="E3336" s="3">
        <f>IFERROR(__xludf.DUMMYFUNCTION("""COMPUTED_VALUE"""),6345.65)</f>
        <v>6345.65</v>
      </c>
      <c r="F3336" s="3">
        <f>IFERROR(__xludf.DUMMYFUNCTION("""COMPUTED_VALUE"""),0.0)</f>
        <v>0</v>
      </c>
    </row>
    <row r="3337">
      <c r="A3337" s="7">
        <f>IFERROR(__xludf.DUMMYFUNCTION("""COMPUTED_VALUE"""),41663.645833333336)</f>
        <v>41663.64583</v>
      </c>
      <c r="B3337" s="3">
        <f>IFERROR(__xludf.DUMMYFUNCTION("""COMPUTED_VALUE"""),6301.65)</f>
        <v>6301.65</v>
      </c>
      <c r="C3337" s="3">
        <f>IFERROR(__xludf.DUMMYFUNCTION("""COMPUTED_VALUE"""),6331.45)</f>
        <v>6331.45</v>
      </c>
      <c r="D3337" s="3">
        <f>IFERROR(__xludf.DUMMYFUNCTION("""COMPUTED_VALUE"""),6263.9)</f>
        <v>6263.9</v>
      </c>
      <c r="E3337" s="3">
        <f>IFERROR(__xludf.DUMMYFUNCTION("""COMPUTED_VALUE"""),6266.75)</f>
        <v>6266.75</v>
      </c>
      <c r="F3337" s="3">
        <f>IFERROR(__xludf.DUMMYFUNCTION("""COMPUTED_VALUE"""),0.0)</f>
        <v>0</v>
      </c>
    </row>
    <row r="3338">
      <c r="A3338" s="7">
        <f>IFERROR(__xludf.DUMMYFUNCTION("""COMPUTED_VALUE"""),41666.645833333336)</f>
        <v>41666.64583</v>
      </c>
      <c r="B3338" s="3">
        <f>IFERROR(__xludf.DUMMYFUNCTION("""COMPUTED_VALUE"""),6186.3)</f>
        <v>6186.3</v>
      </c>
      <c r="C3338" s="3">
        <f>IFERROR(__xludf.DUMMYFUNCTION("""COMPUTED_VALUE"""),6188.55)</f>
        <v>6188.55</v>
      </c>
      <c r="D3338" s="3">
        <f>IFERROR(__xludf.DUMMYFUNCTION("""COMPUTED_VALUE"""),6130.25)</f>
        <v>6130.25</v>
      </c>
      <c r="E3338" s="3">
        <f>IFERROR(__xludf.DUMMYFUNCTION("""COMPUTED_VALUE"""),6135.85)</f>
        <v>6135.85</v>
      </c>
      <c r="F3338" s="3">
        <f>IFERROR(__xludf.DUMMYFUNCTION("""COMPUTED_VALUE"""),0.0)</f>
        <v>0</v>
      </c>
    </row>
    <row r="3339">
      <c r="A3339" s="7">
        <f>IFERROR(__xludf.DUMMYFUNCTION("""COMPUTED_VALUE"""),41667.645833333336)</f>
        <v>41667.64583</v>
      </c>
      <c r="B3339" s="3">
        <f>IFERROR(__xludf.DUMMYFUNCTION("""COMPUTED_VALUE"""),6131.85)</f>
        <v>6131.85</v>
      </c>
      <c r="C3339" s="3">
        <f>IFERROR(__xludf.DUMMYFUNCTION("""COMPUTED_VALUE"""),6163.6)</f>
        <v>6163.6</v>
      </c>
      <c r="D3339" s="3">
        <f>IFERROR(__xludf.DUMMYFUNCTION("""COMPUTED_VALUE"""),6085.95)</f>
        <v>6085.95</v>
      </c>
      <c r="E3339" s="3">
        <f>IFERROR(__xludf.DUMMYFUNCTION("""COMPUTED_VALUE"""),6126.25)</f>
        <v>6126.25</v>
      </c>
      <c r="F3339" s="3">
        <f>IFERROR(__xludf.DUMMYFUNCTION("""COMPUTED_VALUE"""),0.0)</f>
        <v>0</v>
      </c>
    </row>
    <row r="3340">
      <c r="A3340" s="7">
        <f>IFERROR(__xludf.DUMMYFUNCTION("""COMPUTED_VALUE"""),41668.645833333336)</f>
        <v>41668.64583</v>
      </c>
      <c r="B3340" s="3">
        <f>IFERROR(__xludf.DUMMYFUNCTION("""COMPUTED_VALUE"""),6161.0)</f>
        <v>6161</v>
      </c>
      <c r="C3340" s="3">
        <f>IFERROR(__xludf.DUMMYFUNCTION("""COMPUTED_VALUE"""),6170.45)</f>
        <v>6170.45</v>
      </c>
      <c r="D3340" s="3">
        <f>IFERROR(__xludf.DUMMYFUNCTION("""COMPUTED_VALUE"""),6109.8)</f>
        <v>6109.8</v>
      </c>
      <c r="E3340" s="3">
        <f>IFERROR(__xludf.DUMMYFUNCTION("""COMPUTED_VALUE"""),6120.25)</f>
        <v>6120.25</v>
      </c>
      <c r="F3340" s="3">
        <f>IFERROR(__xludf.DUMMYFUNCTION("""COMPUTED_VALUE"""),0.0)</f>
        <v>0</v>
      </c>
    </row>
    <row r="3341">
      <c r="A3341" s="7">
        <f>IFERROR(__xludf.DUMMYFUNCTION("""COMPUTED_VALUE"""),41669.645833333336)</f>
        <v>41669.64583</v>
      </c>
      <c r="B3341" s="3">
        <f>IFERROR(__xludf.DUMMYFUNCTION("""COMPUTED_VALUE"""),6067.0)</f>
        <v>6067</v>
      </c>
      <c r="C3341" s="3">
        <f>IFERROR(__xludf.DUMMYFUNCTION("""COMPUTED_VALUE"""),6082.85)</f>
        <v>6082.85</v>
      </c>
      <c r="D3341" s="3">
        <f>IFERROR(__xludf.DUMMYFUNCTION("""COMPUTED_VALUE"""),6027.25)</f>
        <v>6027.25</v>
      </c>
      <c r="E3341" s="3">
        <f>IFERROR(__xludf.DUMMYFUNCTION("""COMPUTED_VALUE"""),6073.7)</f>
        <v>6073.7</v>
      </c>
      <c r="F3341" s="3">
        <f>IFERROR(__xludf.DUMMYFUNCTION("""COMPUTED_VALUE"""),0.0)</f>
        <v>0</v>
      </c>
    </row>
    <row r="3342">
      <c r="A3342" s="7">
        <f>IFERROR(__xludf.DUMMYFUNCTION("""COMPUTED_VALUE"""),41670.645833333336)</f>
        <v>41670.64583</v>
      </c>
      <c r="B3342" s="3">
        <f>IFERROR(__xludf.DUMMYFUNCTION("""COMPUTED_VALUE"""),6082.75)</f>
        <v>6082.75</v>
      </c>
      <c r="C3342" s="3">
        <f>IFERROR(__xludf.DUMMYFUNCTION("""COMPUTED_VALUE"""),6097.85)</f>
        <v>6097.85</v>
      </c>
      <c r="D3342" s="3">
        <f>IFERROR(__xludf.DUMMYFUNCTION("""COMPUTED_VALUE"""),6067.35)</f>
        <v>6067.35</v>
      </c>
      <c r="E3342" s="3">
        <f>IFERROR(__xludf.DUMMYFUNCTION("""COMPUTED_VALUE"""),6089.5)</f>
        <v>6089.5</v>
      </c>
      <c r="F3342" s="3">
        <f>IFERROR(__xludf.DUMMYFUNCTION("""COMPUTED_VALUE"""),0.0)</f>
        <v>0</v>
      </c>
    </row>
    <row r="3343">
      <c r="A3343" s="7">
        <f>IFERROR(__xludf.DUMMYFUNCTION("""COMPUTED_VALUE"""),41673.645833333336)</f>
        <v>41673.64583</v>
      </c>
      <c r="B3343" s="3">
        <f>IFERROR(__xludf.DUMMYFUNCTION("""COMPUTED_VALUE"""),6058.8)</f>
        <v>6058.8</v>
      </c>
      <c r="C3343" s="3">
        <f>IFERROR(__xludf.DUMMYFUNCTION("""COMPUTED_VALUE"""),6074.85)</f>
        <v>6074.85</v>
      </c>
      <c r="D3343" s="3">
        <f>IFERROR(__xludf.DUMMYFUNCTION("""COMPUTED_VALUE"""),5994.45)</f>
        <v>5994.45</v>
      </c>
      <c r="E3343" s="3">
        <f>IFERROR(__xludf.DUMMYFUNCTION("""COMPUTED_VALUE"""),6001.8)</f>
        <v>6001.8</v>
      </c>
      <c r="F3343" s="3">
        <f>IFERROR(__xludf.DUMMYFUNCTION("""COMPUTED_VALUE"""),0.0)</f>
        <v>0</v>
      </c>
    </row>
    <row r="3344">
      <c r="A3344" s="7">
        <f>IFERROR(__xludf.DUMMYFUNCTION("""COMPUTED_VALUE"""),41674.645833333336)</f>
        <v>41674.64583</v>
      </c>
      <c r="B3344" s="3">
        <f>IFERROR(__xludf.DUMMYFUNCTION("""COMPUTED_VALUE"""),5947.6)</f>
        <v>5947.6</v>
      </c>
      <c r="C3344" s="3">
        <f>IFERROR(__xludf.DUMMYFUNCTION("""COMPUTED_VALUE"""),6017.8)</f>
        <v>6017.8</v>
      </c>
      <c r="D3344" s="3">
        <f>IFERROR(__xludf.DUMMYFUNCTION("""COMPUTED_VALUE"""),5933.3)</f>
        <v>5933.3</v>
      </c>
      <c r="E3344" s="3">
        <f>IFERROR(__xludf.DUMMYFUNCTION("""COMPUTED_VALUE"""),6000.9)</f>
        <v>6000.9</v>
      </c>
      <c r="F3344" s="3">
        <f>IFERROR(__xludf.DUMMYFUNCTION("""COMPUTED_VALUE"""),0.0)</f>
        <v>0</v>
      </c>
    </row>
    <row r="3345">
      <c r="A3345" s="7">
        <f>IFERROR(__xludf.DUMMYFUNCTION("""COMPUTED_VALUE"""),41675.645833333336)</f>
        <v>41675.64583</v>
      </c>
      <c r="B3345" s="3">
        <f>IFERROR(__xludf.DUMMYFUNCTION("""COMPUTED_VALUE"""),6004.25)</f>
        <v>6004.25</v>
      </c>
      <c r="C3345" s="3">
        <f>IFERROR(__xludf.DUMMYFUNCTION("""COMPUTED_VALUE"""),6028.05)</f>
        <v>6028.05</v>
      </c>
      <c r="D3345" s="3">
        <f>IFERROR(__xludf.DUMMYFUNCTION("""COMPUTED_VALUE"""),5962.05)</f>
        <v>5962.05</v>
      </c>
      <c r="E3345" s="3">
        <f>IFERROR(__xludf.DUMMYFUNCTION("""COMPUTED_VALUE"""),6022.4)</f>
        <v>6022.4</v>
      </c>
      <c r="F3345" s="3">
        <f>IFERROR(__xludf.DUMMYFUNCTION("""COMPUTED_VALUE"""),0.0)</f>
        <v>0</v>
      </c>
    </row>
    <row r="3346">
      <c r="A3346" s="7">
        <f>IFERROR(__xludf.DUMMYFUNCTION("""COMPUTED_VALUE"""),41676.645833333336)</f>
        <v>41676.64583</v>
      </c>
      <c r="B3346" s="3">
        <f>IFERROR(__xludf.DUMMYFUNCTION("""COMPUTED_VALUE"""),6028.35)</f>
        <v>6028.35</v>
      </c>
      <c r="C3346" s="3">
        <f>IFERROR(__xludf.DUMMYFUNCTION("""COMPUTED_VALUE"""),6048.35)</f>
        <v>6048.35</v>
      </c>
      <c r="D3346" s="3">
        <f>IFERROR(__xludf.DUMMYFUNCTION("""COMPUTED_VALUE"""),5965.4)</f>
        <v>5965.4</v>
      </c>
      <c r="E3346" s="3">
        <f>IFERROR(__xludf.DUMMYFUNCTION("""COMPUTED_VALUE"""),6036.3)</f>
        <v>6036.3</v>
      </c>
      <c r="F3346" s="3">
        <f>IFERROR(__xludf.DUMMYFUNCTION("""COMPUTED_VALUE"""),0.0)</f>
        <v>0</v>
      </c>
    </row>
    <row r="3347">
      <c r="A3347" s="7">
        <f>IFERROR(__xludf.DUMMYFUNCTION("""COMPUTED_VALUE"""),41677.645833333336)</f>
        <v>41677.64583</v>
      </c>
      <c r="B3347" s="3">
        <f>IFERROR(__xludf.DUMMYFUNCTION("""COMPUTED_VALUE"""),6077.65)</f>
        <v>6077.65</v>
      </c>
      <c r="C3347" s="3">
        <f>IFERROR(__xludf.DUMMYFUNCTION("""COMPUTED_VALUE"""),6079.95)</f>
        <v>6079.95</v>
      </c>
      <c r="D3347" s="3">
        <f>IFERROR(__xludf.DUMMYFUNCTION("""COMPUTED_VALUE"""),6030.9)</f>
        <v>6030.9</v>
      </c>
      <c r="E3347" s="3">
        <f>IFERROR(__xludf.DUMMYFUNCTION("""COMPUTED_VALUE"""),6063.2)</f>
        <v>6063.2</v>
      </c>
      <c r="F3347" s="3">
        <f>IFERROR(__xludf.DUMMYFUNCTION("""COMPUTED_VALUE"""),0.0)</f>
        <v>0</v>
      </c>
    </row>
    <row r="3348">
      <c r="A3348" s="7">
        <f>IFERROR(__xludf.DUMMYFUNCTION("""COMPUTED_VALUE"""),41680.645833333336)</f>
        <v>41680.64583</v>
      </c>
      <c r="B3348" s="3">
        <f>IFERROR(__xludf.DUMMYFUNCTION("""COMPUTED_VALUE"""),6072.8)</f>
        <v>6072.8</v>
      </c>
      <c r="C3348" s="3">
        <f>IFERROR(__xludf.DUMMYFUNCTION("""COMPUTED_VALUE"""),6083.05)</f>
        <v>6083.05</v>
      </c>
      <c r="D3348" s="3">
        <f>IFERROR(__xludf.DUMMYFUNCTION("""COMPUTED_VALUE"""),6046.4)</f>
        <v>6046.4</v>
      </c>
      <c r="E3348" s="3">
        <f>IFERROR(__xludf.DUMMYFUNCTION("""COMPUTED_VALUE"""),6053.45)</f>
        <v>6053.45</v>
      </c>
      <c r="F3348" s="3">
        <f>IFERROR(__xludf.DUMMYFUNCTION("""COMPUTED_VALUE"""),0.0)</f>
        <v>0</v>
      </c>
    </row>
    <row r="3349">
      <c r="A3349" s="7">
        <f>IFERROR(__xludf.DUMMYFUNCTION("""COMPUTED_VALUE"""),41681.645833333336)</f>
        <v>41681.64583</v>
      </c>
      <c r="B3349" s="3">
        <f>IFERROR(__xludf.DUMMYFUNCTION("""COMPUTED_VALUE"""),6072.45)</f>
        <v>6072.45</v>
      </c>
      <c r="C3349" s="3">
        <f>IFERROR(__xludf.DUMMYFUNCTION("""COMPUTED_VALUE"""),6081.85)</f>
        <v>6081.85</v>
      </c>
      <c r="D3349" s="3">
        <f>IFERROR(__xludf.DUMMYFUNCTION("""COMPUTED_VALUE"""),6053.25)</f>
        <v>6053.25</v>
      </c>
      <c r="E3349" s="3">
        <f>IFERROR(__xludf.DUMMYFUNCTION("""COMPUTED_VALUE"""),6062.7)</f>
        <v>6062.7</v>
      </c>
      <c r="F3349" s="3">
        <f>IFERROR(__xludf.DUMMYFUNCTION("""COMPUTED_VALUE"""),0.0)</f>
        <v>0</v>
      </c>
    </row>
    <row r="3350">
      <c r="A3350" s="7">
        <f>IFERROR(__xludf.DUMMYFUNCTION("""COMPUTED_VALUE"""),41682.645833333336)</f>
        <v>41682.64583</v>
      </c>
      <c r="B3350" s="3">
        <f>IFERROR(__xludf.DUMMYFUNCTION("""COMPUTED_VALUE"""),6085.35)</f>
        <v>6085.35</v>
      </c>
      <c r="C3350" s="3">
        <f>IFERROR(__xludf.DUMMYFUNCTION("""COMPUTED_VALUE"""),6106.6)</f>
        <v>6106.6</v>
      </c>
      <c r="D3350" s="3">
        <f>IFERROR(__xludf.DUMMYFUNCTION("""COMPUTED_VALUE"""),6077.4)</f>
        <v>6077.4</v>
      </c>
      <c r="E3350" s="3">
        <f>IFERROR(__xludf.DUMMYFUNCTION("""COMPUTED_VALUE"""),6084.0)</f>
        <v>6084</v>
      </c>
      <c r="F3350" s="3">
        <f>IFERROR(__xludf.DUMMYFUNCTION("""COMPUTED_VALUE"""),0.0)</f>
        <v>0</v>
      </c>
    </row>
    <row r="3351">
      <c r="A3351" s="7">
        <f>IFERROR(__xludf.DUMMYFUNCTION("""COMPUTED_VALUE"""),41683.645833333336)</f>
        <v>41683.64583</v>
      </c>
      <c r="B3351" s="3">
        <f>IFERROR(__xludf.DUMMYFUNCTION("""COMPUTED_VALUE"""),6087.55)</f>
        <v>6087.55</v>
      </c>
      <c r="C3351" s="3">
        <f>IFERROR(__xludf.DUMMYFUNCTION("""COMPUTED_VALUE"""),6094.4)</f>
        <v>6094.4</v>
      </c>
      <c r="D3351" s="3">
        <f>IFERROR(__xludf.DUMMYFUNCTION("""COMPUTED_VALUE"""),5991.1)</f>
        <v>5991.1</v>
      </c>
      <c r="E3351" s="3">
        <f>IFERROR(__xludf.DUMMYFUNCTION("""COMPUTED_VALUE"""),6001.1)</f>
        <v>6001.1</v>
      </c>
      <c r="F3351" s="3">
        <f>IFERROR(__xludf.DUMMYFUNCTION("""COMPUTED_VALUE"""),0.0)</f>
        <v>0</v>
      </c>
    </row>
    <row r="3352">
      <c r="A3352" s="7">
        <f>IFERROR(__xludf.DUMMYFUNCTION("""COMPUTED_VALUE"""),41684.645833333336)</f>
        <v>41684.64583</v>
      </c>
      <c r="B3352" s="3">
        <f>IFERROR(__xludf.DUMMYFUNCTION("""COMPUTED_VALUE"""),6023.75)</f>
        <v>6023.75</v>
      </c>
      <c r="C3352" s="3">
        <f>IFERROR(__xludf.DUMMYFUNCTION("""COMPUTED_VALUE"""),6056.4)</f>
        <v>6056.4</v>
      </c>
      <c r="D3352" s="3">
        <f>IFERROR(__xludf.DUMMYFUNCTION("""COMPUTED_VALUE"""),5984.6)</f>
        <v>5984.6</v>
      </c>
      <c r="E3352" s="3">
        <f>IFERROR(__xludf.DUMMYFUNCTION("""COMPUTED_VALUE"""),6048.35)</f>
        <v>6048.35</v>
      </c>
      <c r="F3352" s="3">
        <f>IFERROR(__xludf.DUMMYFUNCTION("""COMPUTED_VALUE"""),0.0)</f>
        <v>0</v>
      </c>
    </row>
    <row r="3353">
      <c r="A3353" s="7">
        <f>IFERROR(__xludf.DUMMYFUNCTION("""COMPUTED_VALUE"""),41687.645833333336)</f>
        <v>41687.64583</v>
      </c>
      <c r="B3353" s="3">
        <f>IFERROR(__xludf.DUMMYFUNCTION("""COMPUTED_VALUE"""),6057.1)</f>
        <v>6057.1</v>
      </c>
      <c r="C3353" s="3">
        <f>IFERROR(__xludf.DUMMYFUNCTION("""COMPUTED_VALUE"""),6080.65)</f>
        <v>6080.65</v>
      </c>
      <c r="D3353" s="3">
        <f>IFERROR(__xludf.DUMMYFUNCTION("""COMPUTED_VALUE"""),6038.3)</f>
        <v>6038.3</v>
      </c>
      <c r="E3353" s="3">
        <f>IFERROR(__xludf.DUMMYFUNCTION("""COMPUTED_VALUE"""),6073.3)</f>
        <v>6073.3</v>
      </c>
      <c r="F3353" s="3">
        <f>IFERROR(__xludf.DUMMYFUNCTION("""COMPUTED_VALUE"""),0.0)</f>
        <v>0</v>
      </c>
    </row>
    <row r="3354">
      <c r="A3354" s="7">
        <f>IFERROR(__xludf.DUMMYFUNCTION("""COMPUTED_VALUE"""),41688.645833333336)</f>
        <v>41688.64583</v>
      </c>
      <c r="B3354" s="3">
        <f>IFERROR(__xludf.DUMMYFUNCTION("""COMPUTED_VALUE"""),6071.3)</f>
        <v>6071.3</v>
      </c>
      <c r="C3354" s="3">
        <f>IFERROR(__xludf.DUMMYFUNCTION("""COMPUTED_VALUE"""),6141.7)</f>
        <v>6141.7</v>
      </c>
      <c r="D3354" s="3">
        <f>IFERROR(__xludf.DUMMYFUNCTION("""COMPUTED_VALUE"""),6066.8)</f>
        <v>6066.8</v>
      </c>
      <c r="E3354" s="3">
        <f>IFERROR(__xludf.DUMMYFUNCTION("""COMPUTED_VALUE"""),6127.1)</f>
        <v>6127.1</v>
      </c>
      <c r="F3354" s="3">
        <f>IFERROR(__xludf.DUMMYFUNCTION("""COMPUTED_VALUE"""),0.0)</f>
        <v>0</v>
      </c>
    </row>
    <row r="3355">
      <c r="A3355" s="7">
        <f>IFERROR(__xludf.DUMMYFUNCTION("""COMPUTED_VALUE"""),41690.645833333336)</f>
        <v>41690.64583</v>
      </c>
      <c r="B3355" s="3">
        <f>IFERROR(__xludf.DUMMYFUNCTION("""COMPUTED_VALUE"""),6127.15)</f>
        <v>6127.15</v>
      </c>
      <c r="C3355" s="3">
        <f>IFERROR(__xludf.DUMMYFUNCTION("""COMPUTED_VALUE"""),6129.1)</f>
        <v>6129.1</v>
      </c>
      <c r="D3355" s="3">
        <f>IFERROR(__xludf.DUMMYFUNCTION("""COMPUTED_VALUE"""),6086.45)</f>
        <v>6086.45</v>
      </c>
      <c r="E3355" s="3">
        <f>IFERROR(__xludf.DUMMYFUNCTION("""COMPUTED_VALUE"""),6091.45)</f>
        <v>6091.45</v>
      </c>
      <c r="F3355" s="3">
        <f>IFERROR(__xludf.DUMMYFUNCTION("""COMPUTED_VALUE"""),0.0)</f>
        <v>0</v>
      </c>
    </row>
    <row r="3356">
      <c r="A3356" s="7">
        <f>IFERROR(__xludf.DUMMYFUNCTION("""COMPUTED_VALUE"""),41691.645833333336)</f>
        <v>41691.64583</v>
      </c>
      <c r="B3356" s="3">
        <f>IFERROR(__xludf.DUMMYFUNCTION("""COMPUTED_VALUE"""),6108.3)</f>
        <v>6108.3</v>
      </c>
      <c r="C3356" s="3">
        <f>IFERROR(__xludf.DUMMYFUNCTION("""COMPUTED_VALUE"""),6159.65)</f>
        <v>6159.65</v>
      </c>
      <c r="D3356" s="3">
        <f>IFERROR(__xludf.DUMMYFUNCTION("""COMPUTED_VALUE"""),6108.0)</f>
        <v>6108</v>
      </c>
      <c r="E3356" s="3">
        <f>IFERROR(__xludf.DUMMYFUNCTION("""COMPUTED_VALUE"""),6155.45)</f>
        <v>6155.45</v>
      </c>
      <c r="F3356" s="3">
        <f>IFERROR(__xludf.DUMMYFUNCTION("""COMPUTED_VALUE"""),0.0)</f>
        <v>0</v>
      </c>
    </row>
    <row r="3357">
      <c r="A3357" s="7">
        <f>IFERROR(__xludf.DUMMYFUNCTION("""COMPUTED_VALUE"""),41694.645833333336)</f>
        <v>41694.64583</v>
      </c>
      <c r="B3357" s="3">
        <f>IFERROR(__xludf.DUMMYFUNCTION("""COMPUTED_VALUE"""),6140.95)</f>
        <v>6140.95</v>
      </c>
      <c r="C3357" s="3">
        <f>IFERROR(__xludf.DUMMYFUNCTION("""COMPUTED_VALUE"""),6191.85)</f>
        <v>6191.85</v>
      </c>
      <c r="D3357" s="3">
        <f>IFERROR(__xludf.DUMMYFUNCTION("""COMPUTED_VALUE"""),6130.8)</f>
        <v>6130.8</v>
      </c>
      <c r="E3357" s="3">
        <f>IFERROR(__xludf.DUMMYFUNCTION("""COMPUTED_VALUE"""),6186.1)</f>
        <v>6186.1</v>
      </c>
      <c r="F3357" s="3">
        <f>IFERROR(__xludf.DUMMYFUNCTION("""COMPUTED_VALUE"""),0.0)</f>
        <v>0</v>
      </c>
    </row>
    <row r="3358">
      <c r="A3358" s="7">
        <f>IFERROR(__xludf.DUMMYFUNCTION("""COMPUTED_VALUE"""),41695.645833333336)</f>
        <v>41695.64583</v>
      </c>
      <c r="B3358" s="3">
        <f>IFERROR(__xludf.DUMMYFUNCTION("""COMPUTED_VALUE"""),6205.7)</f>
        <v>6205.7</v>
      </c>
      <c r="C3358" s="3">
        <f>IFERROR(__xludf.DUMMYFUNCTION("""COMPUTED_VALUE"""),6216.85)</f>
        <v>6216.85</v>
      </c>
      <c r="D3358" s="3">
        <f>IFERROR(__xludf.DUMMYFUNCTION("""COMPUTED_VALUE"""),6176.6)</f>
        <v>6176.6</v>
      </c>
      <c r="E3358" s="3">
        <f>IFERROR(__xludf.DUMMYFUNCTION("""COMPUTED_VALUE"""),6200.05)</f>
        <v>6200.05</v>
      </c>
      <c r="F3358" s="3">
        <f>IFERROR(__xludf.DUMMYFUNCTION("""COMPUTED_VALUE"""),0.0)</f>
        <v>0</v>
      </c>
    </row>
    <row r="3359">
      <c r="A3359" s="7">
        <f>IFERROR(__xludf.DUMMYFUNCTION("""COMPUTED_VALUE"""),41696.645833333336)</f>
        <v>41696.64583</v>
      </c>
      <c r="B3359" s="3">
        <f>IFERROR(__xludf.DUMMYFUNCTION("""COMPUTED_VALUE"""),6202.45)</f>
        <v>6202.45</v>
      </c>
      <c r="C3359" s="3">
        <f>IFERROR(__xludf.DUMMYFUNCTION("""COMPUTED_VALUE"""),6245.95)</f>
        <v>6245.95</v>
      </c>
      <c r="D3359" s="3">
        <f>IFERROR(__xludf.DUMMYFUNCTION("""COMPUTED_VALUE"""),6202.1)</f>
        <v>6202.1</v>
      </c>
      <c r="E3359" s="3">
        <f>IFERROR(__xludf.DUMMYFUNCTION("""COMPUTED_VALUE"""),6238.8)</f>
        <v>6238.8</v>
      </c>
      <c r="F3359" s="3">
        <f>IFERROR(__xludf.DUMMYFUNCTION("""COMPUTED_VALUE"""),0.0)</f>
        <v>0</v>
      </c>
    </row>
    <row r="3360">
      <c r="A3360" s="7">
        <f>IFERROR(__xludf.DUMMYFUNCTION("""COMPUTED_VALUE"""),41698.645833333336)</f>
        <v>41698.64583</v>
      </c>
      <c r="B3360" s="3">
        <f>IFERROR(__xludf.DUMMYFUNCTION("""COMPUTED_VALUE"""),6228.45)</f>
        <v>6228.45</v>
      </c>
      <c r="C3360" s="3">
        <f>IFERROR(__xludf.DUMMYFUNCTION("""COMPUTED_VALUE"""),6282.7)</f>
        <v>6282.7</v>
      </c>
      <c r="D3360" s="3">
        <f>IFERROR(__xludf.DUMMYFUNCTION("""COMPUTED_VALUE"""),6228.1)</f>
        <v>6228.1</v>
      </c>
      <c r="E3360" s="3">
        <f>IFERROR(__xludf.DUMMYFUNCTION("""COMPUTED_VALUE"""),6276.95)</f>
        <v>6276.95</v>
      </c>
      <c r="F3360" s="3">
        <f>IFERROR(__xludf.DUMMYFUNCTION("""COMPUTED_VALUE"""),0.0)</f>
        <v>0</v>
      </c>
    </row>
    <row r="3361">
      <c r="A3361" s="7">
        <f>IFERROR(__xludf.DUMMYFUNCTION("""COMPUTED_VALUE"""),41701.645833333336)</f>
        <v>41701.64583</v>
      </c>
      <c r="B3361" s="3">
        <f>IFERROR(__xludf.DUMMYFUNCTION("""COMPUTED_VALUE"""),6264.35)</f>
        <v>6264.35</v>
      </c>
      <c r="C3361" s="3">
        <f>IFERROR(__xludf.DUMMYFUNCTION("""COMPUTED_VALUE"""),6277.75)</f>
        <v>6277.75</v>
      </c>
      <c r="D3361" s="3">
        <f>IFERROR(__xludf.DUMMYFUNCTION("""COMPUTED_VALUE"""),6212.25)</f>
        <v>6212.25</v>
      </c>
      <c r="E3361" s="3">
        <f>IFERROR(__xludf.DUMMYFUNCTION("""COMPUTED_VALUE"""),6221.45)</f>
        <v>6221.45</v>
      </c>
      <c r="F3361" s="3">
        <f>IFERROR(__xludf.DUMMYFUNCTION("""COMPUTED_VALUE"""),0.0)</f>
        <v>0</v>
      </c>
    </row>
    <row r="3362">
      <c r="A3362" s="7">
        <f>IFERROR(__xludf.DUMMYFUNCTION("""COMPUTED_VALUE"""),41702.645833333336)</f>
        <v>41702.64583</v>
      </c>
      <c r="B3362" s="3">
        <f>IFERROR(__xludf.DUMMYFUNCTION("""COMPUTED_VALUE"""),6216.75)</f>
        <v>6216.75</v>
      </c>
      <c r="C3362" s="3">
        <f>IFERROR(__xludf.DUMMYFUNCTION("""COMPUTED_VALUE"""),6302.15)</f>
        <v>6302.15</v>
      </c>
      <c r="D3362" s="3">
        <f>IFERROR(__xludf.DUMMYFUNCTION("""COMPUTED_VALUE"""),6215.7)</f>
        <v>6215.7</v>
      </c>
      <c r="E3362" s="3">
        <f>IFERROR(__xludf.DUMMYFUNCTION("""COMPUTED_VALUE"""),6297.95)</f>
        <v>6297.95</v>
      </c>
      <c r="F3362" s="3">
        <f>IFERROR(__xludf.DUMMYFUNCTION("""COMPUTED_VALUE"""),0.0)</f>
        <v>0</v>
      </c>
    </row>
    <row r="3363">
      <c r="A3363" s="7">
        <f>IFERROR(__xludf.DUMMYFUNCTION("""COMPUTED_VALUE"""),41703.645833333336)</f>
        <v>41703.64583</v>
      </c>
      <c r="B3363" s="3">
        <f>IFERROR(__xludf.DUMMYFUNCTION("""COMPUTED_VALUE"""),6328.45)</f>
        <v>6328.45</v>
      </c>
      <c r="C3363" s="3">
        <f>IFERROR(__xludf.DUMMYFUNCTION("""COMPUTED_VALUE"""),6336.25)</f>
        <v>6336.25</v>
      </c>
      <c r="D3363" s="3">
        <f>IFERROR(__xludf.DUMMYFUNCTION("""COMPUTED_VALUE"""),6287.8)</f>
        <v>6287.8</v>
      </c>
      <c r="E3363" s="3">
        <f>IFERROR(__xludf.DUMMYFUNCTION("""COMPUTED_VALUE"""),6328.65)</f>
        <v>6328.65</v>
      </c>
      <c r="F3363" s="3">
        <f>IFERROR(__xludf.DUMMYFUNCTION("""COMPUTED_VALUE"""),0.0)</f>
        <v>0</v>
      </c>
    </row>
    <row r="3364">
      <c r="A3364" s="7">
        <f>IFERROR(__xludf.DUMMYFUNCTION("""COMPUTED_VALUE"""),41704.645833333336)</f>
        <v>41704.64583</v>
      </c>
      <c r="B3364" s="3">
        <f>IFERROR(__xludf.DUMMYFUNCTION("""COMPUTED_VALUE"""),6344.75)</f>
        <v>6344.75</v>
      </c>
      <c r="C3364" s="3">
        <f>IFERROR(__xludf.DUMMYFUNCTION("""COMPUTED_VALUE"""),6406.6)</f>
        <v>6406.6</v>
      </c>
      <c r="D3364" s="3">
        <f>IFERROR(__xludf.DUMMYFUNCTION("""COMPUTED_VALUE"""),6339.7)</f>
        <v>6339.7</v>
      </c>
      <c r="E3364" s="3">
        <f>IFERROR(__xludf.DUMMYFUNCTION("""COMPUTED_VALUE"""),6401.15)</f>
        <v>6401.15</v>
      </c>
      <c r="F3364" s="3">
        <f>IFERROR(__xludf.DUMMYFUNCTION("""COMPUTED_VALUE"""),0.0)</f>
        <v>0</v>
      </c>
    </row>
    <row r="3365">
      <c r="A3365" s="7">
        <f>IFERROR(__xludf.DUMMYFUNCTION("""COMPUTED_VALUE"""),41705.645833333336)</f>
        <v>41705.64583</v>
      </c>
      <c r="B3365" s="3">
        <f>IFERROR(__xludf.DUMMYFUNCTION("""COMPUTED_VALUE"""),6413.95)</f>
        <v>6413.95</v>
      </c>
      <c r="C3365" s="3">
        <f>IFERROR(__xludf.DUMMYFUNCTION("""COMPUTED_VALUE"""),6537.8)</f>
        <v>6537.8</v>
      </c>
      <c r="D3365" s="3">
        <f>IFERROR(__xludf.DUMMYFUNCTION("""COMPUTED_VALUE"""),6413.55)</f>
        <v>6413.55</v>
      </c>
      <c r="E3365" s="3">
        <f>IFERROR(__xludf.DUMMYFUNCTION("""COMPUTED_VALUE"""),6526.65)</f>
        <v>6526.65</v>
      </c>
      <c r="F3365" s="3">
        <f>IFERROR(__xludf.DUMMYFUNCTION("""COMPUTED_VALUE"""),0.0)</f>
        <v>0</v>
      </c>
    </row>
    <row r="3366">
      <c r="A3366" s="7">
        <f>IFERROR(__xludf.DUMMYFUNCTION("""COMPUTED_VALUE"""),41708.645833333336)</f>
        <v>41708.64583</v>
      </c>
      <c r="B3366" s="3">
        <f>IFERROR(__xludf.DUMMYFUNCTION("""COMPUTED_VALUE"""),6491.7)</f>
        <v>6491.7</v>
      </c>
      <c r="C3366" s="3">
        <f>IFERROR(__xludf.DUMMYFUNCTION("""COMPUTED_VALUE"""),6562.2)</f>
        <v>6562.2</v>
      </c>
      <c r="D3366" s="3">
        <f>IFERROR(__xludf.DUMMYFUNCTION("""COMPUTED_VALUE"""),6487.35)</f>
        <v>6487.35</v>
      </c>
      <c r="E3366" s="3">
        <f>IFERROR(__xludf.DUMMYFUNCTION("""COMPUTED_VALUE"""),6537.25)</f>
        <v>6537.25</v>
      </c>
      <c r="F3366" s="3">
        <f>IFERROR(__xludf.DUMMYFUNCTION("""COMPUTED_VALUE"""),0.0)</f>
        <v>0</v>
      </c>
    </row>
    <row r="3367">
      <c r="A3367" s="7">
        <f>IFERROR(__xludf.DUMMYFUNCTION("""COMPUTED_VALUE"""),41709.645833333336)</f>
        <v>41709.64583</v>
      </c>
      <c r="B3367" s="3">
        <f>IFERROR(__xludf.DUMMYFUNCTION("""COMPUTED_VALUE"""),6537.35)</f>
        <v>6537.35</v>
      </c>
      <c r="C3367" s="3">
        <f>IFERROR(__xludf.DUMMYFUNCTION("""COMPUTED_VALUE"""),6562.85)</f>
        <v>6562.85</v>
      </c>
      <c r="D3367" s="3">
        <f>IFERROR(__xludf.DUMMYFUNCTION("""COMPUTED_VALUE"""),6494.25)</f>
        <v>6494.25</v>
      </c>
      <c r="E3367" s="3">
        <f>IFERROR(__xludf.DUMMYFUNCTION("""COMPUTED_VALUE"""),6511.9)</f>
        <v>6511.9</v>
      </c>
      <c r="F3367" s="3">
        <f>IFERROR(__xludf.DUMMYFUNCTION("""COMPUTED_VALUE"""),0.0)</f>
        <v>0</v>
      </c>
    </row>
    <row r="3368">
      <c r="A3368" s="7">
        <f>IFERROR(__xludf.DUMMYFUNCTION("""COMPUTED_VALUE"""),41710.645833333336)</f>
        <v>41710.64583</v>
      </c>
      <c r="B3368" s="3">
        <f>IFERROR(__xludf.DUMMYFUNCTION("""COMPUTED_VALUE"""),6497.5)</f>
        <v>6497.5</v>
      </c>
      <c r="C3368" s="3">
        <f>IFERROR(__xludf.DUMMYFUNCTION("""COMPUTED_VALUE"""),6546.15)</f>
        <v>6546.15</v>
      </c>
      <c r="D3368" s="3">
        <f>IFERROR(__xludf.DUMMYFUNCTION("""COMPUTED_VALUE"""),6487.3)</f>
        <v>6487.3</v>
      </c>
      <c r="E3368" s="3">
        <f>IFERROR(__xludf.DUMMYFUNCTION("""COMPUTED_VALUE"""),6516.9)</f>
        <v>6516.9</v>
      </c>
      <c r="F3368" s="3">
        <f>IFERROR(__xludf.DUMMYFUNCTION("""COMPUTED_VALUE"""),0.0)</f>
        <v>0</v>
      </c>
    </row>
    <row r="3369">
      <c r="A3369" s="7">
        <f>IFERROR(__xludf.DUMMYFUNCTION("""COMPUTED_VALUE"""),41711.645833333336)</f>
        <v>41711.64583</v>
      </c>
      <c r="B3369" s="3">
        <f>IFERROR(__xludf.DUMMYFUNCTION("""COMPUTED_VALUE"""),6491.75)</f>
        <v>6491.75</v>
      </c>
      <c r="C3369" s="3">
        <f>IFERROR(__xludf.DUMMYFUNCTION("""COMPUTED_VALUE"""),6561.45)</f>
        <v>6561.45</v>
      </c>
      <c r="D3369" s="3">
        <f>IFERROR(__xludf.DUMMYFUNCTION("""COMPUTED_VALUE"""),6476.65)</f>
        <v>6476.65</v>
      </c>
      <c r="E3369" s="3">
        <f>IFERROR(__xludf.DUMMYFUNCTION("""COMPUTED_VALUE"""),6493.1)</f>
        <v>6493.1</v>
      </c>
      <c r="F3369" s="3">
        <f>IFERROR(__xludf.DUMMYFUNCTION("""COMPUTED_VALUE"""),0.0)</f>
        <v>0</v>
      </c>
    </row>
    <row r="3370">
      <c r="A3370" s="7">
        <f>IFERROR(__xludf.DUMMYFUNCTION("""COMPUTED_VALUE"""),41712.645833333336)</f>
        <v>41712.64583</v>
      </c>
      <c r="B3370" s="3">
        <f>IFERROR(__xludf.DUMMYFUNCTION("""COMPUTED_VALUE"""),6447.25)</f>
        <v>6447.25</v>
      </c>
      <c r="C3370" s="3">
        <f>IFERROR(__xludf.DUMMYFUNCTION("""COMPUTED_VALUE"""),6518.45)</f>
        <v>6518.45</v>
      </c>
      <c r="D3370" s="3">
        <f>IFERROR(__xludf.DUMMYFUNCTION("""COMPUTED_VALUE"""),6432.7)</f>
        <v>6432.7</v>
      </c>
      <c r="E3370" s="3">
        <f>IFERROR(__xludf.DUMMYFUNCTION("""COMPUTED_VALUE"""),6504.2)</f>
        <v>6504.2</v>
      </c>
      <c r="F3370" s="3">
        <f>IFERROR(__xludf.DUMMYFUNCTION("""COMPUTED_VALUE"""),0.0)</f>
        <v>0</v>
      </c>
    </row>
    <row r="3371">
      <c r="A3371" s="7">
        <f>IFERROR(__xludf.DUMMYFUNCTION("""COMPUTED_VALUE"""),41716.645833333336)</f>
        <v>41716.64583</v>
      </c>
      <c r="B3371" s="3">
        <f>IFERROR(__xludf.DUMMYFUNCTION("""COMPUTED_VALUE"""),6532.45)</f>
        <v>6532.45</v>
      </c>
      <c r="C3371" s="3">
        <f>IFERROR(__xludf.DUMMYFUNCTION("""COMPUTED_VALUE"""),6574.95)</f>
        <v>6574.95</v>
      </c>
      <c r="D3371" s="3">
        <f>IFERROR(__xludf.DUMMYFUNCTION("""COMPUTED_VALUE"""),6497.65)</f>
        <v>6497.65</v>
      </c>
      <c r="E3371" s="3">
        <f>IFERROR(__xludf.DUMMYFUNCTION("""COMPUTED_VALUE"""),6516.65)</f>
        <v>6516.65</v>
      </c>
      <c r="F3371" s="3">
        <f>IFERROR(__xludf.DUMMYFUNCTION("""COMPUTED_VALUE"""),0.0)</f>
        <v>0</v>
      </c>
    </row>
    <row r="3372">
      <c r="A3372" s="7">
        <f>IFERROR(__xludf.DUMMYFUNCTION("""COMPUTED_VALUE"""),41717.645833333336)</f>
        <v>41717.64583</v>
      </c>
      <c r="B3372" s="3">
        <f>IFERROR(__xludf.DUMMYFUNCTION("""COMPUTED_VALUE"""),6530.0)</f>
        <v>6530</v>
      </c>
      <c r="C3372" s="3">
        <f>IFERROR(__xludf.DUMMYFUNCTION("""COMPUTED_VALUE"""),6541.2)</f>
        <v>6541.2</v>
      </c>
      <c r="D3372" s="3">
        <f>IFERROR(__xludf.DUMMYFUNCTION("""COMPUTED_VALUE"""),6506.0)</f>
        <v>6506</v>
      </c>
      <c r="E3372" s="3">
        <f>IFERROR(__xludf.DUMMYFUNCTION("""COMPUTED_VALUE"""),6524.05)</f>
        <v>6524.05</v>
      </c>
      <c r="F3372" s="3">
        <f>IFERROR(__xludf.DUMMYFUNCTION("""COMPUTED_VALUE"""),0.0)</f>
        <v>0</v>
      </c>
    </row>
    <row r="3373">
      <c r="A3373" s="7">
        <f>IFERROR(__xludf.DUMMYFUNCTION("""COMPUTED_VALUE"""),41718.645833333336)</f>
        <v>41718.64583</v>
      </c>
      <c r="B3373" s="3">
        <f>IFERROR(__xludf.DUMMYFUNCTION("""COMPUTED_VALUE"""),6508.35)</f>
        <v>6508.35</v>
      </c>
      <c r="C3373" s="3">
        <f>IFERROR(__xludf.DUMMYFUNCTION("""COMPUTED_VALUE"""),6523.65)</f>
        <v>6523.65</v>
      </c>
      <c r="D3373" s="3">
        <f>IFERROR(__xludf.DUMMYFUNCTION("""COMPUTED_VALUE"""),6473.25)</f>
        <v>6473.25</v>
      </c>
      <c r="E3373" s="3">
        <f>IFERROR(__xludf.DUMMYFUNCTION("""COMPUTED_VALUE"""),6483.1)</f>
        <v>6483.1</v>
      </c>
      <c r="F3373" s="3">
        <f>IFERROR(__xludf.DUMMYFUNCTION("""COMPUTED_VALUE"""),0.0)</f>
        <v>0</v>
      </c>
    </row>
    <row r="3374">
      <c r="A3374" s="7">
        <f>IFERROR(__xludf.DUMMYFUNCTION("""COMPUTED_VALUE"""),41719.645833333336)</f>
        <v>41719.64583</v>
      </c>
      <c r="B3374" s="3">
        <f>IFERROR(__xludf.DUMMYFUNCTION("""COMPUTED_VALUE"""),6515.2)</f>
        <v>6515.2</v>
      </c>
      <c r="C3374" s="3">
        <f>IFERROR(__xludf.DUMMYFUNCTION("""COMPUTED_VALUE"""),6522.9)</f>
        <v>6522.9</v>
      </c>
      <c r="D3374" s="3">
        <f>IFERROR(__xludf.DUMMYFUNCTION("""COMPUTED_VALUE"""),6485.7)</f>
        <v>6485.7</v>
      </c>
      <c r="E3374" s="3">
        <f>IFERROR(__xludf.DUMMYFUNCTION("""COMPUTED_VALUE"""),6493.2)</f>
        <v>6493.2</v>
      </c>
      <c r="F3374" s="3">
        <f>IFERROR(__xludf.DUMMYFUNCTION("""COMPUTED_VALUE"""),0.0)</f>
        <v>0</v>
      </c>
    </row>
    <row r="3375">
      <c r="A3375" s="7">
        <f>IFERROR(__xludf.DUMMYFUNCTION("""COMPUTED_VALUE"""),41722.645833333336)</f>
        <v>41722.64583</v>
      </c>
      <c r="B3375" s="3">
        <f>IFERROR(__xludf.DUMMYFUNCTION("""COMPUTED_VALUE"""),6510.5)</f>
        <v>6510.5</v>
      </c>
      <c r="C3375" s="3">
        <f>IFERROR(__xludf.DUMMYFUNCTION("""COMPUTED_VALUE"""),6591.5)</f>
        <v>6591.5</v>
      </c>
      <c r="D3375" s="3">
        <f>IFERROR(__xludf.DUMMYFUNCTION("""COMPUTED_VALUE"""),6510.5)</f>
        <v>6510.5</v>
      </c>
      <c r="E3375" s="3">
        <f>IFERROR(__xludf.DUMMYFUNCTION("""COMPUTED_VALUE"""),6583.5)</f>
        <v>6583.5</v>
      </c>
      <c r="F3375" s="3">
        <f>IFERROR(__xludf.DUMMYFUNCTION("""COMPUTED_VALUE"""),0.0)</f>
        <v>0</v>
      </c>
    </row>
    <row r="3376">
      <c r="A3376" s="7">
        <f>IFERROR(__xludf.DUMMYFUNCTION("""COMPUTED_VALUE"""),41723.645833333336)</f>
        <v>41723.64583</v>
      </c>
      <c r="B3376" s="3">
        <f>IFERROR(__xludf.DUMMYFUNCTION("""COMPUTED_VALUE"""),6550.1)</f>
        <v>6550.1</v>
      </c>
      <c r="C3376" s="3">
        <f>IFERROR(__xludf.DUMMYFUNCTION("""COMPUTED_VALUE"""),6595.55)</f>
        <v>6595.55</v>
      </c>
      <c r="D3376" s="3">
        <f>IFERROR(__xludf.DUMMYFUNCTION("""COMPUTED_VALUE"""),6544.85)</f>
        <v>6544.85</v>
      </c>
      <c r="E3376" s="3">
        <f>IFERROR(__xludf.DUMMYFUNCTION("""COMPUTED_VALUE"""),6589.75)</f>
        <v>6589.75</v>
      </c>
      <c r="F3376" s="3">
        <f>IFERROR(__xludf.DUMMYFUNCTION("""COMPUTED_VALUE"""),0.0)</f>
        <v>0</v>
      </c>
    </row>
    <row r="3377">
      <c r="A3377" s="7">
        <f>IFERROR(__xludf.DUMMYFUNCTION("""COMPUTED_VALUE"""),41724.645833333336)</f>
        <v>41724.64583</v>
      </c>
      <c r="B3377" s="3">
        <f>IFERROR(__xludf.DUMMYFUNCTION("""COMPUTED_VALUE"""),6615.65)</f>
        <v>6615.65</v>
      </c>
      <c r="C3377" s="3">
        <f>IFERROR(__xludf.DUMMYFUNCTION("""COMPUTED_VALUE"""),6627.45)</f>
        <v>6627.45</v>
      </c>
      <c r="D3377" s="3">
        <f>IFERROR(__xludf.DUMMYFUNCTION("""COMPUTED_VALUE"""),6580.6)</f>
        <v>6580.6</v>
      </c>
      <c r="E3377" s="3">
        <f>IFERROR(__xludf.DUMMYFUNCTION("""COMPUTED_VALUE"""),6601.4)</f>
        <v>6601.4</v>
      </c>
      <c r="F3377" s="3">
        <f>IFERROR(__xludf.DUMMYFUNCTION("""COMPUTED_VALUE"""),0.0)</f>
        <v>0</v>
      </c>
    </row>
    <row r="3378">
      <c r="A3378" s="7">
        <f>IFERROR(__xludf.DUMMYFUNCTION("""COMPUTED_VALUE"""),41725.645833333336)</f>
        <v>41725.64583</v>
      </c>
      <c r="B3378" s="3">
        <f>IFERROR(__xludf.DUMMYFUNCTION("""COMPUTED_VALUE"""),6613.1)</f>
        <v>6613.1</v>
      </c>
      <c r="C3378" s="3">
        <f>IFERROR(__xludf.DUMMYFUNCTION("""COMPUTED_VALUE"""),6673.95)</f>
        <v>6673.95</v>
      </c>
      <c r="D3378" s="3">
        <f>IFERROR(__xludf.DUMMYFUNCTION("""COMPUTED_VALUE"""),6599.5)</f>
        <v>6599.5</v>
      </c>
      <c r="E3378" s="3">
        <f>IFERROR(__xludf.DUMMYFUNCTION("""COMPUTED_VALUE"""),6641.75)</f>
        <v>6641.75</v>
      </c>
      <c r="F3378" s="3">
        <f>IFERROR(__xludf.DUMMYFUNCTION("""COMPUTED_VALUE"""),0.0)</f>
        <v>0</v>
      </c>
    </row>
    <row r="3379">
      <c r="A3379" s="7">
        <f>IFERROR(__xludf.DUMMYFUNCTION("""COMPUTED_VALUE"""),41726.645833333336)</f>
        <v>41726.64583</v>
      </c>
      <c r="B3379" s="3">
        <f>IFERROR(__xludf.DUMMYFUNCTION("""COMPUTED_VALUE"""),6673.05)</f>
        <v>6673.05</v>
      </c>
      <c r="C3379" s="3">
        <f>IFERROR(__xludf.DUMMYFUNCTION("""COMPUTED_VALUE"""),6702.6)</f>
        <v>6702.6</v>
      </c>
      <c r="D3379" s="3">
        <f>IFERROR(__xludf.DUMMYFUNCTION("""COMPUTED_VALUE"""),6643.8)</f>
        <v>6643.8</v>
      </c>
      <c r="E3379" s="3">
        <f>IFERROR(__xludf.DUMMYFUNCTION("""COMPUTED_VALUE"""),6695.9)</f>
        <v>6695.9</v>
      </c>
      <c r="F3379" s="3">
        <f>IFERROR(__xludf.DUMMYFUNCTION("""COMPUTED_VALUE"""),0.0)</f>
        <v>0</v>
      </c>
    </row>
    <row r="3380">
      <c r="A3380" s="7">
        <f>IFERROR(__xludf.DUMMYFUNCTION("""COMPUTED_VALUE"""),41729.645833333336)</f>
        <v>41729.64583</v>
      </c>
      <c r="B3380" s="3">
        <f>IFERROR(__xludf.DUMMYFUNCTION("""COMPUTED_VALUE"""),6723.15)</f>
        <v>6723.15</v>
      </c>
      <c r="C3380" s="3">
        <f>IFERROR(__xludf.DUMMYFUNCTION("""COMPUTED_VALUE"""),6730.05)</f>
        <v>6730.05</v>
      </c>
      <c r="D3380" s="3">
        <f>IFERROR(__xludf.DUMMYFUNCTION("""COMPUTED_VALUE"""),6662.4)</f>
        <v>6662.4</v>
      </c>
      <c r="E3380" s="3">
        <f>IFERROR(__xludf.DUMMYFUNCTION("""COMPUTED_VALUE"""),6704.2)</f>
        <v>6704.2</v>
      </c>
      <c r="F3380" s="3">
        <f>IFERROR(__xludf.DUMMYFUNCTION("""COMPUTED_VALUE"""),0.0)</f>
        <v>0</v>
      </c>
    </row>
    <row r="3381">
      <c r="A3381" s="7">
        <f>IFERROR(__xludf.DUMMYFUNCTION("""COMPUTED_VALUE"""),41730.645833333336)</f>
        <v>41730.64583</v>
      </c>
      <c r="B3381" s="3">
        <f>IFERROR(__xludf.DUMMYFUNCTION("""COMPUTED_VALUE"""),6729.5)</f>
        <v>6729.5</v>
      </c>
      <c r="C3381" s="3">
        <f>IFERROR(__xludf.DUMMYFUNCTION("""COMPUTED_VALUE"""),6732.25)</f>
        <v>6732.25</v>
      </c>
      <c r="D3381" s="3">
        <f>IFERROR(__xludf.DUMMYFUNCTION("""COMPUTED_VALUE"""),6675.45)</f>
        <v>6675.45</v>
      </c>
      <c r="E3381" s="3">
        <f>IFERROR(__xludf.DUMMYFUNCTION("""COMPUTED_VALUE"""),6721.05)</f>
        <v>6721.05</v>
      </c>
      <c r="F3381" s="3">
        <f>IFERROR(__xludf.DUMMYFUNCTION("""COMPUTED_VALUE"""),0.0)</f>
        <v>0</v>
      </c>
    </row>
    <row r="3382">
      <c r="A3382" s="7">
        <f>IFERROR(__xludf.DUMMYFUNCTION("""COMPUTED_VALUE"""),41731.645833333336)</f>
        <v>41731.64583</v>
      </c>
      <c r="B3382" s="3">
        <f>IFERROR(__xludf.DUMMYFUNCTION("""COMPUTED_VALUE"""),6757.6)</f>
        <v>6757.6</v>
      </c>
      <c r="C3382" s="3">
        <f>IFERROR(__xludf.DUMMYFUNCTION("""COMPUTED_VALUE"""),6763.5)</f>
        <v>6763.5</v>
      </c>
      <c r="D3382" s="3">
        <f>IFERROR(__xludf.DUMMYFUNCTION("""COMPUTED_VALUE"""),6723.6)</f>
        <v>6723.6</v>
      </c>
      <c r="E3382" s="3">
        <f>IFERROR(__xludf.DUMMYFUNCTION("""COMPUTED_VALUE"""),6752.55)</f>
        <v>6752.55</v>
      </c>
      <c r="F3382" s="3">
        <f>IFERROR(__xludf.DUMMYFUNCTION("""COMPUTED_VALUE"""),0.0)</f>
        <v>0</v>
      </c>
    </row>
    <row r="3383">
      <c r="A3383" s="7">
        <f>IFERROR(__xludf.DUMMYFUNCTION("""COMPUTED_VALUE"""),41732.645833333336)</f>
        <v>41732.64583</v>
      </c>
      <c r="B3383" s="3">
        <f>IFERROR(__xludf.DUMMYFUNCTION("""COMPUTED_VALUE"""),6772.05)</f>
        <v>6772.05</v>
      </c>
      <c r="C3383" s="3">
        <f>IFERROR(__xludf.DUMMYFUNCTION("""COMPUTED_VALUE"""),6776.75)</f>
        <v>6776.75</v>
      </c>
      <c r="D3383" s="3">
        <f>IFERROR(__xludf.DUMMYFUNCTION("""COMPUTED_VALUE"""),6696.9)</f>
        <v>6696.9</v>
      </c>
      <c r="E3383" s="3">
        <f>IFERROR(__xludf.DUMMYFUNCTION("""COMPUTED_VALUE"""),6736.1)</f>
        <v>6736.1</v>
      </c>
      <c r="F3383" s="3">
        <f>IFERROR(__xludf.DUMMYFUNCTION("""COMPUTED_VALUE"""),0.0)</f>
        <v>0</v>
      </c>
    </row>
    <row r="3384">
      <c r="A3384" s="7">
        <f>IFERROR(__xludf.DUMMYFUNCTION("""COMPUTED_VALUE"""),41733.645833333336)</f>
        <v>41733.64583</v>
      </c>
      <c r="B3384" s="3">
        <f>IFERROR(__xludf.DUMMYFUNCTION("""COMPUTED_VALUE"""),6741.85)</f>
        <v>6741.85</v>
      </c>
      <c r="C3384" s="3">
        <f>IFERROR(__xludf.DUMMYFUNCTION("""COMPUTED_VALUE"""),6741.85)</f>
        <v>6741.85</v>
      </c>
      <c r="D3384" s="3">
        <f>IFERROR(__xludf.DUMMYFUNCTION("""COMPUTED_VALUE"""),6685.15)</f>
        <v>6685.15</v>
      </c>
      <c r="E3384" s="3">
        <f>IFERROR(__xludf.DUMMYFUNCTION("""COMPUTED_VALUE"""),6694.35)</f>
        <v>6694.35</v>
      </c>
      <c r="F3384" s="3">
        <f>IFERROR(__xludf.DUMMYFUNCTION("""COMPUTED_VALUE"""),0.0)</f>
        <v>0</v>
      </c>
    </row>
    <row r="3385">
      <c r="A3385" s="7">
        <f>IFERROR(__xludf.DUMMYFUNCTION("""COMPUTED_VALUE"""),41736.645833333336)</f>
        <v>41736.64583</v>
      </c>
      <c r="B3385" s="3">
        <f>IFERROR(__xludf.DUMMYFUNCTION("""COMPUTED_VALUE"""),6694.25)</f>
        <v>6694.25</v>
      </c>
      <c r="C3385" s="3">
        <f>IFERROR(__xludf.DUMMYFUNCTION("""COMPUTED_VALUE"""),6725.15)</f>
        <v>6725.15</v>
      </c>
      <c r="D3385" s="3">
        <f>IFERROR(__xludf.DUMMYFUNCTION("""COMPUTED_VALUE"""),6650.4)</f>
        <v>6650.4</v>
      </c>
      <c r="E3385" s="3">
        <f>IFERROR(__xludf.DUMMYFUNCTION("""COMPUTED_VALUE"""),6695.05)</f>
        <v>6695.05</v>
      </c>
      <c r="F3385" s="3">
        <f>IFERROR(__xludf.DUMMYFUNCTION("""COMPUTED_VALUE"""),0.0)</f>
        <v>0</v>
      </c>
    </row>
    <row r="3386">
      <c r="A3386" s="7">
        <f>IFERROR(__xludf.DUMMYFUNCTION("""COMPUTED_VALUE"""),41738.645833333336)</f>
        <v>41738.64583</v>
      </c>
      <c r="B3386" s="3">
        <f>IFERROR(__xludf.DUMMYFUNCTION("""COMPUTED_VALUE"""),6722.0)</f>
        <v>6722</v>
      </c>
      <c r="C3386" s="3">
        <f>IFERROR(__xludf.DUMMYFUNCTION("""COMPUTED_VALUE"""),6808.7)</f>
        <v>6808.7</v>
      </c>
      <c r="D3386" s="3">
        <f>IFERROR(__xludf.DUMMYFUNCTION("""COMPUTED_VALUE"""),6705.1)</f>
        <v>6705.1</v>
      </c>
      <c r="E3386" s="3">
        <f>IFERROR(__xludf.DUMMYFUNCTION("""COMPUTED_VALUE"""),6796.2)</f>
        <v>6796.2</v>
      </c>
      <c r="F3386" s="3">
        <f>IFERROR(__xludf.DUMMYFUNCTION("""COMPUTED_VALUE"""),0.0)</f>
        <v>0</v>
      </c>
    </row>
    <row r="3387">
      <c r="A3387" s="7">
        <f>IFERROR(__xludf.DUMMYFUNCTION("""COMPUTED_VALUE"""),41739.645833333336)</f>
        <v>41739.64583</v>
      </c>
      <c r="B3387" s="3">
        <f>IFERROR(__xludf.DUMMYFUNCTION("""COMPUTED_VALUE"""),6803.05)</f>
        <v>6803.05</v>
      </c>
      <c r="C3387" s="3">
        <f>IFERROR(__xludf.DUMMYFUNCTION("""COMPUTED_VALUE"""),6819.05)</f>
        <v>6819.05</v>
      </c>
      <c r="D3387" s="3">
        <f>IFERROR(__xludf.DUMMYFUNCTION("""COMPUTED_VALUE"""),6777.3)</f>
        <v>6777.3</v>
      </c>
      <c r="E3387" s="3">
        <f>IFERROR(__xludf.DUMMYFUNCTION("""COMPUTED_VALUE"""),6796.4)</f>
        <v>6796.4</v>
      </c>
      <c r="F3387" s="3">
        <f>IFERROR(__xludf.DUMMYFUNCTION("""COMPUTED_VALUE"""),0.0)</f>
        <v>0</v>
      </c>
    </row>
    <row r="3388">
      <c r="A3388" s="7">
        <f>IFERROR(__xludf.DUMMYFUNCTION("""COMPUTED_VALUE"""),41740.645833333336)</f>
        <v>41740.64583</v>
      </c>
      <c r="B3388" s="3">
        <f>IFERROR(__xludf.DUMMYFUNCTION("""COMPUTED_VALUE"""),6758.35)</f>
        <v>6758.35</v>
      </c>
      <c r="C3388" s="3">
        <f>IFERROR(__xludf.DUMMYFUNCTION("""COMPUTED_VALUE"""),6789.35)</f>
        <v>6789.35</v>
      </c>
      <c r="D3388" s="3">
        <f>IFERROR(__xludf.DUMMYFUNCTION("""COMPUTED_VALUE"""),6743.15)</f>
        <v>6743.15</v>
      </c>
      <c r="E3388" s="3">
        <f>IFERROR(__xludf.DUMMYFUNCTION("""COMPUTED_VALUE"""),6776.3)</f>
        <v>6776.3</v>
      </c>
      <c r="F3388" s="3">
        <f>IFERROR(__xludf.DUMMYFUNCTION("""COMPUTED_VALUE"""),0.0)</f>
        <v>0</v>
      </c>
    </row>
    <row r="3389">
      <c r="A3389" s="7">
        <f>IFERROR(__xludf.DUMMYFUNCTION("""COMPUTED_VALUE"""),41744.645833333336)</f>
        <v>41744.64583</v>
      </c>
      <c r="B3389" s="3">
        <f>IFERROR(__xludf.DUMMYFUNCTION("""COMPUTED_VALUE"""),6792.7)</f>
        <v>6792.7</v>
      </c>
      <c r="C3389" s="3">
        <f>IFERROR(__xludf.DUMMYFUNCTION("""COMPUTED_VALUE"""),6813.4)</f>
        <v>6813.4</v>
      </c>
      <c r="D3389" s="3">
        <f>IFERROR(__xludf.DUMMYFUNCTION("""COMPUTED_VALUE"""),6711.75)</f>
        <v>6711.75</v>
      </c>
      <c r="E3389" s="3">
        <f>IFERROR(__xludf.DUMMYFUNCTION("""COMPUTED_VALUE"""),6733.1)</f>
        <v>6733.1</v>
      </c>
      <c r="F3389" s="3">
        <f>IFERROR(__xludf.DUMMYFUNCTION("""COMPUTED_VALUE"""),0.0)</f>
        <v>0</v>
      </c>
    </row>
    <row r="3390">
      <c r="A3390" s="7">
        <f>IFERROR(__xludf.DUMMYFUNCTION("""COMPUTED_VALUE"""),41745.645833333336)</f>
        <v>41745.64583</v>
      </c>
      <c r="B3390" s="3">
        <f>IFERROR(__xludf.DUMMYFUNCTION("""COMPUTED_VALUE"""),6727.25)</f>
        <v>6727.25</v>
      </c>
      <c r="C3390" s="3">
        <f>IFERROR(__xludf.DUMMYFUNCTION("""COMPUTED_VALUE"""),6748.65)</f>
        <v>6748.65</v>
      </c>
      <c r="D3390" s="3">
        <f>IFERROR(__xludf.DUMMYFUNCTION("""COMPUTED_VALUE"""),6665.15)</f>
        <v>6665.15</v>
      </c>
      <c r="E3390" s="3">
        <f>IFERROR(__xludf.DUMMYFUNCTION("""COMPUTED_VALUE"""),6675.3)</f>
        <v>6675.3</v>
      </c>
      <c r="F3390" s="3">
        <f>IFERROR(__xludf.DUMMYFUNCTION("""COMPUTED_VALUE"""),0.0)</f>
        <v>0</v>
      </c>
    </row>
    <row r="3391">
      <c r="A3391" s="7">
        <f>IFERROR(__xludf.DUMMYFUNCTION("""COMPUTED_VALUE"""),41746.645833333336)</f>
        <v>41746.64583</v>
      </c>
      <c r="B3391" s="3">
        <f>IFERROR(__xludf.DUMMYFUNCTION("""COMPUTED_VALUE"""),6695.45)</f>
        <v>6695.45</v>
      </c>
      <c r="C3391" s="3">
        <f>IFERROR(__xludf.DUMMYFUNCTION("""COMPUTED_VALUE"""),6783.05)</f>
        <v>6783.05</v>
      </c>
      <c r="D3391" s="3">
        <f>IFERROR(__xludf.DUMMYFUNCTION("""COMPUTED_VALUE"""),6684.4)</f>
        <v>6684.4</v>
      </c>
      <c r="E3391" s="3">
        <f>IFERROR(__xludf.DUMMYFUNCTION("""COMPUTED_VALUE"""),6779.4)</f>
        <v>6779.4</v>
      </c>
      <c r="F3391" s="3">
        <f>IFERROR(__xludf.DUMMYFUNCTION("""COMPUTED_VALUE"""),0.0)</f>
        <v>0</v>
      </c>
    </row>
    <row r="3392">
      <c r="A3392" s="7">
        <f>IFERROR(__xludf.DUMMYFUNCTION("""COMPUTED_VALUE"""),41750.645833333336)</f>
        <v>41750.64583</v>
      </c>
      <c r="B3392" s="3">
        <f>IFERROR(__xludf.DUMMYFUNCTION("""COMPUTED_VALUE"""),6789.25)</f>
        <v>6789.25</v>
      </c>
      <c r="C3392" s="3">
        <f>IFERROR(__xludf.DUMMYFUNCTION("""COMPUTED_VALUE"""),6825.45)</f>
        <v>6825.45</v>
      </c>
      <c r="D3392" s="3">
        <f>IFERROR(__xludf.DUMMYFUNCTION("""COMPUTED_VALUE"""),6786.9)</f>
        <v>6786.9</v>
      </c>
      <c r="E3392" s="3">
        <f>IFERROR(__xludf.DUMMYFUNCTION("""COMPUTED_VALUE"""),6817.65)</f>
        <v>6817.65</v>
      </c>
      <c r="F3392" s="3">
        <f>IFERROR(__xludf.DUMMYFUNCTION("""COMPUTED_VALUE"""),0.0)</f>
        <v>0</v>
      </c>
    </row>
    <row r="3393">
      <c r="A3393" s="7">
        <f>IFERROR(__xludf.DUMMYFUNCTION("""COMPUTED_VALUE"""),41751.645833333336)</f>
        <v>41751.64583</v>
      </c>
      <c r="B3393" s="3">
        <f>IFERROR(__xludf.DUMMYFUNCTION("""COMPUTED_VALUE"""),6822.9)</f>
        <v>6822.9</v>
      </c>
      <c r="C3393" s="3">
        <f>IFERROR(__xludf.DUMMYFUNCTION("""COMPUTED_VALUE"""),6838.0)</f>
        <v>6838</v>
      </c>
      <c r="D3393" s="3">
        <f>IFERROR(__xludf.DUMMYFUNCTION("""COMPUTED_VALUE"""),6806.25)</f>
        <v>6806.25</v>
      </c>
      <c r="E3393" s="3">
        <f>IFERROR(__xludf.DUMMYFUNCTION("""COMPUTED_VALUE"""),6815.35)</f>
        <v>6815.35</v>
      </c>
      <c r="F3393" s="3">
        <f>IFERROR(__xludf.DUMMYFUNCTION("""COMPUTED_VALUE"""),0.0)</f>
        <v>0</v>
      </c>
    </row>
    <row r="3394">
      <c r="A3394" s="7">
        <f>IFERROR(__xludf.DUMMYFUNCTION("""COMPUTED_VALUE"""),41752.645833333336)</f>
        <v>41752.64583</v>
      </c>
      <c r="B3394" s="3">
        <f>IFERROR(__xludf.DUMMYFUNCTION("""COMPUTED_VALUE"""),6823.25)</f>
        <v>6823.25</v>
      </c>
      <c r="C3394" s="3">
        <f>IFERROR(__xludf.DUMMYFUNCTION("""COMPUTED_VALUE"""),6861.6)</f>
        <v>6861.6</v>
      </c>
      <c r="D3394" s="3">
        <f>IFERROR(__xludf.DUMMYFUNCTION("""COMPUTED_VALUE"""),6820.75)</f>
        <v>6820.75</v>
      </c>
      <c r="E3394" s="3">
        <f>IFERROR(__xludf.DUMMYFUNCTION("""COMPUTED_VALUE"""),6840.8)</f>
        <v>6840.8</v>
      </c>
      <c r="F3394" s="3">
        <f>IFERROR(__xludf.DUMMYFUNCTION("""COMPUTED_VALUE"""),0.0)</f>
        <v>0</v>
      </c>
    </row>
    <row r="3395">
      <c r="A3395" s="7">
        <f>IFERROR(__xludf.DUMMYFUNCTION("""COMPUTED_VALUE"""),41754.645833333336)</f>
        <v>41754.64583</v>
      </c>
      <c r="B3395" s="3">
        <f>IFERROR(__xludf.DUMMYFUNCTION("""COMPUTED_VALUE"""),6855.8)</f>
        <v>6855.8</v>
      </c>
      <c r="C3395" s="3">
        <f>IFERROR(__xludf.DUMMYFUNCTION("""COMPUTED_VALUE"""),6869.85)</f>
        <v>6869.85</v>
      </c>
      <c r="D3395" s="3">
        <f>IFERROR(__xludf.DUMMYFUNCTION("""COMPUTED_VALUE"""),6772.85)</f>
        <v>6772.85</v>
      </c>
      <c r="E3395" s="3">
        <f>IFERROR(__xludf.DUMMYFUNCTION("""COMPUTED_VALUE"""),6782.75)</f>
        <v>6782.75</v>
      </c>
      <c r="F3395" s="3">
        <f>IFERROR(__xludf.DUMMYFUNCTION("""COMPUTED_VALUE"""),0.0)</f>
        <v>0</v>
      </c>
    </row>
    <row r="3396">
      <c r="A3396" s="7">
        <f>IFERROR(__xludf.DUMMYFUNCTION("""COMPUTED_VALUE"""),41757.645833333336)</f>
        <v>41757.64583</v>
      </c>
      <c r="B3396" s="3">
        <f>IFERROR(__xludf.DUMMYFUNCTION("""COMPUTED_VALUE"""),6778.55)</f>
        <v>6778.55</v>
      </c>
      <c r="C3396" s="3">
        <f>IFERROR(__xludf.DUMMYFUNCTION("""COMPUTED_VALUE"""),6786.25)</f>
        <v>6786.25</v>
      </c>
      <c r="D3396" s="3">
        <f>IFERROR(__xludf.DUMMYFUNCTION("""COMPUTED_VALUE"""),6750.3)</f>
        <v>6750.3</v>
      </c>
      <c r="E3396" s="3">
        <f>IFERROR(__xludf.DUMMYFUNCTION("""COMPUTED_VALUE"""),6761.25)</f>
        <v>6761.25</v>
      </c>
      <c r="F3396" s="3">
        <f>IFERROR(__xludf.DUMMYFUNCTION("""COMPUTED_VALUE"""),0.0)</f>
        <v>0</v>
      </c>
    </row>
    <row r="3397">
      <c r="A3397" s="7">
        <f>IFERROR(__xludf.DUMMYFUNCTION("""COMPUTED_VALUE"""),41758.645833333336)</f>
        <v>41758.64583</v>
      </c>
      <c r="B3397" s="3">
        <f>IFERROR(__xludf.DUMMYFUNCTION("""COMPUTED_VALUE"""),6769.0)</f>
        <v>6769</v>
      </c>
      <c r="C3397" s="3">
        <f>IFERROR(__xludf.DUMMYFUNCTION("""COMPUTED_VALUE"""),6779.7)</f>
        <v>6779.7</v>
      </c>
      <c r="D3397" s="3">
        <f>IFERROR(__xludf.DUMMYFUNCTION("""COMPUTED_VALUE"""),6708.65)</f>
        <v>6708.65</v>
      </c>
      <c r="E3397" s="3">
        <f>IFERROR(__xludf.DUMMYFUNCTION("""COMPUTED_VALUE"""),6715.25)</f>
        <v>6715.25</v>
      </c>
      <c r="F3397" s="3">
        <f>IFERROR(__xludf.DUMMYFUNCTION("""COMPUTED_VALUE"""),0.0)</f>
        <v>0</v>
      </c>
    </row>
    <row r="3398">
      <c r="A3398" s="7">
        <f>IFERROR(__xludf.DUMMYFUNCTION("""COMPUTED_VALUE"""),41759.645833333336)</f>
        <v>41759.64583</v>
      </c>
      <c r="B3398" s="3">
        <f>IFERROR(__xludf.DUMMYFUNCTION("""COMPUTED_VALUE"""),6724.95)</f>
        <v>6724.95</v>
      </c>
      <c r="C3398" s="3">
        <f>IFERROR(__xludf.DUMMYFUNCTION("""COMPUTED_VALUE"""),6780.15)</f>
        <v>6780.15</v>
      </c>
      <c r="D3398" s="3">
        <f>IFERROR(__xludf.DUMMYFUNCTION("""COMPUTED_VALUE"""),6656.8)</f>
        <v>6656.8</v>
      </c>
      <c r="E3398" s="3">
        <f>IFERROR(__xludf.DUMMYFUNCTION("""COMPUTED_VALUE"""),6696.4)</f>
        <v>6696.4</v>
      </c>
      <c r="F3398" s="3">
        <f>IFERROR(__xludf.DUMMYFUNCTION("""COMPUTED_VALUE"""),0.0)</f>
        <v>0</v>
      </c>
    </row>
    <row r="3399">
      <c r="A3399" s="7">
        <f>IFERROR(__xludf.DUMMYFUNCTION("""COMPUTED_VALUE"""),41761.645833333336)</f>
        <v>41761.64583</v>
      </c>
      <c r="B3399" s="3">
        <f>IFERROR(__xludf.DUMMYFUNCTION("""COMPUTED_VALUE"""),6709.95)</f>
        <v>6709.95</v>
      </c>
      <c r="C3399" s="3">
        <f>IFERROR(__xludf.DUMMYFUNCTION("""COMPUTED_VALUE"""),6737.65)</f>
        <v>6737.65</v>
      </c>
      <c r="D3399" s="3">
        <f>IFERROR(__xludf.DUMMYFUNCTION("""COMPUTED_VALUE"""),6689.5)</f>
        <v>6689.5</v>
      </c>
      <c r="E3399" s="3">
        <f>IFERROR(__xludf.DUMMYFUNCTION("""COMPUTED_VALUE"""),6694.8)</f>
        <v>6694.8</v>
      </c>
      <c r="F3399" s="3">
        <f>IFERROR(__xludf.DUMMYFUNCTION("""COMPUTED_VALUE"""),0.0)</f>
        <v>0</v>
      </c>
    </row>
    <row r="3400">
      <c r="A3400" s="7">
        <f>IFERROR(__xludf.DUMMYFUNCTION("""COMPUTED_VALUE"""),41764.645833333336)</f>
        <v>41764.64583</v>
      </c>
      <c r="B3400" s="3">
        <f>IFERROR(__xludf.DUMMYFUNCTION("""COMPUTED_VALUE"""),6681.65)</f>
        <v>6681.65</v>
      </c>
      <c r="C3400" s="3">
        <f>IFERROR(__xludf.DUMMYFUNCTION("""COMPUTED_VALUE"""),6741.05)</f>
        <v>6741.05</v>
      </c>
      <c r="D3400" s="3">
        <f>IFERROR(__xludf.DUMMYFUNCTION("""COMPUTED_VALUE"""),6680.45)</f>
        <v>6680.45</v>
      </c>
      <c r="E3400" s="3">
        <f>IFERROR(__xludf.DUMMYFUNCTION("""COMPUTED_VALUE"""),6699.35)</f>
        <v>6699.35</v>
      </c>
      <c r="F3400" s="3">
        <f>IFERROR(__xludf.DUMMYFUNCTION("""COMPUTED_VALUE"""),0.0)</f>
        <v>0</v>
      </c>
    </row>
    <row r="3401">
      <c r="A3401" s="7">
        <f>IFERROR(__xludf.DUMMYFUNCTION("""COMPUTED_VALUE"""),41765.645833333336)</f>
        <v>41765.64583</v>
      </c>
      <c r="B3401" s="3">
        <f>IFERROR(__xludf.DUMMYFUNCTION("""COMPUTED_VALUE"""),6719.25)</f>
        <v>6719.25</v>
      </c>
      <c r="C3401" s="3">
        <f>IFERROR(__xludf.DUMMYFUNCTION("""COMPUTED_VALUE"""),6743.45)</f>
        <v>6743.45</v>
      </c>
      <c r="D3401" s="3">
        <f>IFERROR(__xludf.DUMMYFUNCTION("""COMPUTED_VALUE"""),6701.9)</f>
        <v>6701.9</v>
      </c>
      <c r="E3401" s="3">
        <f>IFERROR(__xludf.DUMMYFUNCTION("""COMPUTED_VALUE"""),6715.3)</f>
        <v>6715.3</v>
      </c>
      <c r="F3401" s="3">
        <f>IFERROR(__xludf.DUMMYFUNCTION("""COMPUTED_VALUE"""),0.0)</f>
        <v>0</v>
      </c>
    </row>
    <row r="3402">
      <c r="A3402" s="7">
        <f>IFERROR(__xludf.DUMMYFUNCTION("""COMPUTED_VALUE"""),41766.645833333336)</f>
        <v>41766.64583</v>
      </c>
      <c r="B3402" s="3">
        <f>IFERROR(__xludf.DUMMYFUNCTION("""COMPUTED_VALUE"""),6708.6)</f>
        <v>6708.6</v>
      </c>
      <c r="C3402" s="3">
        <f>IFERROR(__xludf.DUMMYFUNCTION("""COMPUTED_VALUE"""),6718.75)</f>
        <v>6718.75</v>
      </c>
      <c r="D3402" s="3">
        <f>IFERROR(__xludf.DUMMYFUNCTION("""COMPUTED_VALUE"""),6642.9)</f>
        <v>6642.9</v>
      </c>
      <c r="E3402" s="3">
        <f>IFERROR(__xludf.DUMMYFUNCTION("""COMPUTED_VALUE"""),6652.55)</f>
        <v>6652.55</v>
      </c>
      <c r="F3402" s="3">
        <f>IFERROR(__xludf.DUMMYFUNCTION("""COMPUTED_VALUE"""),0.0)</f>
        <v>0</v>
      </c>
    </row>
    <row r="3403">
      <c r="A3403" s="7">
        <f>IFERROR(__xludf.DUMMYFUNCTION("""COMPUTED_VALUE"""),41767.645833333336)</f>
        <v>41767.64583</v>
      </c>
      <c r="B3403" s="3">
        <f>IFERROR(__xludf.DUMMYFUNCTION("""COMPUTED_VALUE"""),6669.9)</f>
        <v>6669.9</v>
      </c>
      <c r="C3403" s="3">
        <f>IFERROR(__xludf.DUMMYFUNCTION("""COMPUTED_VALUE"""),6688.4)</f>
        <v>6688.4</v>
      </c>
      <c r="D3403" s="3">
        <f>IFERROR(__xludf.DUMMYFUNCTION("""COMPUTED_VALUE"""),6638.55)</f>
        <v>6638.55</v>
      </c>
      <c r="E3403" s="3">
        <f>IFERROR(__xludf.DUMMYFUNCTION("""COMPUTED_VALUE"""),6659.85)</f>
        <v>6659.85</v>
      </c>
      <c r="F3403" s="3">
        <f>IFERROR(__xludf.DUMMYFUNCTION("""COMPUTED_VALUE"""),0.0)</f>
        <v>0</v>
      </c>
    </row>
    <row r="3404">
      <c r="A3404" s="7">
        <f>IFERROR(__xludf.DUMMYFUNCTION("""COMPUTED_VALUE"""),41768.645833333336)</f>
        <v>41768.64583</v>
      </c>
      <c r="B3404" s="3">
        <f>IFERROR(__xludf.DUMMYFUNCTION("""COMPUTED_VALUE"""),6654.15)</f>
        <v>6654.15</v>
      </c>
      <c r="C3404" s="3">
        <f>IFERROR(__xludf.DUMMYFUNCTION("""COMPUTED_VALUE"""),6871.35)</f>
        <v>6871.35</v>
      </c>
      <c r="D3404" s="3">
        <f>IFERROR(__xludf.DUMMYFUNCTION("""COMPUTED_VALUE"""),6652.15)</f>
        <v>6652.15</v>
      </c>
      <c r="E3404" s="3">
        <f>IFERROR(__xludf.DUMMYFUNCTION("""COMPUTED_VALUE"""),6858.8)</f>
        <v>6858.8</v>
      </c>
      <c r="F3404" s="3">
        <f>IFERROR(__xludf.DUMMYFUNCTION("""COMPUTED_VALUE"""),0.0)</f>
        <v>0</v>
      </c>
    </row>
    <row r="3405">
      <c r="A3405" s="7">
        <f>IFERROR(__xludf.DUMMYFUNCTION("""COMPUTED_VALUE"""),41771.645833333336)</f>
        <v>41771.64583</v>
      </c>
      <c r="B3405" s="3">
        <f>IFERROR(__xludf.DUMMYFUNCTION("""COMPUTED_VALUE"""),6863.4)</f>
        <v>6863.4</v>
      </c>
      <c r="C3405" s="3">
        <f>IFERROR(__xludf.DUMMYFUNCTION("""COMPUTED_VALUE"""),7020.05)</f>
        <v>7020.05</v>
      </c>
      <c r="D3405" s="3">
        <f>IFERROR(__xludf.DUMMYFUNCTION("""COMPUTED_VALUE"""),6862.9)</f>
        <v>6862.9</v>
      </c>
      <c r="E3405" s="3">
        <f>IFERROR(__xludf.DUMMYFUNCTION("""COMPUTED_VALUE"""),7014.25)</f>
        <v>7014.25</v>
      </c>
      <c r="F3405" s="3">
        <f>IFERROR(__xludf.DUMMYFUNCTION("""COMPUTED_VALUE"""),0.0)</f>
        <v>0</v>
      </c>
    </row>
    <row r="3406">
      <c r="A3406" s="7">
        <f>IFERROR(__xludf.DUMMYFUNCTION("""COMPUTED_VALUE"""),41772.645833333336)</f>
        <v>41772.64583</v>
      </c>
      <c r="B3406" s="3">
        <f>IFERROR(__xludf.DUMMYFUNCTION("""COMPUTED_VALUE"""),7080.0)</f>
        <v>7080</v>
      </c>
      <c r="C3406" s="3">
        <f>IFERROR(__xludf.DUMMYFUNCTION("""COMPUTED_VALUE"""),7172.35)</f>
        <v>7172.35</v>
      </c>
      <c r="D3406" s="3">
        <f>IFERROR(__xludf.DUMMYFUNCTION("""COMPUTED_VALUE"""),7067.15)</f>
        <v>7067.15</v>
      </c>
      <c r="E3406" s="3">
        <f>IFERROR(__xludf.DUMMYFUNCTION("""COMPUTED_VALUE"""),7108.75)</f>
        <v>7108.75</v>
      </c>
      <c r="F3406" s="3">
        <f>IFERROR(__xludf.DUMMYFUNCTION("""COMPUTED_VALUE"""),0.0)</f>
        <v>0</v>
      </c>
    </row>
    <row r="3407">
      <c r="A3407" s="7">
        <f>IFERROR(__xludf.DUMMYFUNCTION("""COMPUTED_VALUE"""),41773.645833333336)</f>
        <v>41773.64583</v>
      </c>
      <c r="B3407" s="3">
        <f>IFERROR(__xludf.DUMMYFUNCTION("""COMPUTED_VALUE"""),7112.0)</f>
        <v>7112</v>
      </c>
      <c r="C3407" s="3">
        <f>IFERROR(__xludf.DUMMYFUNCTION("""COMPUTED_VALUE"""),7142.25)</f>
        <v>7142.25</v>
      </c>
      <c r="D3407" s="3">
        <f>IFERROR(__xludf.DUMMYFUNCTION("""COMPUTED_VALUE"""),7080.9)</f>
        <v>7080.9</v>
      </c>
      <c r="E3407" s="3">
        <f>IFERROR(__xludf.DUMMYFUNCTION("""COMPUTED_VALUE"""),7108.75)</f>
        <v>7108.75</v>
      </c>
      <c r="F3407" s="3">
        <f>IFERROR(__xludf.DUMMYFUNCTION("""COMPUTED_VALUE"""),0.0)</f>
        <v>0</v>
      </c>
    </row>
    <row r="3408">
      <c r="A3408" s="7">
        <f>IFERROR(__xludf.DUMMYFUNCTION("""COMPUTED_VALUE"""),41774.645833333336)</f>
        <v>41774.64583</v>
      </c>
      <c r="B3408" s="3">
        <f>IFERROR(__xludf.DUMMYFUNCTION("""COMPUTED_VALUE"""),7111.3)</f>
        <v>7111.3</v>
      </c>
      <c r="C3408" s="3">
        <f>IFERROR(__xludf.DUMMYFUNCTION("""COMPUTED_VALUE"""),7152.55)</f>
        <v>7152.55</v>
      </c>
      <c r="D3408" s="3">
        <f>IFERROR(__xludf.DUMMYFUNCTION("""COMPUTED_VALUE"""),7082.55)</f>
        <v>7082.55</v>
      </c>
      <c r="E3408" s="3">
        <f>IFERROR(__xludf.DUMMYFUNCTION("""COMPUTED_VALUE"""),7123.15)</f>
        <v>7123.15</v>
      </c>
      <c r="F3408" s="3">
        <f>IFERROR(__xludf.DUMMYFUNCTION("""COMPUTED_VALUE"""),0.0)</f>
        <v>0</v>
      </c>
    </row>
    <row r="3409">
      <c r="A3409" s="7">
        <f>IFERROR(__xludf.DUMMYFUNCTION("""COMPUTED_VALUE"""),41775.645833333336)</f>
        <v>41775.64583</v>
      </c>
      <c r="B3409" s="3">
        <f>IFERROR(__xludf.DUMMYFUNCTION("""COMPUTED_VALUE"""),7270.2)</f>
        <v>7270.2</v>
      </c>
      <c r="C3409" s="3">
        <f>IFERROR(__xludf.DUMMYFUNCTION("""COMPUTED_VALUE"""),7563.5)</f>
        <v>7563.5</v>
      </c>
      <c r="D3409" s="3">
        <f>IFERROR(__xludf.DUMMYFUNCTION("""COMPUTED_VALUE"""),7130.65)</f>
        <v>7130.65</v>
      </c>
      <c r="E3409" s="3">
        <f>IFERROR(__xludf.DUMMYFUNCTION("""COMPUTED_VALUE"""),7203.0)</f>
        <v>7203</v>
      </c>
      <c r="F3409" s="3">
        <f>IFERROR(__xludf.DUMMYFUNCTION("""COMPUTED_VALUE"""),0.0)</f>
        <v>0</v>
      </c>
    </row>
    <row r="3410">
      <c r="A3410" s="7">
        <f>IFERROR(__xludf.DUMMYFUNCTION("""COMPUTED_VALUE"""),41778.645833333336)</f>
        <v>41778.64583</v>
      </c>
      <c r="B3410" s="3">
        <f>IFERROR(__xludf.DUMMYFUNCTION("""COMPUTED_VALUE"""),7276.85)</f>
        <v>7276.85</v>
      </c>
      <c r="C3410" s="3">
        <f>IFERROR(__xludf.DUMMYFUNCTION("""COMPUTED_VALUE"""),7291.1)</f>
        <v>7291.1</v>
      </c>
      <c r="D3410" s="3">
        <f>IFERROR(__xludf.DUMMYFUNCTION("""COMPUTED_VALUE"""),7193.55)</f>
        <v>7193.55</v>
      </c>
      <c r="E3410" s="3">
        <f>IFERROR(__xludf.DUMMYFUNCTION("""COMPUTED_VALUE"""),7263.55)</f>
        <v>7263.55</v>
      </c>
      <c r="F3410" s="3">
        <f>IFERROR(__xludf.DUMMYFUNCTION("""COMPUTED_VALUE"""),0.0)</f>
        <v>0</v>
      </c>
    </row>
    <row r="3411">
      <c r="A3411" s="7">
        <f>IFERROR(__xludf.DUMMYFUNCTION("""COMPUTED_VALUE"""),41779.645833333336)</f>
        <v>41779.64583</v>
      </c>
      <c r="B3411" s="3">
        <f>IFERROR(__xludf.DUMMYFUNCTION("""COMPUTED_VALUE"""),7309.95)</f>
        <v>7309.95</v>
      </c>
      <c r="C3411" s="3">
        <f>IFERROR(__xludf.DUMMYFUNCTION("""COMPUTED_VALUE"""),7353.65)</f>
        <v>7353.65</v>
      </c>
      <c r="D3411" s="3">
        <f>IFERROR(__xludf.DUMMYFUNCTION("""COMPUTED_VALUE"""),7247.7)</f>
        <v>7247.7</v>
      </c>
      <c r="E3411" s="3">
        <f>IFERROR(__xludf.DUMMYFUNCTION("""COMPUTED_VALUE"""),7275.5)</f>
        <v>7275.5</v>
      </c>
      <c r="F3411" s="3">
        <f>IFERROR(__xludf.DUMMYFUNCTION("""COMPUTED_VALUE"""),0.0)</f>
        <v>0</v>
      </c>
    </row>
    <row r="3412">
      <c r="A3412" s="7">
        <f>IFERROR(__xludf.DUMMYFUNCTION("""COMPUTED_VALUE"""),41780.645833333336)</f>
        <v>41780.64583</v>
      </c>
      <c r="B3412" s="3">
        <f>IFERROR(__xludf.DUMMYFUNCTION("""COMPUTED_VALUE"""),7274.85)</f>
        <v>7274.85</v>
      </c>
      <c r="C3412" s="3">
        <f>IFERROR(__xludf.DUMMYFUNCTION("""COMPUTED_VALUE"""),7287.15)</f>
        <v>7287.15</v>
      </c>
      <c r="D3412" s="3">
        <f>IFERROR(__xludf.DUMMYFUNCTION("""COMPUTED_VALUE"""),7206.7)</f>
        <v>7206.7</v>
      </c>
      <c r="E3412" s="3">
        <f>IFERROR(__xludf.DUMMYFUNCTION("""COMPUTED_VALUE"""),7252.9)</f>
        <v>7252.9</v>
      </c>
      <c r="F3412" s="3">
        <f>IFERROR(__xludf.DUMMYFUNCTION("""COMPUTED_VALUE"""),0.0)</f>
        <v>0</v>
      </c>
    </row>
    <row r="3413">
      <c r="A3413" s="7">
        <f>IFERROR(__xludf.DUMMYFUNCTION("""COMPUTED_VALUE"""),41781.645833333336)</f>
        <v>41781.64583</v>
      </c>
      <c r="B3413" s="3">
        <f>IFERROR(__xludf.DUMMYFUNCTION("""COMPUTED_VALUE"""),7289.95)</f>
        <v>7289.95</v>
      </c>
      <c r="C3413" s="3">
        <f>IFERROR(__xludf.DUMMYFUNCTION("""COMPUTED_VALUE"""),7319.55)</f>
        <v>7319.55</v>
      </c>
      <c r="D3413" s="3">
        <f>IFERROR(__xludf.DUMMYFUNCTION("""COMPUTED_VALUE"""),7258.15)</f>
        <v>7258.15</v>
      </c>
      <c r="E3413" s="3">
        <f>IFERROR(__xludf.DUMMYFUNCTION("""COMPUTED_VALUE"""),7276.4)</f>
        <v>7276.4</v>
      </c>
      <c r="F3413" s="3">
        <f>IFERROR(__xludf.DUMMYFUNCTION("""COMPUTED_VALUE"""),0.0)</f>
        <v>0</v>
      </c>
    </row>
    <row r="3414">
      <c r="A3414" s="7">
        <f>IFERROR(__xludf.DUMMYFUNCTION("""COMPUTED_VALUE"""),41782.645833333336)</f>
        <v>41782.64583</v>
      </c>
      <c r="B3414" s="3">
        <f>IFERROR(__xludf.DUMMYFUNCTION("""COMPUTED_VALUE"""),7306.5)</f>
        <v>7306.5</v>
      </c>
      <c r="C3414" s="3">
        <f>IFERROR(__xludf.DUMMYFUNCTION("""COMPUTED_VALUE"""),7381.0)</f>
        <v>7381</v>
      </c>
      <c r="D3414" s="3">
        <f>IFERROR(__xludf.DUMMYFUNCTION("""COMPUTED_VALUE"""),7293.9)</f>
        <v>7293.9</v>
      </c>
      <c r="E3414" s="3">
        <f>IFERROR(__xludf.DUMMYFUNCTION("""COMPUTED_VALUE"""),7367.1)</f>
        <v>7367.1</v>
      </c>
      <c r="F3414" s="3">
        <f>IFERROR(__xludf.DUMMYFUNCTION("""COMPUTED_VALUE"""),0.0)</f>
        <v>0</v>
      </c>
    </row>
    <row r="3415">
      <c r="A3415" s="7">
        <f>IFERROR(__xludf.DUMMYFUNCTION("""COMPUTED_VALUE"""),41785.645833333336)</f>
        <v>41785.64583</v>
      </c>
      <c r="B3415" s="3">
        <f>IFERROR(__xludf.DUMMYFUNCTION("""COMPUTED_VALUE"""),7428.75)</f>
        <v>7428.75</v>
      </c>
      <c r="C3415" s="3">
        <f>IFERROR(__xludf.DUMMYFUNCTION("""COMPUTED_VALUE"""),7504.0)</f>
        <v>7504</v>
      </c>
      <c r="D3415" s="3">
        <f>IFERROR(__xludf.DUMMYFUNCTION("""COMPUTED_VALUE"""),7269.05)</f>
        <v>7269.05</v>
      </c>
      <c r="E3415" s="3">
        <f>IFERROR(__xludf.DUMMYFUNCTION("""COMPUTED_VALUE"""),7359.05)</f>
        <v>7359.05</v>
      </c>
      <c r="F3415" s="3">
        <f>IFERROR(__xludf.DUMMYFUNCTION("""COMPUTED_VALUE"""),0.0)</f>
        <v>0</v>
      </c>
    </row>
    <row r="3416">
      <c r="A3416" s="7">
        <f>IFERROR(__xludf.DUMMYFUNCTION("""COMPUTED_VALUE"""),41786.645833333336)</f>
        <v>41786.64583</v>
      </c>
      <c r="B3416" s="3">
        <f>IFERROR(__xludf.DUMMYFUNCTION("""COMPUTED_VALUE"""),7363.1)</f>
        <v>7363.1</v>
      </c>
      <c r="C3416" s="3">
        <f>IFERROR(__xludf.DUMMYFUNCTION("""COMPUTED_VALUE"""),7372.95)</f>
        <v>7372.95</v>
      </c>
      <c r="D3416" s="3">
        <f>IFERROR(__xludf.DUMMYFUNCTION("""COMPUTED_VALUE"""),7274.75)</f>
        <v>7274.75</v>
      </c>
      <c r="E3416" s="3">
        <f>IFERROR(__xludf.DUMMYFUNCTION("""COMPUTED_VALUE"""),7318.0)</f>
        <v>7318</v>
      </c>
      <c r="F3416" s="3">
        <f>IFERROR(__xludf.DUMMYFUNCTION("""COMPUTED_VALUE"""),0.0)</f>
        <v>0</v>
      </c>
    </row>
    <row r="3417">
      <c r="A3417" s="7">
        <f>IFERROR(__xludf.DUMMYFUNCTION("""COMPUTED_VALUE"""),41787.645833333336)</f>
        <v>41787.64583</v>
      </c>
      <c r="B3417" s="3">
        <f>IFERROR(__xludf.DUMMYFUNCTION("""COMPUTED_VALUE"""),7324.95)</f>
        <v>7324.95</v>
      </c>
      <c r="C3417" s="3">
        <f>IFERROR(__xludf.DUMMYFUNCTION("""COMPUTED_VALUE"""),7344.75)</f>
        <v>7344.75</v>
      </c>
      <c r="D3417" s="3">
        <f>IFERROR(__xludf.DUMMYFUNCTION("""COMPUTED_VALUE"""),7302.6)</f>
        <v>7302.6</v>
      </c>
      <c r="E3417" s="3">
        <f>IFERROR(__xludf.DUMMYFUNCTION("""COMPUTED_VALUE"""),7329.65)</f>
        <v>7329.65</v>
      </c>
      <c r="F3417" s="3">
        <f>IFERROR(__xludf.DUMMYFUNCTION("""COMPUTED_VALUE"""),0.0)</f>
        <v>0</v>
      </c>
    </row>
    <row r="3418">
      <c r="A3418" s="7">
        <f>IFERROR(__xludf.DUMMYFUNCTION("""COMPUTED_VALUE"""),41788.645833333336)</f>
        <v>41788.64583</v>
      </c>
      <c r="B3418" s="3">
        <f>IFERROR(__xludf.DUMMYFUNCTION("""COMPUTED_VALUE"""),7316.6)</f>
        <v>7316.6</v>
      </c>
      <c r="C3418" s="3">
        <f>IFERROR(__xludf.DUMMYFUNCTION("""COMPUTED_VALUE"""),7325.4)</f>
        <v>7325.4</v>
      </c>
      <c r="D3418" s="3">
        <f>IFERROR(__xludf.DUMMYFUNCTION("""COMPUTED_VALUE"""),7224.4)</f>
        <v>7224.4</v>
      </c>
      <c r="E3418" s="3">
        <f>IFERROR(__xludf.DUMMYFUNCTION("""COMPUTED_VALUE"""),7235.65)</f>
        <v>7235.65</v>
      </c>
      <c r="F3418" s="3">
        <f>IFERROR(__xludf.DUMMYFUNCTION("""COMPUTED_VALUE"""),0.0)</f>
        <v>0</v>
      </c>
    </row>
    <row r="3419">
      <c r="A3419" s="7">
        <f>IFERROR(__xludf.DUMMYFUNCTION("""COMPUTED_VALUE"""),41789.645833333336)</f>
        <v>41789.64583</v>
      </c>
      <c r="B3419" s="3">
        <f>IFERROR(__xludf.DUMMYFUNCTION("""COMPUTED_VALUE"""),7254.85)</f>
        <v>7254.85</v>
      </c>
      <c r="C3419" s="3">
        <f>IFERROR(__xludf.DUMMYFUNCTION("""COMPUTED_VALUE"""),7272.5)</f>
        <v>7272.5</v>
      </c>
      <c r="D3419" s="3">
        <f>IFERROR(__xludf.DUMMYFUNCTION("""COMPUTED_VALUE"""),7118.45)</f>
        <v>7118.45</v>
      </c>
      <c r="E3419" s="3">
        <f>IFERROR(__xludf.DUMMYFUNCTION("""COMPUTED_VALUE"""),7229.95)</f>
        <v>7229.95</v>
      </c>
      <c r="F3419" s="3">
        <f>IFERROR(__xludf.DUMMYFUNCTION("""COMPUTED_VALUE"""),0.0)</f>
        <v>0</v>
      </c>
    </row>
    <row r="3420">
      <c r="A3420" s="7">
        <f>IFERROR(__xludf.DUMMYFUNCTION("""COMPUTED_VALUE"""),41792.645833333336)</f>
        <v>41792.64583</v>
      </c>
      <c r="B3420" s="3">
        <f>IFERROR(__xludf.DUMMYFUNCTION("""COMPUTED_VALUE"""),7264.05)</f>
        <v>7264.05</v>
      </c>
      <c r="C3420" s="3">
        <f>IFERROR(__xludf.DUMMYFUNCTION("""COMPUTED_VALUE"""),7368.6)</f>
        <v>7368.6</v>
      </c>
      <c r="D3420" s="3">
        <f>IFERROR(__xludf.DUMMYFUNCTION("""COMPUTED_VALUE"""),7239.5)</f>
        <v>7239.5</v>
      </c>
      <c r="E3420" s="3">
        <f>IFERROR(__xludf.DUMMYFUNCTION("""COMPUTED_VALUE"""),7362.5)</f>
        <v>7362.5</v>
      </c>
      <c r="F3420" s="3">
        <f>IFERROR(__xludf.DUMMYFUNCTION("""COMPUTED_VALUE"""),0.0)</f>
        <v>0</v>
      </c>
    </row>
    <row r="3421">
      <c r="A3421" s="7">
        <f>IFERROR(__xludf.DUMMYFUNCTION("""COMPUTED_VALUE"""),41793.645833333336)</f>
        <v>41793.64583</v>
      </c>
      <c r="B3421" s="3">
        <f>IFERROR(__xludf.DUMMYFUNCTION("""COMPUTED_VALUE"""),7375.35)</f>
        <v>7375.35</v>
      </c>
      <c r="C3421" s="3">
        <f>IFERROR(__xludf.DUMMYFUNCTION("""COMPUTED_VALUE"""),7424.95)</f>
        <v>7424.95</v>
      </c>
      <c r="D3421" s="3">
        <f>IFERROR(__xludf.DUMMYFUNCTION("""COMPUTED_VALUE"""),7342.15)</f>
        <v>7342.15</v>
      </c>
      <c r="E3421" s="3">
        <f>IFERROR(__xludf.DUMMYFUNCTION("""COMPUTED_VALUE"""),7415.85)</f>
        <v>7415.85</v>
      </c>
      <c r="F3421" s="3">
        <f>IFERROR(__xludf.DUMMYFUNCTION("""COMPUTED_VALUE"""),0.0)</f>
        <v>0</v>
      </c>
    </row>
    <row r="3422">
      <c r="A3422" s="7">
        <f>IFERROR(__xludf.DUMMYFUNCTION("""COMPUTED_VALUE"""),41794.645833333336)</f>
        <v>41794.64583</v>
      </c>
      <c r="B3422" s="3">
        <f>IFERROR(__xludf.DUMMYFUNCTION("""COMPUTED_VALUE"""),7417.55)</f>
        <v>7417.55</v>
      </c>
      <c r="C3422" s="3">
        <f>IFERROR(__xludf.DUMMYFUNCTION("""COMPUTED_VALUE"""),7433.3)</f>
        <v>7433.3</v>
      </c>
      <c r="D3422" s="3">
        <f>IFERROR(__xludf.DUMMYFUNCTION("""COMPUTED_VALUE"""),7391.35)</f>
        <v>7391.35</v>
      </c>
      <c r="E3422" s="3">
        <f>IFERROR(__xludf.DUMMYFUNCTION("""COMPUTED_VALUE"""),7402.25)</f>
        <v>7402.25</v>
      </c>
      <c r="F3422" s="3">
        <f>IFERROR(__xludf.DUMMYFUNCTION("""COMPUTED_VALUE"""),0.0)</f>
        <v>0</v>
      </c>
    </row>
    <row r="3423">
      <c r="A3423" s="7">
        <f>IFERROR(__xludf.DUMMYFUNCTION("""COMPUTED_VALUE"""),41795.645833333336)</f>
        <v>41795.64583</v>
      </c>
      <c r="B3423" s="3">
        <f>IFERROR(__xludf.DUMMYFUNCTION("""COMPUTED_VALUE"""),7399.75)</f>
        <v>7399.75</v>
      </c>
      <c r="C3423" s="3">
        <f>IFERROR(__xludf.DUMMYFUNCTION("""COMPUTED_VALUE"""),7484.7)</f>
        <v>7484.7</v>
      </c>
      <c r="D3423" s="3">
        <f>IFERROR(__xludf.DUMMYFUNCTION("""COMPUTED_VALUE"""),7360.5)</f>
        <v>7360.5</v>
      </c>
      <c r="E3423" s="3">
        <f>IFERROR(__xludf.DUMMYFUNCTION("""COMPUTED_VALUE"""),7474.1)</f>
        <v>7474.1</v>
      </c>
      <c r="F3423" s="3">
        <f>IFERROR(__xludf.DUMMYFUNCTION("""COMPUTED_VALUE"""),0.0)</f>
        <v>0</v>
      </c>
    </row>
    <row r="3424">
      <c r="A3424" s="7">
        <f>IFERROR(__xludf.DUMMYFUNCTION("""COMPUTED_VALUE"""),41796.645833333336)</f>
        <v>41796.64583</v>
      </c>
      <c r="B3424" s="3">
        <f>IFERROR(__xludf.DUMMYFUNCTION("""COMPUTED_VALUE"""),7521.5)</f>
        <v>7521.5</v>
      </c>
      <c r="C3424" s="3">
        <f>IFERROR(__xludf.DUMMYFUNCTION("""COMPUTED_VALUE"""),7592.7)</f>
        <v>7592.7</v>
      </c>
      <c r="D3424" s="3">
        <f>IFERROR(__xludf.DUMMYFUNCTION("""COMPUTED_VALUE"""),7497.65)</f>
        <v>7497.65</v>
      </c>
      <c r="E3424" s="3">
        <f>IFERROR(__xludf.DUMMYFUNCTION("""COMPUTED_VALUE"""),7583.4)</f>
        <v>7583.4</v>
      </c>
      <c r="F3424" s="3">
        <f>IFERROR(__xludf.DUMMYFUNCTION("""COMPUTED_VALUE"""),0.0)</f>
        <v>0</v>
      </c>
    </row>
    <row r="3425">
      <c r="A3425" s="7">
        <f>IFERROR(__xludf.DUMMYFUNCTION("""COMPUTED_VALUE"""),41799.645833333336)</f>
        <v>41799.64583</v>
      </c>
      <c r="B3425" s="3">
        <f>IFERROR(__xludf.DUMMYFUNCTION("""COMPUTED_VALUE"""),7621.65)</f>
        <v>7621.65</v>
      </c>
      <c r="C3425" s="3">
        <f>IFERROR(__xludf.DUMMYFUNCTION("""COMPUTED_VALUE"""),7673.7)</f>
        <v>7673.7</v>
      </c>
      <c r="D3425" s="3">
        <f>IFERROR(__xludf.DUMMYFUNCTION("""COMPUTED_VALUE"""),7580.25)</f>
        <v>7580.25</v>
      </c>
      <c r="E3425" s="3">
        <f>IFERROR(__xludf.DUMMYFUNCTION("""COMPUTED_VALUE"""),7654.6)</f>
        <v>7654.6</v>
      </c>
      <c r="F3425" s="3">
        <f>IFERROR(__xludf.DUMMYFUNCTION("""COMPUTED_VALUE"""),0.0)</f>
        <v>0</v>
      </c>
    </row>
    <row r="3426">
      <c r="A3426" s="7">
        <f>IFERROR(__xludf.DUMMYFUNCTION("""COMPUTED_VALUE"""),41800.645833333336)</f>
        <v>41800.64583</v>
      </c>
      <c r="B3426" s="3">
        <f>IFERROR(__xludf.DUMMYFUNCTION("""COMPUTED_VALUE"""),7679.05)</f>
        <v>7679.05</v>
      </c>
      <c r="C3426" s="3">
        <f>IFERROR(__xludf.DUMMYFUNCTION("""COMPUTED_VALUE"""),7683.2)</f>
        <v>7683.2</v>
      </c>
      <c r="D3426" s="3">
        <f>IFERROR(__xludf.DUMMYFUNCTION("""COMPUTED_VALUE"""),7579.3)</f>
        <v>7579.3</v>
      </c>
      <c r="E3426" s="3">
        <f>IFERROR(__xludf.DUMMYFUNCTION("""COMPUTED_VALUE"""),7656.4)</f>
        <v>7656.4</v>
      </c>
      <c r="F3426" s="3">
        <f>IFERROR(__xludf.DUMMYFUNCTION("""COMPUTED_VALUE"""),0.0)</f>
        <v>0</v>
      </c>
    </row>
    <row r="3427">
      <c r="A3427" s="7">
        <f>IFERROR(__xludf.DUMMYFUNCTION("""COMPUTED_VALUE"""),41801.645833333336)</f>
        <v>41801.64583</v>
      </c>
      <c r="B3427" s="3">
        <f>IFERROR(__xludf.DUMMYFUNCTION("""COMPUTED_VALUE"""),7672.4)</f>
        <v>7672.4</v>
      </c>
      <c r="C3427" s="3">
        <f>IFERROR(__xludf.DUMMYFUNCTION("""COMPUTED_VALUE"""),7700.05)</f>
        <v>7700.05</v>
      </c>
      <c r="D3427" s="3">
        <f>IFERROR(__xludf.DUMMYFUNCTION("""COMPUTED_VALUE"""),7589.05)</f>
        <v>7589.05</v>
      </c>
      <c r="E3427" s="3">
        <f>IFERROR(__xludf.DUMMYFUNCTION("""COMPUTED_VALUE"""),7626.85)</f>
        <v>7626.85</v>
      </c>
      <c r="F3427" s="3">
        <f>IFERROR(__xludf.DUMMYFUNCTION("""COMPUTED_VALUE"""),0.0)</f>
        <v>0</v>
      </c>
    </row>
    <row r="3428">
      <c r="A3428" s="7">
        <f>IFERROR(__xludf.DUMMYFUNCTION("""COMPUTED_VALUE"""),41802.645833333336)</f>
        <v>41802.64583</v>
      </c>
      <c r="B3428" s="3">
        <f>IFERROR(__xludf.DUMMYFUNCTION("""COMPUTED_VALUE"""),7641.3)</f>
        <v>7641.3</v>
      </c>
      <c r="C3428" s="3">
        <f>IFERROR(__xludf.DUMMYFUNCTION("""COMPUTED_VALUE"""),7658.0)</f>
        <v>7658</v>
      </c>
      <c r="D3428" s="3">
        <f>IFERROR(__xludf.DUMMYFUNCTION("""COMPUTED_VALUE"""),7593.8)</f>
        <v>7593.8</v>
      </c>
      <c r="E3428" s="3">
        <f>IFERROR(__xludf.DUMMYFUNCTION("""COMPUTED_VALUE"""),7649.9)</f>
        <v>7649.9</v>
      </c>
      <c r="F3428" s="3">
        <f>IFERROR(__xludf.DUMMYFUNCTION("""COMPUTED_VALUE"""),0.0)</f>
        <v>0</v>
      </c>
    </row>
    <row r="3429">
      <c r="A3429" s="7">
        <f>IFERROR(__xludf.DUMMYFUNCTION("""COMPUTED_VALUE"""),41803.645833333336)</f>
        <v>41803.64583</v>
      </c>
      <c r="B3429" s="3">
        <f>IFERROR(__xludf.DUMMYFUNCTION("""COMPUTED_VALUE"""),7668.2)</f>
        <v>7668.2</v>
      </c>
      <c r="C3429" s="3">
        <f>IFERROR(__xludf.DUMMYFUNCTION("""COMPUTED_VALUE"""),7678.5)</f>
        <v>7678.5</v>
      </c>
      <c r="D3429" s="3">
        <f>IFERROR(__xludf.DUMMYFUNCTION("""COMPUTED_VALUE"""),7525.35)</f>
        <v>7525.35</v>
      </c>
      <c r="E3429" s="3">
        <f>IFERROR(__xludf.DUMMYFUNCTION("""COMPUTED_VALUE"""),7542.1)</f>
        <v>7542.1</v>
      </c>
      <c r="F3429" s="3">
        <f>IFERROR(__xludf.DUMMYFUNCTION("""COMPUTED_VALUE"""),0.0)</f>
        <v>0</v>
      </c>
    </row>
    <row r="3430">
      <c r="A3430" s="7">
        <f>IFERROR(__xludf.DUMMYFUNCTION("""COMPUTED_VALUE"""),41806.645833333336)</f>
        <v>41806.64583</v>
      </c>
      <c r="B3430" s="3">
        <f>IFERROR(__xludf.DUMMYFUNCTION("""COMPUTED_VALUE"""),7534.8)</f>
        <v>7534.8</v>
      </c>
      <c r="C3430" s="3">
        <f>IFERROR(__xludf.DUMMYFUNCTION("""COMPUTED_VALUE"""),7548.6)</f>
        <v>7548.6</v>
      </c>
      <c r="D3430" s="3">
        <f>IFERROR(__xludf.DUMMYFUNCTION("""COMPUTED_VALUE"""),7487.55)</f>
        <v>7487.55</v>
      </c>
      <c r="E3430" s="3">
        <f>IFERROR(__xludf.DUMMYFUNCTION("""COMPUTED_VALUE"""),7533.55)</f>
        <v>7533.55</v>
      </c>
      <c r="F3430" s="3">
        <f>IFERROR(__xludf.DUMMYFUNCTION("""COMPUTED_VALUE"""),0.0)</f>
        <v>0</v>
      </c>
    </row>
    <row r="3431">
      <c r="A3431" s="7">
        <f>IFERROR(__xludf.DUMMYFUNCTION("""COMPUTED_VALUE"""),41807.645833333336)</f>
        <v>41807.64583</v>
      </c>
      <c r="B3431" s="3">
        <f>IFERROR(__xludf.DUMMYFUNCTION("""COMPUTED_VALUE"""),7525.05)</f>
        <v>7525.05</v>
      </c>
      <c r="C3431" s="3">
        <f>IFERROR(__xludf.DUMMYFUNCTION("""COMPUTED_VALUE"""),7637.6)</f>
        <v>7637.6</v>
      </c>
      <c r="D3431" s="3">
        <f>IFERROR(__xludf.DUMMYFUNCTION("""COMPUTED_VALUE"""),7509.25)</f>
        <v>7509.25</v>
      </c>
      <c r="E3431" s="3">
        <f>IFERROR(__xludf.DUMMYFUNCTION("""COMPUTED_VALUE"""),7631.7)</f>
        <v>7631.7</v>
      </c>
      <c r="F3431" s="3">
        <f>IFERROR(__xludf.DUMMYFUNCTION("""COMPUTED_VALUE"""),0.0)</f>
        <v>0</v>
      </c>
    </row>
    <row r="3432">
      <c r="A3432" s="7">
        <f>IFERROR(__xludf.DUMMYFUNCTION("""COMPUTED_VALUE"""),41808.645833333336)</f>
        <v>41808.64583</v>
      </c>
      <c r="B3432" s="3">
        <f>IFERROR(__xludf.DUMMYFUNCTION("""COMPUTED_VALUE"""),7636.05)</f>
        <v>7636.05</v>
      </c>
      <c r="C3432" s="3">
        <f>IFERROR(__xludf.DUMMYFUNCTION("""COMPUTED_VALUE"""),7663.0)</f>
        <v>7663</v>
      </c>
      <c r="D3432" s="3">
        <f>IFERROR(__xludf.DUMMYFUNCTION("""COMPUTED_VALUE"""),7515.5)</f>
        <v>7515.5</v>
      </c>
      <c r="E3432" s="3">
        <f>IFERROR(__xludf.DUMMYFUNCTION("""COMPUTED_VALUE"""),7558.2)</f>
        <v>7558.2</v>
      </c>
      <c r="F3432" s="3">
        <f>IFERROR(__xludf.DUMMYFUNCTION("""COMPUTED_VALUE"""),0.0)</f>
        <v>0</v>
      </c>
    </row>
    <row r="3433">
      <c r="A3433" s="7">
        <f>IFERROR(__xludf.DUMMYFUNCTION("""COMPUTED_VALUE"""),41809.645833333336)</f>
        <v>41809.64583</v>
      </c>
      <c r="B3433" s="3">
        <f>IFERROR(__xludf.DUMMYFUNCTION("""COMPUTED_VALUE"""),7580.05)</f>
        <v>7580.05</v>
      </c>
      <c r="C3433" s="3">
        <f>IFERROR(__xludf.DUMMYFUNCTION("""COMPUTED_VALUE"""),7606.45)</f>
        <v>7606.45</v>
      </c>
      <c r="D3433" s="3">
        <f>IFERROR(__xludf.DUMMYFUNCTION("""COMPUTED_VALUE"""),7502.55)</f>
        <v>7502.55</v>
      </c>
      <c r="E3433" s="3">
        <f>IFERROR(__xludf.DUMMYFUNCTION("""COMPUTED_VALUE"""),7540.7)</f>
        <v>7540.7</v>
      </c>
      <c r="F3433" s="3">
        <f>IFERROR(__xludf.DUMMYFUNCTION("""COMPUTED_VALUE"""),0.0)</f>
        <v>0</v>
      </c>
    </row>
    <row r="3434">
      <c r="A3434" s="7">
        <f>IFERROR(__xludf.DUMMYFUNCTION("""COMPUTED_VALUE"""),41810.645833333336)</f>
        <v>41810.64583</v>
      </c>
      <c r="B3434" s="3">
        <f>IFERROR(__xludf.DUMMYFUNCTION("""COMPUTED_VALUE"""),7543.3)</f>
        <v>7543.3</v>
      </c>
      <c r="C3434" s="3">
        <f>IFERROR(__xludf.DUMMYFUNCTION("""COMPUTED_VALUE"""),7560.55)</f>
        <v>7560.55</v>
      </c>
      <c r="D3434" s="3">
        <f>IFERROR(__xludf.DUMMYFUNCTION("""COMPUTED_VALUE"""),7497.3)</f>
        <v>7497.3</v>
      </c>
      <c r="E3434" s="3">
        <f>IFERROR(__xludf.DUMMYFUNCTION("""COMPUTED_VALUE"""),7511.45)</f>
        <v>7511.45</v>
      </c>
      <c r="F3434" s="3">
        <f>IFERROR(__xludf.DUMMYFUNCTION("""COMPUTED_VALUE"""),0.0)</f>
        <v>0</v>
      </c>
    </row>
    <row r="3435">
      <c r="A3435" s="7">
        <f>IFERROR(__xludf.DUMMYFUNCTION("""COMPUTED_VALUE"""),41813.645833333336)</f>
        <v>41813.64583</v>
      </c>
      <c r="B3435" s="3">
        <f>IFERROR(__xludf.DUMMYFUNCTION("""COMPUTED_VALUE"""),7514.0)</f>
        <v>7514</v>
      </c>
      <c r="C3435" s="3">
        <f>IFERROR(__xludf.DUMMYFUNCTION("""COMPUTED_VALUE"""),7534.8)</f>
        <v>7534.8</v>
      </c>
      <c r="D3435" s="3">
        <f>IFERROR(__xludf.DUMMYFUNCTION("""COMPUTED_VALUE"""),7441.6)</f>
        <v>7441.6</v>
      </c>
      <c r="E3435" s="3">
        <f>IFERROR(__xludf.DUMMYFUNCTION("""COMPUTED_VALUE"""),7493.35)</f>
        <v>7493.35</v>
      </c>
      <c r="F3435" s="3">
        <f>IFERROR(__xludf.DUMMYFUNCTION("""COMPUTED_VALUE"""),0.0)</f>
        <v>0</v>
      </c>
    </row>
    <row r="3436">
      <c r="A3436" s="7">
        <f>IFERROR(__xludf.DUMMYFUNCTION("""COMPUTED_VALUE"""),41814.645833333336)</f>
        <v>41814.64583</v>
      </c>
      <c r="B3436" s="3">
        <f>IFERROR(__xludf.DUMMYFUNCTION("""COMPUTED_VALUE"""),7515.2)</f>
        <v>7515.2</v>
      </c>
      <c r="C3436" s="3">
        <f>IFERROR(__xludf.DUMMYFUNCTION("""COMPUTED_VALUE"""),7593.35)</f>
        <v>7593.35</v>
      </c>
      <c r="D3436" s="3">
        <f>IFERROR(__xludf.DUMMYFUNCTION("""COMPUTED_VALUE"""),7515.2)</f>
        <v>7515.2</v>
      </c>
      <c r="E3436" s="3">
        <f>IFERROR(__xludf.DUMMYFUNCTION("""COMPUTED_VALUE"""),7580.2)</f>
        <v>7580.2</v>
      </c>
      <c r="F3436" s="3">
        <f>IFERROR(__xludf.DUMMYFUNCTION("""COMPUTED_VALUE"""),0.0)</f>
        <v>0</v>
      </c>
    </row>
    <row r="3437">
      <c r="A3437" s="7">
        <f>IFERROR(__xludf.DUMMYFUNCTION("""COMPUTED_VALUE"""),41815.645833333336)</f>
        <v>41815.64583</v>
      </c>
      <c r="B3437" s="3">
        <f>IFERROR(__xludf.DUMMYFUNCTION("""COMPUTED_VALUE"""),7588.55)</f>
        <v>7588.55</v>
      </c>
      <c r="C3437" s="3">
        <f>IFERROR(__xludf.DUMMYFUNCTION("""COMPUTED_VALUE"""),7589.25)</f>
        <v>7589.25</v>
      </c>
      <c r="D3437" s="3">
        <f>IFERROR(__xludf.DUMMYFUNCTION("""COMPUTED_VALUE"""),7557.05)</f>
        <v>7557.05</v>
      </c>
      <c r="E3437" s="3">
        <f>IFERROR(__xludf.DUMMYFUNCTION("""COMPUTED_VALUE"""),7569.25)</f>
        <v>7569.25</v>
      </c>
      <c r="F3437" s="3">
        <f>IFERROR(__xludf.DUMMYFUNCTION("""COMPUTED_VALUE"""),0.0)</f>
        <v>0</v>
      </c>
    </row>
    <row r="3438">
      <c r="A3438" s="7">
        <f>IFERROR(__xludf.DUMMYFUNCTION("""COMPUTED_VALUE"""),41816.645833333336)</f>
        <v>41816.64583</v>
      </c>
      <c r="B3438" s="3">
        <f>IFERROR(__xludf.DUMMYFUNCTION("""COMPUTED_VALUE"""),7554.1)</f>
        <v>7554.1</v>
      </c>
      <c r="C3438" s="3">
        <f>IFERROR(__xludf.DUMMYFUNCTION("""COMPUTED_VALUE"""),7570.2)</f>
        <v>7570.2</v>
      </c>
      <c r="D3438" s="3">
        <f>IFERROR(__xludf.DUMMYFUNCTION("""COMPUTED_VALUE"""),7481.3)</f>
        <v>7481.3</v>
      </c>
      <c r="E3438" s="3">
        <f>IFERROR(__xludf.DUMMYFUNCTION("""COMPUTED_VALUE"""),7493.2)</f>
        <v>7493.2</v>
      </c>
      <c r="F3438" s="3">
        <f>IFERROR(__xludf.DUMMYFUNCTION("""COMPUTED_VALUE"""),0.0)</f>
        <v>0</v>
      </c>
    </row>
    <row r="3439">
      <c r="A3439" s="7">
        <f>IFERROR(__xludf.DUMMYFUNCTION("""COMPUTED_VALUE"""),41817.645833333336)</f>
        <v>41817.64583</v>
      </c>
      <c r="B3439" s="3">
        <f>IFERROR(__xludf.DUMMYFUNCTION("""COMPUTED_VALUE"""),7514.2)</f>
        <v>7514.2</v>
      </c>
      <c r="C3439" s="3">
        <f>IFERROR(__xludf.DUMMYFUNCTION("""COMPUTED_VALUE"""),7538.75)</f>
        <v>7538.75</v>
      </c>
      <c r="D3439" s="3">
        <f>IFERROR(__xludf.DUMMYFUNCTION("""COMPUTED_VALUE"""),7482.3)</f>
        <v>7482.3</v>
      </c>
      <c r="E3439" s="3">
        <f>IFERROR(__xludf.DUMMYFUNCTION("""COMPUTED_VALUE"""),7508.8)</f>
        <v>7508.8</v>
      </c>
      <c r="F3439" s="3">
        <f>IFERROR(__xludf.DUMMYFUNCTION("""COMPUTED_VALUE"""),0.0)</f>
        <v>0</v>
      </c>
    </row>
    <row r="3440">
      <c r="A3440" s="7">
        <f>IFERROR(__xludf.DUMMYFUNCTION("""COMPUTED_VALUE"""),41820.645833333336)</f>
        <v>41820.64583</v>
      </c>
      <c r="B3440" s="3">
        <f>IFERROR(__xludf.DUMMYFUNCTION("""COMPUTED_VALUE"""),7534.05)</f>
        <v>7534.05</v>
      </c>
      <c r="C3440" s="3">
        <f>IFERROR(__xludf.DUMMYFUNCTION("""COMPUTED_VALUE"""),7623.65)</f>
        <v>7623.65</v>
      </c>
      <c r="D3440" s="3">
        <f>IFERROR(__xludf.DUMMYFUNCTION("""COMPUTED_VALUE"""),7531.6)</f>
        <v>7531.6</v>
      </c>
      <c r="E3440" s="3">
        <f>IFERROR(__xludf.DUMMYFUNCTION("""COMPUTED_VALUE"""),7611.35)</f>
        <v>7611.35</v>
      </c>
      <c r="F3440" s="3">
        <f>IFERROR(__xludf.DUMMYFUNCTION("""COMPUTED_VALUE"""),0.0)</f>
        <v>0</v>
      </c>
    </row>
    <row r="3441">
      <c r="A3441" s="7">
        <f>IFERROR(__xludf.DUMMYFUNCTION("""COMPUTED_VALUE"""),41821.645833333336)</f>
        <v>41821.64583</v>
      </c>
      <c r="B3441" s="3">
        <f>IFERROR(__xludf.DUMMYFUNCTION("""COMPUTED_VALUE"""),7629.0)</f>
        <v>7629</v>
      </c>
      <c r="C3441" s="3">
        <f>IFERROR(__xludf.DUMMYFUNCTION("""COMPUTED_VALUE"""),7649.5)</f>
        <v>7649.5</v>
      </c>
      <c r="D3441" s="3">
        <f>IFERROR(__xludf.DUMMYFUNCTION("""COMPUTED_VALUE"""),7618.15)</f>
        <v>7618.15</v>
      </c>
      <c r="E3441" s="3">
        <f>IFERROR(__xludf.DUMMYFUNCTION("""COMPUTED_VALUE"""),7634.7)</f>
        <v>7634.7</v>
      </c>
      <c r="F3441" s="3">
        <f>IFERROR(__xludf.DUMMYFUNCTION("""COMPUTED_VALUE"""),0.0)</f>
        <v>0</v>
      </c>
    </row>
    <row r="3442">
      <c r="A3442" s="7">
        <f>IFERROR(__xludf.DUMMYFUNCTION("""COMPUTED_VALUE"""),41822.645833333336)</f>
        <v>41822.64583</v>
      </c>
      <c r="B3442" s="3">
        <f>IFERROR(__xludf.DUMMYFUNCTION("""COMPUTED_VALUE"""),7683.05)</f>
        <v>7683.05</v>
      </c>
      <c r="C3442" s="3">
        <f>IFERROR(__xludf.DUMMYFUNCTION("""COMPUTED_VALUE"""),7732.4)</f>
        <v>7732.4</v>
      </c>
      <c r="D3442" s="3">
        <f>IFERROR(__xludf.DUMMYFUNCTION("""COMPUTED_VALUE"""),7677.3)</f>
        <v>7677.3</v>
      </c>
      <c r="E3442" s="3">
        <f>IFERROR(__xludf.DUMMYFUNCTION("""COMPUTED_VALUE"""),7725.15)</f>
        <v>7725.15</v>
      </c>
      <c r="F3442" s="3">
        <f>IFERROR(__xludf.DUMMYFUNCTION("""COMPUTED_VALUE"""),0.0)</f>
        <v>0</v>
      </c>
    </row>
    <row r="3443">
      <c r="A3443" s="7">
        <f>IFERROR(__xludf.DUMMYFUNCTION("""COMPUTED_VALUE"""),41823.645833333336)</f>
        <v>41823.64583</v>
      </c>
      <c r="B3443" s="3">
        <f>IFERROR(__xludf.DUMMYFUNCTION("""COMPUTED_VALUE"""),7734.35)</f>
        <v>7734.35</v>
      </c>
      <c r="C3443" s="3">
        <f>IFERROR(__xludf.DUMMYFUNCTION("""COMPUTED_VALUE"""),7754.65)</f>
        <v>7754.65</v>
      </c>
      <c r="D3443" s="3">
        <f>IFERROR(__xludf.DUMMYFUNCTION("""COMPUTED_VALUE"""),7706.8)</f>
        <v>7706.8</v>
      </c>
      <c r="E3443" s="3">
        <f>IFERROR(__xludf.DUMMYFUNCTION("""COMPUTED_VALUE"""),7714.8)</f>
        <v>7714.8</v>
      </c>
      <c r="F3443" s="3">
        <f>IFERROR(__xludf.DUMMYFUNCTION("""COMPUTED_VALUE"""),0.0)</f>
        <v>0</v>
      </c>
    </row>
    <row r="3444">
      <c r="A3444" s="7">
        <f>IFERROR(__xludf.DUMMYFUNCTION("""COMPUTED_VALUE"""),41824.645833333336)</f>
        <v>41824.64583</v>
      </c>
      <c r="B3444" s="3">
        <f>IFERROR(__xludf.DUMMYFUNCTION("""COMPUTED_VALUE"""),7718.1)</f>
        <v>7718.1</v>
      </c>
      <c r="C3444" s="3">
        <f>IFERROR(__xludf.DUMMYFUNCTION("""COMPUTED_VALUE"""),7758.0)</f>
        <v>7758</v>
      </c>
      <c r="D3444" s="3">
        <f>IFERROR(__xludf.DUMMYFUNCTION("""COMPUTED_VALUE"""),7661.3)</f>
        <v>7661.3</v>
      </c>
      <c r="E3444" s="3">
        <f>IFERROR(__xludf.DUMMYFUNCTION("""COMPUTED_VALUE"""),7751.6)</f>
        <v>7751.6</v>
      </c>
      <c r="F3444" s="3">
        <f>IFERROR(__xludf.DUMMYFUNCTION("""COMPUTED_VALUE"""),0.0)</f>
        <v>0</v>
      </c>
    </row>
    <row r="3445">
      <c r="A3445" s="7">
        <f>IFERROR(__xludf.DUMMYFUNCTION("""COMPUTED_VALUE"""),41827.645833333336)</f>
        <v>41827.64583</v>
      </c>
      <c r="B3445" s="3">
        <f>IFERROR(__xludf.DUMMYFUNCTION("""COMPUTED_VALUE"""),7780.4)</f>
        <v>7780.4</v>
      </c>
      <c r="C3445" s="3">
        <f>IFERROR(__xludf.DUMMYFUNCTION("""COMPUTED_VALUE"""),7792.0)</f>
        <v>7792</v>
      </c>
      <c r="D3445" s="3">
        <f>IFERROR(__xludf.DUMMYFUNCTION("""COMPUTED_VALUE"""),7755.1)</f>
        <v>7755.1</v>
      </c>
      <c r="E3445" s="3">
        <f>IFERROR(__xludf.DUMMYFUNCTION("""COMPUTED_VALUE"""),7787.15)</f>
        <v>7787.15</v>
      </c>
      <c r="F3445" s="3">
        <f>IFERROR(__xludf.DUMMYFUNCTION("""COMPUTED_VALUE"""),0.0)</f>
        <v>0</v>
      </c>
    </row>
    <row r="3446">
      <c r="A3446" s="7">
        <f>IFERROR(__xludf.DUMMYFUNCTION("""COMPUTED_VALUE"""),41828.645833333336)</f>
        <v>41828.64583</v>
      </c>
      <c r="B3446" s="3">
        <f>IFERROR(__xludf.DUMMYFUNCTION("""COMPUTED_VALUE"""),7804.05)</f>
        <v>7804.05</v>
      </c>
      <c r="C3446" s="3">
        <f>IFERROR(__xludf.DUMMYFUNCTION("""COMPUTED_VALUE"""),7808.85)</f>
        <v>7808.85</v>
      </c>
      <c r="D3446" s="3">
        <f>IFERROR(__xludf.DUMMYFUNCTION("""COMPUTED_VALUE"""),7595.9)</f>
        <v>7595.9</v>
      </c>
      <c r="E3446" s="3">
        <f>IFERROR(__xludf.DUMMYFUNCTION("""COMPUTED_VALUE"""),7623.2)</f>
        <v>7623.2</v>
      </c>
      <c r="F3446" s="3">
        <f>IFERROR(__xludf.DUMMYFUNCTION("""COMPUTED_VALUE"""),0.0)</f>
        <v>0</v>
      </c>
    </row>
    <row r="3447">
      <c r="A3447" s="7">
        <f>IFERROR(__xludf.DUMMYFUNCTION("""COMPUTED_VALUE"""),41829.645833333336)</f>
        <v>41829.64583</v>
      </c>
      <c r="B3447" s="3">
        <f>IFERROR(__xludf.DUMMYFUNCTION("""COMPUTED_VALUE"""),7637.95)</f>
        <v>7637.95</v>
      </c>
      <c r="C3447" s="3">
        <f>IFERROR(__xludf.DUMMYFUNCTION("""COMPUTED_VALUE"""),7650.1)</f>
        <v>7650.1</v>
      </c>
      <c r="D3447" s="3">
        <f>IFERROR(__xludf.DUMMYFUNCTION("""COMPUTED_VALUE"""),7551.65)</f>
        <v>7551.65</v>
      </c>
      <c r="E3447" s="3">
        <f>IFERROR(__xludf.DUMMYFUNCTION("""COMPUTED_VALUE"""),7585.0)</f>
        <v>7585</v>
      </c>
      <c r="F3447" s="3">
        <f>IFERROR(__xludf.DUMMYFUNCTION("""COMPUTED_VALUE"""),0.0)</f>
        <v>0</v>
      </c>
    </row>
    <row r="3448">
      <c r="A3448" s="7">
        <f>IFERROR(__xludf.DUMMYFUNCTION("""COMPUTED_VALUE"""),41830.645833333336)</f>
        <v>41830.64583</v>
      </c>
      <c r="B3448" s="3">
        <f>IFERROR(__xludf.DUMMYFUNCTION("""COMPUTED_VALUE"""),7589.5)</f>
        <v>7589.5</v>
      </c>
      <c r="C3448" s="3">
        <f>IFERROR(__xludf.DUMMYFUNCTION("""COMPUTED_VALUE"""),7731.05)</f>
        <v>7731.05</v>
      </c>
      <c r="D3448" s="3">
        <f>IFERROR(__xludf.DUMMYFUNCTION("""COMPUTED_VALUE"""),7479.05)</f>
        <v>7479.05</v>
      </c>
      <c r="E3448" s="3">
        <f>IFERROR(__xludf.DUMMYFUNCTION("""COMPUTED_VALUE"""),7567.75)</f>
        <v>7567.75</v>
      </c>
      <c r="F3448" s="3">
        <f>IFERROR(__xludf.DUMMYFUNCTION("""COMPUTED_VALUE"""),0.0)</f>
        <v>0</v>
      </c>
    </row>
    <row r="3449">
      <c r="A3449" s="7">
        <f>IFERROR(__xludf.DUMMYFUNCTION("""COMPUTED_VALUE"""),41831.645833333336)</f>
        <v>41831.64583</v>
      </c>
      <c r="B3449" s="3">
        <f>IFERROR(__xludf.DUMMYFUNCTION("""COMPUTED_VALUE"""),7584.1)</f>
        <v>7584.1</v>
      </c>
      <c r="C3449" s="3">
        <f>IFERROR(__xludf.DUMMYFUNCTION("""COMPUTED_VALUE"""),7625.85)</f>
        <v>7625.85</v>
      </c>
      <c r="D3449" s="3">
        <f>IFERROR(__xludf.DUMMYFUNCTION("""COMPUTED_VALUE"""),7447.2)</f>
        <v>7447.2</v>
      </c>
      <c r="E3449" s="3">
        <f>IFERROR(__xludf.DUMMYFUNCTION("""COMPUTED_VALUE"""),7459.6)</f>
        <v>7459.6</v>
      </c>
      <c r="F3449" s="3">
        <f>IFERROR(__xludf.DUMMYFUNCTION("""COMPUTED_VALUE"""),0.0)</f>
        <v>0</v>
      </c>
    </row>
    <row r="3450">
      <c r="A3450" s="7">
        <f>IFERROR(__xludf.DUMMYFUNCTION("""COMPUTED_VALUE"""),41834.645833333336)</f>
        <v>41834.64583</v>
      </c>
      <c r="B3450" s="3">
        <f>IFERROR(__xludf.DUMMYFUNCTION("""COMPUTED_VALUE"""),7469.0)</f>
        <v>7469</v>
      </c>
      <c r="C3450" s="3">
        <f>IFERROR(__xludf.DUMMYFUNCTION("""COMPUTED_VALUE"""),7478.45)</f>
        <v>7478.45</v>
      </c>
      <c r="D3450" s="3">
        <f>IFERROR(__xludf.DUMMYFUNCTION("""COMPUTED_VALUE"""),7422.15)</f>
        <v>7422.15</v>
      </c>
      <c r="E3450" s="3">
        <f>IFERROR(__xludf.DUMMYFUNCTION("""COMPUTED_VALUE"""),7454.15)</f>
        <v>7454.15</v>
      </c>
      <c r="F3450" s="3">
        <f>IFERROR(__xludf.DUMMYFUNCTION("""COMPUTED_VALUE"""),0.0)</f>
        <v>0</v>
      </c>
    </row>
    <row r="3451">
      <c r="A3451" s="7">
        <f>IFERROR(__xludf.DUMMYFUNCTION("""COMPUTED_VALUE"""),41835.645833333336)</f>
        <v>41835.64583</v>
      </c>
      <c r="B3451" s="3">
        <f>IFERROR(__xludf.DUMMYFUNCTION("""COMPUTED_VALUE"""),7491.3)</f>
        <v>7491.3</v>
      </c>
      <c r="C3451" s="3">
        <f>IFERROR(__xludf.DUMMYFUNCTION("""COMPUTED_VALUE"""),7534.9)</f>
        <v>7534.9</v>
      </c>
      <c r="D3451" s="3">
        <f>IFERROR(__xludf.DUMMYFUNCTION("""COMPUTED_VALUE"""),7459.15)</f>
        <v>7459.15</v>
      </c>
      <c r="E3451" s="3">
        <f>IFERROR(__xludf.DUMMYFUNCTION("""COMPUTED_VALUE"""),7526.65)</f>
        <v>7526.65</v>
      </c>
      <c r="F3451" s="3">
        <f>IFERROR(__xludf.DUMMYFUNCTION("""COMPUTED_VALUE"""),0.0)</f>
        <v>0</v>
      </c>
    </row>
    <row r="3452">
      <c r="A3452" s="7">
        <f>IFERROR(__xludf.DUMMYFUNCTION("""COMPUTED_VALUE"""),41836.645833333336)</f>
        <v>41836.64583</v>
      </c>
      <c r="B3452" s="3">
        <f>IFERROR(__xludf.DUMMYFUNCTION("""COMPUTED_VALUE"""),7564.15)</f>
        <v>7564.15</v>
      </c>
      <c r="C3452" s="3">
        <f>IFERROR(__xludf.DUMMYFUNCTION("""COMPUTED_VALUE"""),7640.1)</f>
        <v>7640.1</v>
      </c>
      <c r="D3452" s="3">
        <f>IFERROR(__xludf.DUMMYFUNCTION("""COMPUTED_VALUE"""),7532.45)</f>
        <v>7532.45</v>
      </c>
      <c r="E3452" s="3">
        <f>IFERROR(__xludf.DUMMYFUNCTION("""COMPUTED_VALUE"""),7624.4)</f>
        <v>7624.4</v>
      </c>
      <c r="F3452" s="3">
        <f>IFERROR(__xludf.DUMMYFUNCTION("""COMPUTED_VALUE"""),0.0)</f>
        <v>0</v>
      </c>
    </row>
    <row r="3453">
      <c r="A3453" s="7">
        <f>IFERROR(__xludf.DUMMYFUNCTION("""COMPUTED_VALUE"""),41837.645833333336)</f>
        <v>41837.64583</v>
      </c>
      <c r="B3453" s="3">
        <f>IFERROR(__xludf.DUMMYFUNCTION("""COMPUTED_VALUE"""),7612.7)</f>
        <v>7612.7</v>
      </c>
      <c r="C3453" s="3">
        <f>IFERROR(__xludf.DUMMYFUNCTION("""COMPUTED_VALUE"""),7655.65)</f>
        <v>7655.65</v>
      </c>
      <c r="D3453" s="3">
        <f>IFERROR(__xludf.DUMMYFUNCTION("""COMPUTED_VALUE"""),7612.7)</f>
        <v>7612.7</v>
      </c>
      <c r="E3453" s="3">
        <f>IFERROR(__xludf.DUMMYFUNCTION("""COMPUTED_VALUE"""),7640.45)</f>
        <v>7640.45</v>
      </c>
      <c r="F3453" s="3">
        <f>IFERROR(__xludf.DUMMYFUNCTION("""COMPUTED_VALUE"""),0.0)</f>
        <v>0</v>
      </c>
    </row>
    <row r="3454">
      <c r="A3454" s="7">
        <f>IFERROR(__xludf.DUMMYFUNCTION("""COMPUTED_VALUE"""),41838.645833333336)</f>
        <v>41838.64583</v>
      </c>
      <c r="B3454" s="3">
        <f>IFERROR(__xludf.DUMMYFUNCTION("""COMPUTED_VALUE"""),7630.25)</f>
        <v>7630.25</v>
      </c>
      <c r="C3454" s="3">
        <f>IFERROR(__xludf.DUMMYFUNCTION("""COMPUTED_VALUE"""),7685.0)</f>
        <v>7685</v>
      </c>
      <c r="D3454" s="3">
        <f>IFERROR(__xludf.DUMMYFUNCTION("""COMPUTED_VALUE"""),7595.5)</f>
        <v>7595.5</v>
      </c>
      <c r="E3454" s="3">
        <f>IFERROR(__xludf.DUMMYFUNCTION("""COMPUTED_VALUE"""),7663.9)</f>
        <v>7663.9</v>
      </c>
      <c r="F3454" s="3">
        <f>IFERROR(__xludf.DUMMYFUNCTION("""COMPUTED_VALUE"""),0.0)</f>
        <v>0</v>
      </c>
    </row>
    <row r="3455">
      <c r="A3455" s="7">
        <f>IFERROR(__xludf.DUMMYFUNCTION("""COMPUTED_VALUE"""),41841.645833333336)</f>
        <v>41841.64583</v>
      </c>
      <c r="B3455" s="3">
        <f>IFERROR(__xludf.DUMMYFUNCTION("""COMPUTED_VALUE"""),7701.65)</f>
        <v>7701.65</v>
      </c>
      <c r="C3455" s="3">
        <f>IFERROR(__xludf.DUMMYFUNCTION("""COMPUTED_VALUE"""),7722.1)</f>
        <v>7722.1</v>
      </c>
      <c r="D3455" s="3">
        <f>IFERROR(__xludf.DUMMYFUNCTION("""COMPUTED_VALUE"""),7674.0)</f>
        <v>7674</v>
      </c>
      <c r="E3455" s="3">
        <f>IFERROR(__xludf.DUMMYFUNCTION("""COMPUTED_VALUE"""),7684.2)</f>
        <v>7684.2</v>
      </c>
      <c r="F3455" s="3">
        <f>IFERROR(__xludf.DUMMYFUNCTION("""COMPUTED_VALUE"""),0.0)</f>
        <v>0</v>
      </c>
    </row>
    <row r="3456">
      <c r="A3456" s="7">
        <f>IFERROR(__xludf.DUMMYFUNCTION("""COMPUTED_VALUE"""),41842.645833333336)</f>
        <v>41842.64583</v>
      </c>
      <c r="B3456" s="3">
        <f>IFERROR(__xludf.DUMMYFUNCTION("""COMPUTED_VALUE"""),7708.2)</f>
        <v>7708.2</v>
      </c>
      <c r="C3456" s="3">
        <f>IFERROR(__xludf.DUMMYFUNCTION("""COMPUTED_VALUE"""),7773.85)</f>
        <v>7773.85</v>
      </c>
      <c r="D3456" s="3">
        <f>IFERROR(__xludf.DUMMYFUNCTION("""COMPUTED_VALUE"""),7704.8)</f>
        <v>7704.8</v>
      </c>
      <c r="E3456" s="3">
        <f>IFERROR(__xludf.DUMMYFUNCTION("""COMPUTED_VALUE"""),7767.85)</f>
        <v>7767.85</v>
      </c>
      <c r="F3456" s="3">
        <f>IFERROR(__xludf.DUMMYFUNCTION("""COMPUTED_VALUE"""),0.0)</f>
        <v>0</v>
      </c>
    </row>
    <row r="3457">
      <c r="A3457" s="7">
        <f>IFERROR(__xludf.DUMMYFUNCTION("""COMPUTED_VALUE"""),41843.645833333336)</f>
        <v>41843.64583</v>
      </c>
      <c r="B3457" s="3">
        <f>IFERROR(__xludf.DUMMYFUNCTION("""COMPUTED_VALUE"""),7794.9)</f>
        <v>7794.9</v>
      </c>
      <c r="C3457" s="3">
        <f>IFERROR(__xludf.DUMMYFUNCTION("""COMPUTED_VALUE"""),7809.2)</f>
        <v>7809.2</v>
      </c>
      <c r="D3457" s="3">
        <f>IFERROR(__xludf.DUMMYFUNCTION("""COMPUTED_VALUE"""),7752.9)</f>
        <v>7752.9</v>
      </c>
      <c r="E3457" s="3">
        <f>IFERROR(__xludf.DUMMYFUNCTION("""COMPUTED_VALUE"""),7795.75)</f>
        <v>7795.75</v>
      </c>
      <c r="F3457" s="3">
        <f>IFERROR(__xludf.DUMMYFUNCTION("""COMPUTED_VALUE"""),0.0)</f>
        <v>0</v>
      </c>
    </row>
    <row r="3458">
      <c r="A3458" s="7">
        <f>IFERROR(__xludf.DUMMYFUNCTION("""COMPUTED_VALUE"""),41844.645833333336)</f>
        <v>41844.64583</v>
      </c>
      <c r="B3458" s="3">
        <f>IFERROR(__xludf.DUMMYFUNCTION("""COMPUTED_VALUE"""),7796.25)</f>
        <v>7796.25</v>
      </c>
      <c r="C3458" s="3">
        <f>IFERROR(__xludf.DUMMYFUNCTION("""COMPUTED_VALUE"""),7835.65)</f>
        <v>7835.65</v>
      </c>
      <c r="D3458" s="3">
        <f>IFERROR(__xludf.DUMMYFUNCTION("""COMPUTED_VALUE"""),7771.65)</f>
        <v>7771.65</v>
      </c>
      <c r="E3458" s="3">
        <f>IFERROR(__xludf.DUMMYFUNCTION("""COMPUTED_VALUE"""),7830.6)</f>
        <v>7830.6</v>
      </c>
      <c r="F3458" s="3">
        <f>IFERROR(__xludf.DUMMYFUNCTION("""COMPUTED_VALUE"""),0.0)</f>
        <v>0</v>
      </c>
    </row>
    <row r="3459">
      <c r="A3459" s="7">
        <f>IFERROR(__xludf.DUMMYFUNCTION("""COMPUTED_VALUE"""),41845.645833333336)</f>
        <v>41845.64583</v>
      </c>
      <c r="B3459" s="3">
        <f>IFERROR(__xludf.DUMMYFUNCTION("""COMPUTED_VALUE"""),7828.2)</f>
        <v>7828.2</v>
      </c>
      <c r="C3459" s="3">
        <f>IFERROR(__xludf.DUMMYFUNCTION("""COMPUTED_VALUE"""),7840.95)</f>
        <v>7840.95</v>
      </c>
      <c r="D3459" s="3">
        <f>IFERROR(__xludf.DUMMYFUNCTION("""COMPUTED_VALUE"""),7748.6)</f>
        <v>7748.6</v>
      </c>
      <c r="E3459" s="3">
        <f>IFERROR(__xludf.DUMMYFUNCTION("""COMPUTED_VALUE"""),7790.45)</f>
        <v>7790.45</v>
      </c>
      <c r="F3459" s="3">
        <f>IFERROR(__xludf.DUMMYFUNCTION("""COMPUTED_VALUE"""),0.0)</f>
        <v>0</v>
      </c>
    </row>
    <row r="3460">
      <c r="A3460" s="7">
        <f>IFERROR(__xludf.DUMMYFUNCTION("""COMPUTED_VALUE"""),41848.645833333336)</f>
        <v>41848.64583</v>
      </c>
      <c r="B3460" s="3">
        <f>IFERROR(__xludf.DUMMYFUNCTION("""COMPUTED_VALUE"""),7792.9)</f>
        <v>7792.9</v>
      </c>
      <c r="C3460" s="3">
        <f>IFERROR(__xludf.DUMMYFUNCTION("""COMPUTED_VALUE"""),7799.9)</f>
        <v>7799.9</v>
      </c>
      <c r="D3460" s="3">
        <f>IFERROR(__xludf.DUMMYFUNCTION("""COMPUTED_VALUE"""),7722.65)</f>
        <v>7722.65</v>
      </c>
      <c r="E3460" s="3">
        <f>IFERROR(__xludf.DUMMYFUNCTION("""COMPUTED_VALUE"""),7748.7)</f>
        <v>7748.7</v>
      </c>
      <c r="F3460" s="3">
        <f>IFERROR(__xludf.DUMMYFUNCTION("""COMPUTED_VALUE"""),0.0)</f>
        <v>0</v>
      </c>
    </row>
    <row r="3461">
      <c r="A3461" s="7">
        <f>IFERROR(__xludf.DUMMYFUNCTION("""COMPUTED_VALUE"""),41850.645833333336)</f>
        <v>41850.64583</v>
      </c>
      <c r="B3461" s="3">
        <f>IFERROR(__xludf.DUMMYFUNCTION("""COMPUTED_VALUE"""),7746.2)</f>
        <v>7746.2</v>
      </c>
      <c r="C3461" s="3">
        <f>IFERROR(__xludf.DUMMYFUNCTION("""COMPUTED_VALUE"""),7798.7)</f>
        <v>7798.7</v>
      </c>
      <c r="D3461" s="3">
        <f>IFERROR(__xludf.DUMMYFUNCTION("""COMPUTED_VALUE"""),7707.6)</f>
        <v>7707.6</v>
      </c>
      <c r="E3461" s="3">
        <f>IFERROR(__xludf.DUMMYFUNCTION("""COMPUTED_VALUE"""),7791.4)</f>
        <v>7791.4</v>
      </c>
      <c r="F3461" s="3">
        <f>IFERROR(__xludf.DUMMYFUNCTION("""COMPUTED_VALUE"""),0.0)</f>
        <v>0</v>
      </c>
    </row>
    <row r="3462">
      <c r="A3462" s="7">
        <f>IFERROR(__xludf.DUMMYFUNCTION("""COMPUTED_VALUE"""),41851.645833333336)</f>
        <v>41851.64583</v>
      </c>
      <c r="B3462" s="3">
        <f>IFERROR(__xludf.DUMMYFUNCTION("""COMPUTED_VALUE"""),7784.65)</f>
        <v>7784.65</v>
      </c>
      <c r="C3462" s="3">
        <f>IFERROR(__xludf.DUMMYFUNCTION("""COMPUTED_VALUE"""),7791.85)</f>
        <v>7791.85</v>
      </c>
      <c r="D3462" s="3">
        <f>IFERROR(__xludf.DUMMYFUNCTION("""COMPUTED_VALUE"""),7711.15)</f>
        <v>7711.15</v>
      </c>
      <c r="E3462" s="3">
        <f>IFERROR(__xludf.DUMMYFUNCTION("""COMPUTED_VALUE"""),7721.3)</f>
        <v>7721.3</v>
      </c>
      <c r="F3462" s="3">
        <f>IFERROR(__xludf.DUMMYFUNCTION("""COMPUTED_VALUE"""),0.0)</f>
        <v>0</v>
      </c>
    </row>
    <row r="3463">
      <c r="A3463" s="7">
        <f>IFERROR(__xludf.DUMMYFUNCTION("""COMPUTED_VALUE"""),41852.645833333336)</f>
        <v>41852.64583</v>
      </c>
      <c r="B3463" s="3">
        <f>IFERROR(__xludf.DUMMYFUNCTION("""COMPUTED_VALUE"""),7662.5)</f>
        <v>7662.5</v>
      </c>
      <c r="C3463" s="3">
        <f>IFERROR(__xludf.DUMMYFUNCTION("""COMPUTED_VALUE"""),7716.7)</f>
        <v>7716.7</v>
      </c>
      <c r="D3463" s="3">
        <f>IFERROR(__xludf.DUMMYFUNCTION("""COMPUTED_VALUE"""),7593.9)</f>
        <v>7593.9</v>
      </c>
      <c r="E3463" s="3">
        <f>IFERROR(__xludf.DUMMYFUNCTION("""COMPUTED_VALUE"""),7602.6)</f>
        <v>7602.6</v>
      </c>
      <c r="F3463" s="3">
        <f>IFERROR(__xludf.DUMMYFUNCTION("""COMPUTED_VALUE"""),0.0)</f>
        <v>0</v>
      </c>
    </row>
    <row r="3464">
      <c r="A3464" s="7">
        <f>IFERROR(__xludf.DUMMYFUNCTION("""COMPUTED_VALUE"""),41855.645833333336)</f>
        <v>41855.64583</v>
      </c>
      <c r="B3464" s="3">
        <f>IFERROR(__xludf.DUMMYFUNCTION("""COMPUTED_VALUE"""),7639.55)</f>
        <v>7639.55</v>
      </c>
      <c r="C3464" s="3">
        <f>IFERROR(__xludf.DUMMYFUNCTION("""COMPUTED_VALUE"""),7694.8)</f>
        <v>7694.8</v>
      </c>
      <c r="D3464" s="3">
        <f>IFERROR(__xludf.DUMMYFUNCTION("""COMPUTED_VALUE"""),7622.05)</f>
        <v>7622.05</v>
      </c>
      <c r="E3464" s="3">
        <f>IFERROR(__xludf.DUMMYFUNCTION("""COMPUTED_VALUE"""),7683.65)</f>
        <v>7683.65</v>
      </c>
      <c r="F3464" s="3">
        <f>IFERROR(__xludf.DUMMYFUNCTION("""COMPUTED_VALUE"""),0.0)</f>
        <v>0</v>
      </c>
    </row>
    <row r="3465">
      <c r="A3465" s="7">
        <f>IFERROR(__xludf.DUMMYFUNCTION("""COMPUTED_VALUE"""),41856.645833333336)</f>
        <v>41856.64583</v>
      </c>
      <c r="B3465" s="3">
        <f>IFERROR(__xludf.DUMMYFUNCTION("""COMPUTED_VALUE"""),7706.65)</f>
        <v>7706.65</v>
      </c>
      <c r="C3465" s="3">
        <f>IFERROR(__xludf.DUMMYFUNCTION("""COMPUTED_VALUE"""),7752.45)</f>
        <v>7752.45</v>
      </c>
      <c r="D3465" s="3">
        <f>IFERROR(__xludf.DUMMYFUNCTION("""COMPUTED_VALUE"""),7638.05)</f>
        <v>7638.05</v>
      </c>
      <c r="E3465" s="3">
        <f>IFERROR(__xludf.DUMMYFUNCTION("""COMPUTED_VALUE"""),7746.55)</f>
        <v>7746.55</v>
      </c>
      <c r="F3465" s="3">
        <f>IFERROR(__xludf.DUMMYFUNCTION("""COMPUTED_VALUE"""),0.0)</f>
        <v>0</v>
      </c>
    </row>
    <row r="3466">
      <c r="A3466" s="7">
        <f>IFERROR(__xludf.DUMMYFUNCTION("""COMPUTED_VALUE"""),41857.645833333336)</f>
        <v>41857.64583</v>
      </c>
      <c r="B3466" s="3">
        <f>IFERROR(__xludf.DUMMYFUNCTION("""COMPUTED_VALUE"""),7726.15)</f>
        <v>7726.15</v>
      </c>
      <c r="C3466" s="3">
        <f>IFERROR(__xludf.DUMMYFUNCTION("""COMPUTED_VALUE"""),7740.95)</f>
        <v>7740.95</v>
      </c>
      <c r="D3466" s="3">
        <f>IFERROR(__xludf.DUMMYFUNCTION("""COMPUTED_VALUE"""),7658.95)</f>
        <v>7658.95</v>
      </c>
      <c r="E3466" s="3">
        <f>IFERROR(__xludf.DUMMYFUNCTION("""COMPUTED_VALUE"""),7672.05)</f>
        <v>7672.05</v>
      </c>
      <c r="F3466" s="3">
        <f>IFERROR(__xludf.DUMMYFUNCTION("""COMPUTED_VALUE"""),0.0)</f>
        <v>0</v>
      </c>
    </row>
    <row r="3467">
      <c r="A3467" s="7">
        <f>IFERROR(__xludf.DUMMYFUNCTION("""COMPUTED_VALUE"""),41858.645833333336)</f>
        <v>41858.64583</v>
      </c>
      <c r="B3467" s="3">
        <f>IFERROR(__xludf.DUMMYFUNCTION("""COMPUTED_VALUE"""),7651.15)</f>
        <v>7651.15</v>
      </c>
      <c r="C3467" s="3">
        <f>IFERROR(__xludf.DUMMYFUNCTION("""COMPUTED_VALUE"""),7708.95)</f>
        <v>7708.95</v>
      </c>
      <c r="D3467" s="3">
        <f>IFERROR(__xludf.DUMMYFUNCTION("""COMPUTED_VALUE"""),7630.4)</f>
        <v>7630.4</v>
      </c>
      <c r="E3467" s="3">
        <f>IFERROR(__xludf.DUMMYFUNCTION("""COMPUTED_VALUE"""),7649.25)</f>
        <v>7649.25</v>
      </c>
      <c r="F3467" s="3">
        <f>IFERROR(__xludf.DUMMYFUNCTION("""COMPUTED_VALUE"""),0.0)</f>
        <v>0</v>
      </c>
    </row>
    <row r="3468">
      <c r="A3468" s="7">
        <f>IFERROR(__xludf.DUMMYFUNCTION("""COMPUTED_VALUE"""),41859.645833333336)</f>
        <v>41859.64583</v>
      </c>
      <c r="B3468" s="3">
        <f>IFERROR(__xludf.DUMMYFUNCTION("""COMPUTED_VALUE"""),7588.7)</f>
        <v>7588.7</v>
      </c>
      <c r="C3468" s="3">
        <f>IFERROR(__xludf.DUMMYFUNCTION("""COMPUTED_VALUE"""),7592.45)</f>
        <v>7592.45</v>
      </c>
      <c r="D3468" s="3">
        <f>IFERROR(__xludf.DUMMYFUNCTION("""COMPUTED_VALUE"""),7540.1)</f>
        <v>7540.1</v>
      </c>
      <c r="E3468" s="3">
        <f>IFERROR(__xludf.DUMMYFUNCTION("""COMPUTED_VALUE"""),7568.55)</f>
        <v>7568.55</v>
      </c>
      <c r="F3468" s="3">
        <f>IFERROR(__xludf.DUMMYFUNCTION("""COMPUTED_VALUE"""),0.0)</f>
        <v>0</v>
      </c>
    </row>
    <row r="3469">
      <c r="A3469" s="7">
        <f>IFERROR(__xludf.DUMMYFUNCTION("""COMPUTED_VALUE"""),41862.645833333336)</f>
        <v>41862.64583</v>
      </c>
      <c r="B3469" s="3">
        <f>IFERROR(__xludf.DUMMYFUNCTION("""COMPUTED_VALUE"""),7619.85)</f>
        <v>7619.85</v>
      </c>
      <c r="C3469" s="3">
        <f>IFERROR(__xludf.DUMMYFUNCTION("""COMPUTED_VALUE"""),7635.55)</f>
        <v>7635.55</v>
      </c>
      <c r="D3469" s="3">
        <f>IFERROR(__xludf.DUMMYFUNCTION("""COMPUTED_VALUE"""),7598.6)</f>
        <v>7598.6</v>
      </c>
      <c r="E3469" s="3">
        <f>IFERROR(__xludf.DUMMYFUNCTION("""COMPUTED_VALUE"""),7625.95)</f>
        <v>7625.95</v>
      </c>
      <c r="F3469" s="3">
        <f>IFERROR(__xludf.DUMMYFUNCTION("""COMPUTED_VALUE"""),0.0)</f>
        <v>0</v>
      </c>
    </row>
    <row r="3470">
      <c r="A3470" s="7">
        <f>IFERROR(__xludf.DUMMYFUNCTION("""COMPUTED_VALUE"""),41863.645833333336)</f>
        <v>41863.64583</v>
      </c>
      <c r="B3470" s="3">
        <f>IFERROR(__xludf.DUMMYFUNCTION("""COMPUTED_VALUE"""),7688.8)</f>
        <v>7688.8</v>
      </c>
      <c r="C3470" s="3">
        <f>IFERROR(__xludf.DUMMYFUNCTION("""COMPUTED_VALUE"""),7735.75)</f>
        <v>7735.75</v>
      </c>
      <c r="D3470" s="3">
        <f>IFERROR(__xludf.DUMMYFUNCTION("""COMPUTED_VALUE"""),7654.8)</f>
        <v>7654.8</v>
      </c>
      <c r="E3470" s="3">
        <f>IFERROR(__xludf.DUMMYFUNCTION("""COMPUTED_VALUE"""),7727.05)</f>
        <v>7727.05</v>
      </c>
      <c r="F3470" s="3">
        <f>IFERROR(__xludf.DUMMYFUNCTION("""COMPUTED_VALUE"""),0.0)</f>
        <v>0</v>
      </c>
    </row>
    <row r="3471">
      <c r="A3471" s="7">
        <f>IFERROR(__xludf.DUMMYFUNCTION("""COMPUTED_VALUE"""),41864.645833333336)</f>
        <v>41864.64583</v>
      </c>
      <c r="B3471" s="3">
        <f>IFERROR(__xludf.DUMMYFUNCTION("""COMPUTED_VALUE"""),7717.3)</f>
        <v>7717.3</v>
      </c>
      <c r="C3471" s="3">
        <f>IFERROR(__xludf.DUMMYFUNCTION("""COMPUTED_VALUE"""),7757.1)</f>
        <v>7757.1</v>
      </c>
      <c r="D3471" s="3">
        <f>IFERROR(__xludf.DUMMYFUNCTION("""COMPUTED_VALUE"""),7695.7)</f>
        <v>7695.7</v>
      </c>
      <c r="E3471" s="3">
        <f>IFERROR(__xludf.DUMMYFUNCTION("""COMPUTED_VALUE"""),7739.55)</f>
        <v>7739.55</v>
      </c>
      <c r="F3471" s="3">
        <f>IFERROR(__xludf.DUMMYFUNCTION("""COMPUTED_VALUE"""),0.0)</f>
        <v>0</v>
      </c>
    </row>
    <row r="3472">
      <c r="A3472" s="7">
        <f>IFERROR(__xludf.DUMMYFUNCTION("""COMPUTED_VALUE"""),41865.645833333336)</f>
        <v>41865.64583</v>
      </c>
      <c r="B3472" s="3">
        <f>IFERROR(__xludf.DUMMYFUNCTION("""COMPUTED_VALUE"""),7756.15)</f>
        <v>7756.15</v>
      </c>
      <c r="C3472" s="3">
        <f>IFERROR(__xludf.DUMMYFUNCTION("""COMPUTED_VALUE"""),7796.7)</f>
        <v>7796.7</v>
      </c>
      <c r="D3472" s="3">
        <f>IFERROR(__xludf.DUMMYFUNCTION("""COMPUTED_VALUE"""),7739.1)</f>
        <v>7739.1</v>
      </c>
      <c r="E3472" s="3">
        <f>IFERROR(__xludf.DUMMYFUNCTION("""COMPUTED_VALUE"""),7791.7)</f>
        <v>7791.7</v>
      </c>
      <c r="F3472" s="3">
        <f>IFERROR(__xludf.DUMMYFUNCTION("""COMPUTED_VALUE"""),0.0)</f>
        <v>0</v>
      </c>
    </row>
    <row r="3473">
      <c r="A3473" s="7">
        <f>IFERROR(__xludf.DUMMYFUNCTION("""COMPUTED_VALUE"""),41869.645833333336)</f>
        <v>41869.64583</v>
      </c>
      <c r="B3473" s="3">
        <f>IFERROR(__xludf.DUMMYFUNCTION("""COMPUTED_VALUE"""),7785.25)</f>
        <v>7785.25</v>
      </c>
      <c r="C3473" s="3">
        <f>IFERROR(__xludf.DUMMYFUNCTION("""COMPUTED_VALUE"""),7880.5)</f>
        <v>7880.5</v>
      </c>
      <c r="D3473" s="3">
        <f>IFERROR(__xludf.DUMMYFUNCTION("""COMPUTED_VALUE"""),7779.2)</f>
        <v>7779.2</v>
      </c>
      <c r="E3473" s="3">
        <f>IFERROR(__xludf.DUMMYFUNCTION("""COMPUTED_VALUE"""),7874.25)</f>
        <v>7874.25</v>
      </c>
      <c r="F3473" s="3">
        <f>IFERROR(__xludf.DUMMYFUNCTION("""COMPUTED_VALUE"""),0.0)</f>
        <v>0</v>
      </c>
    </row>
    <row r="3474">
      <c r="A3474" s="7">
        <f>IFERROR(__xludf.DUMMYFUNCTION("""COMPUTED_VALUE"""),41870.645833333336)</f>
        <v>41870.64583</v>
      </c>
      <c r="B3474" s="3">
        <f>IFERROR(__xludf.DUMMYFUNCTION("""COMPUTED_VALUE"""),7901.0)</f>
        <v>7901</v>
      </c>
      <c r="C3474" s="3">
        <f>IFERROR(__xludf.DUMMYFUNCTION("""COMPUTED_VALUE"""),7918.55)</f>
        <v>7918.55</v>
      </c>
      <c r="D3474" s="3">
        <f>IFERROR(__xludf.DUMMYFUNCTION("""COMPUTED_VALUE"""),7881.15)</f>
        <v>7881.15</v>
      </c>
      <c r="E3474" s="3">
        <f>IFERROR(__xludf.DUMMYFUNCTION("""COMPUTED_VALUE"""),7897.5)</f>
        <v>7897.5</v>
      </c>
      <c r="F3474" s="3">
        <f>IFERROR(__xludf.DUMMYFUNCTION("""COMPUTED_VALUE"""),0.0)</f>
        <v>0</v>
      </c>
    </row>
    <row r="3475">
      <c r="A3475" s="7">
        <f>IFERROR(__xludf.DUMMYFUNCTION("""COMPUTED_VALUE"""),41871.645833333336)</f>
        <v>41871.64583</v>
      </c>
      <c r="B3475" s="3">
        <f>IFERROR(__xludf.DUMMYFUNCTION("""COMPUTED_VALUE"""),7915.8)</f>
        <v>7915.8</v>
      </c>
      <c r="C3475" s="3">
        <f>IFERROR(__xludf.DUMMYFUNCTION("""COMPUTED_VALUE"""),7922.7)</f>
        <v>7922.7</v>
      </c>
      <c r="D3475" s="3">
        <f>IFERROR(__xludf.DUMMYFUNCTION("""COMPUTED_VALUE"""),7864.05)</f>
        <v>7864.05</v>
      </c>
      <c r="E3475" s="3">
        <f>IFERROR(__xludf.DUMMYFUNCTION("""COMPUTED_VALUE"""),7875.3)</f>
        <v>7875.3</v>
      </c>
      <c r="F3475" s="3">
        <f>IFERROR(__xludf.DUMMYFUNCTION("""COMPUTED_VALUE"""),0.0)</f>
        <v>0</v>
      </c>
    </row>
    <row r="3476">
      <c r="A3476" s="7">
        <f>IFERROR(__xludf.DUMMYFUNCTION("""COMPUTED_VALUE"""),41872.645833333336)</f>
        <v>41872.64583</v>
      </c>
      <c r="B3476" s="3">
        <f>IFERROR(__xludf.DUMMYFUNCTION("""COMPUTED_VALUE"""),7875.35)</f>
        <v>7875.35</v>
      </c>
      <c r="C3476" s="3">
        <f>IFERROR(__xludf.DUMMYFUNCTION("""COMPUTED_VALUE"""),7919.65)</f>
        <v>7919.65</v>
      </c>
      <c r="D3476" s="3">
        <f>IFERROR(__xludf.DUMMYFUNCTION("""COMPUTED_VALUE"""),7855.95)</f>
        <v>7855.95</v>
      </c>
      <c r="E3476" s="3">
        <f>IFERROR(__xludf.DUMMYFUNCTION("""COMPUTED_VALUE"""),7891.1)</f>
        <v>7891.1</v>
      </c>
      <c r="F3476" s="3">
        <f>IFERROR(__xludf.DUMMYFUNCTION("""COMPUTED_VALUE"""),0.0)</f>
        <v>0</v>
      </c>
    </row>
    <row r="3477">
      <c r="A3477" s="7">
        <f>IFERROR(__xludf.DUMMYFUNCTION("""COMPUTED_VALUE"""),41873.645833333336)</f>
        <v>41873.64583</v>
      </c>
      <c r="B3477" s="3">
        <f>IFERROR(__xludf.DUMMYFUNCTION("""COMPUTED_VALUE"""),7904.55)</f>
        <v>7904.55</v>
      </c>
      <c r="C3477" s="3">
        <f>IFERROR(__xludf.DUMMYFUNCTION("""COMPUTED_VALUE"""),7929.05)</f>
        <v>7929.05</v>
      </c>
      <c r="D3477" s="3">
        <f>IFERROR(__xludf.DUMMYFUNCTION("""COMPUTED_VALUE"""),7900.05)</f>
        <v>7900.05</v>
      </c>
      <c r="E3477" s="3">
        <f>IFERROR(__xludf.DUMMYFUNCTION("""COMPUTED_VALUE"""),7913.2)</f>
        <v>7913.2</v>
      </c>
      <c r="F3477" s="3">
        <f>IFERROR(__xludf.DUMMYFUNCTION("""COMPUTED_VALUE"""),0.0)</f>
        <v>0</v>
      </c>
    </row>
    <row r="3478">
      <c r="A3478" s="7">
        <f>IFERROR(__xludf.DUMMYFUNCTION("""COMPUTED_VALUE"""),41876.645833333336)</f>
        <v>41876.64583</v>
      </c>
      <c r="B3478" s="3">
        <f>IFERROR(__xludf.DUMMYFUNCTION("""COMPUTED_VALUE"""),7931.75)</f>
        <v>7931.75</v>
      </c>
      <c r="C3478" s="3">
        <f>IFERROR(__xludf.DUMMYFUNCTION("""COMPUTED_VALUE"""),7968.25)</f>
        <v>7968.25</v>
      </c>
      <c r="D3478" s="3">
        <f>IFERROR(__xludf.DUMMYFUNCTION("""COMPUTED_VALUE"""),7897.95)</f>
        <v>7897.95</v>
      </c>
      <c r="E3478" s="3">
        <f>IFERROR(__xludf.DUMMYFUNCTION("""COMPUTED_VALUE"""),7906.3)</f>
        <v>7906.3</v>
      </c>
      <c r="F3478" s="3">
        <f>IFERROR(__xludf.DUMMYFUNCTION("""COMPUTED_VALUE"""),0.0)</f>
        <v>0</v>
      </c>
    </row>
    <row r="3479">
      <c r="A3479" s="7">
        <f>IFERROR(__xludf.DUMMYFUNCTION("""COMPUTED_VALUE"""),41877.645833333336)</f>
        <v>41877.64583</v>
      </c>
      <c r="B3479" s="3">
        <f>IFERROR(__xludf.DUMMYFUNCTION("""COMPUTED_VALUE"""),7874.5)</f>
        <v>7874.5</v>
      </c>
      <c r="C3479" s="3">
        <f>IFERROR(__xludf.DUMMYFUNCTION("""COMPUTED_VALUE"""),7915.45)</f>
        <v>7915.45</v>
      </c>
      <c r="D3479" s="3">
        <f>IFERROR(__xludf.DUMMYFUNCTION("""COMPUTED_VALUE"""),7862.45)</f>
        <v>7862.45</v>
      </c>
      <c r="E3479" s="3">
        <f>IFERROR(__xludf.DUMMYFUNCTION("""COMPUTED_VALUE"""),7904.75)</f>
        <v>7904.75</v>
      </c>
      <c r="F3479" s="3">
        <f>IFERROR(__xludf.DUMMYFUNCTION("""COMPUTED_VALUE"""),0.0)</f>
        <v>0</v>
      </c>
    </row>
    <row r="3480">
      <c r="A3480" s="7">
        <f>IFERROR(__xludf.DUMMYFUNCTION("""COMPUTED_VALUE"""),41878.645833333336)</f>
        <v>41878.64583</v>
      </c>
      <c r="B3480" s="3">
        <f>IFERROR(__xludf.DUMMYFUNCTION("""COMPUTED_VALUE"""),7933.9)</f>
        <v>7933.9</v>
      </c>
      <c r="C3480" s="3">
        <f>IFERROR(__xludf.DUMMYFUNCTION("""COMPUTED_VALUE"""),7946.85)</f>
        <v>7946.85</v>
      </c>
      <c r="D3480" s="3">
        <f>IFERROR(__xludf.DUMMYFUNCTION("""COMPUTED_VALUE"""),7916.55)</f>
        <v>7916.55</v>
      </c>
      <c r="E3480" s="3">
        <f>IFERROR(__xludf.DUMMYFUNCTION("""COMPUTED_VALUE"""),7936.05)</f>
        <v>7936.05</v>
      </c>
      <c r="F3480" s="3">
        <f>IFERROR(__xludf.DUMMYFUNCTION("""COMPUTED_VALUE"""),0.0)</f>
        <v>0</v>
      </c>
    </row>
    <row r="3481">
      <c r="A3481" s="7">
        <f>IFERROR(__xludf.DUMMYFUNCTION("""COMPUTED_VALUE"""),41879.645833333336)</f>
        <v>41879.64583</v>
      </c>
      <c r="B3481" s="3">
        <f>IFERROR(__xludf.DUMMYFUNCTION("""COMPUTED_VALUE"""),7942.25)</f>
        <v>7942.25</v>
      </c>
      <c r="C3481" s="3">
        <f>IFERROR(__xludf.DUMMYFUNCTION("""COMPUTED_VALUE"""),7967.8)</f>
        <v>7967.8</v>
      </c>
      <c r="D3481" s="3">
        <f>IFERROR(__xludf.DUMMYFUNCTION("""COMPUTED_VALUE"""),7939.2)</f>
        <v>7939.2</v>
      </c>
      <c r="E3481" s="3">
        <f>IFERROR(__xludf.DUMMYFUNCTION("""COMPUTED_VALUE"""),7954.35)</f>
        <v>7954.35</v>
      </c>
      <c r="F3481" s="3">
        <f>IFERROR(__xludf.DUMMYFUNCTION("""COMPUTED_VALUE"""),0.0)</f>
        <v>0</v>
      </c>
    </row>
    <row r="3482">
      <c r="A3482" s="7">
        <f>IFERROR(__xludf.DUMMYFUNCTION("""COMPUTED_VALUE"""),41883.645833333336)</f>
        <v>41883.64583</v>
      </c>
      <c r="B3482" s="3">
        <f>IFERROR(__xludf.DUMMYFUNCTION("""COMPUTED_VALUE"""),7990.35)</f>
        <v>7990.35</v>
      </c>
      <c r="C3482" s="3">
        <f>IFERROR(__xludf.DUMMYFUNCTION("""COMPUTED_VALUE"""),8035.0)</f>
        <v>8035</v>
      </c>
      <c r="D3482" s="3">
        <f>IFERROR(__xludf.DUMMYFUNCTION("""COMPUTED_VALUE"""),7984.0)</f>
        <v>7984</v>
      </c>
      <c r="E3482" s="3">
        <f>IFERROR(__xludf.DUMMYFUNCTION("""COMPUTED_VALUE"""),8027.7)</f>
        <v>8027.7</v>
      </c>
      <c r="F3482" s="3">
        <f>IFERROR(__xludf.DUMMYFUNCTION("""COMPUTED_VALUE"""),0.0)</f>
        <v>0</v>
      </c>
    </row>
    <row r="3483">
      <c r="A3483" s="7">
        <f>IFERROR(__xludf.DUMMYFUNCTION("""COMPUTED_VALUE"""),41884.645833333336)</f>
        <v>41884.64583</v>
      </c>
      <c r="B3483" s="3">
        <f>IFERROR(__xludf.DUMMYFUNCTION("""COMPUTED_VALUE"""),8038.6)</f>
        <v>8038.6</v>
      </c>
      <c r="C3483" s="3">
        <f>IFERROR(__xludf.DUMMYFUNCTION("""COMPUTED_VALUE"""),8101.95)</f>
        <v>8101.95</v>
      </c>
      <c r="D3483" s="3">
        <f>IFERROR(__xludf.DUMMYFUNCTION("""COMPUTED_VALUE"""),8036.55)</f>
        <v>8036.55</v>
      </c>
      <c r="E3483" s="3">
        <f>IFERROR(__xludf.DUMMYFUNCTION("""COMPUTED_VALUE"""),8083.05)</f>
        <v>8083.05</v>
      </c>
      <c r="F3483" s="3">
        <f>IFERROR(__xludf.DUMMYFUNCTION("""COMPUTED_VALUE"""),0.0)</f>
        <v>0</v>
      </c>
    </row>
    <row r="3484">
      <c r="A3484" s="7">
        <f>IFERROR(__xludf.DUMMYFUNCTION("""COMPUTED_VALUE"""),41885.645833333336)</f>
        <v>41885.64583</v>
      </c>
      <c r="B3484" s="3">
        <f>IFERROR(__xludf.DUMMYFUNCTION("""COMPUTED_VALUE"""),8110.85)</f>
        <v>8110.85</v>
      </c>
      <c r="C3484" s="3">
        <f>IFERROR(__xludf.DUMMYFUNCTION("""COMPUTED_VALUE"""),8141.9)</f>
        <v>8141.9</v>
      </c>
      <c r="D3484" s="3">
        <f>IFERROR(__xludf.DUMMYFUNCTION("""COMPUTED_VALUE"""),8092.25)</f>
        <v>8092.25</v>
      </c>
      <c r="E3484" s="3">
        <f>IFERROR(__xludf.DUMMYFUNCTION("""COMPUTED_VALUE"""),8114.6)</f>
        <v>8114.6</v>
      </c>
      <c r="F3484" s="3">
        <f>IFERROR(__xludf.DUMMYFUNCTION("""COMPUTED_VALUE"""),0.0)</f>
        <v>0</v>
      </c>
    </row>
    <row r="3485">
      <c r="A3485" s="7">
        <f>IFERROR(__xludf.DUMMYFUNCTION("""COMPUTED_VALUE"""),41886.645833333336)</f>
        <v>41886.64583</v>
      </c>
      <c r="B3485" s="3">
        <f>IFERROR(__xludf.DUMMYFUNCTION("""COMPUTED_VALUE"""),8114.2)</f>
        <v>8114.2</v>
      </c>
      <c r="C3485" s="3">
        <f>IFERROR(__xludf.DUMMYFUNCTION("""COMPUTED_VALUE"""),8114.8)</f>
        <v>8114.8</v>
      </c>
      <c r="D3485" s="3">
        <f>IFERROR(__xludf.DUMMYFUNCTION("""COMPUTED_VALUE"""),8060.9)</f>
        <v>8060.9</v>
      </c>
      <c r="E3485" s="3">
        <f>IFERROR(__xludf.DUMMYFUNCTION("""COMPUTED_VALUE"""),8095.95)</f>
        <v>8095.95</v>
      </c>
      <c r="F3485" s="3">
        <f>IFERROR(__xludf.DUMMYFUNCTION("""COMPUTED_VALUE"""),0.0)</f>
        <v>0</v>
      </c>
    </row>
    <row r="3486">
      <c r="A3486" s="7">
        <f>IFERROR(__xludf.DUMMYFUNCTION("""COMPUTED_VALUE"""),41887.645833333336)</f>
        <v>41887.64583</v>
      </c>
      <c r="B3486" s="3">
        <f>IFERROR(__xludf.DUMMYFUNCTION("""COMPUTED_VALUE"""),8099.9)</f>
        <v>8099.9</v>
      </c>
      <c r="C3486" s="3">
        <f>IFERROR(__xludf.DUMMYFUNCTION("""COMPUTED_VALUE"""),8122.7)</f>
        <v>8122.7</v>
      </c>
      <c r="D3486" s="3">
        <f>IFERROR(__xludf.DUMMYFUNCTION("""COMPUTED_VALUE"""),8049.85)</f>
        <v>8049.85</v>
      </c>
      <c r="E3486" s="3">
        <f>IFERROR(__xludf.DUMMYFUNCTION("""COMPUTED_VALUE"""),8086.85)</f>
        <v>8086.85</v>
      </c>
      <c r="F3486" s="3">
        <f>IFERROR(__xludf.DUMMYFUNCTION("""COMPUTED_VALUE"""),0.0)</f>
        <v>0</v>
      </c>
    </row>
    <row r="3487">
      <c r="A3487" s="7">
        <f>IFERROR(__xludf.DUMMYFUNCTION("""COMPUTED_VALUE"""),41890.645833333336)</f>
        <v>41890.64583</v>
      </c>
      <c r="B3487" s="3">
        <f>IFERROR(__xludf.DUMMYFUNCTION("""COMPUTED_VALUE"""),8132.95)</f>
        <v>8132.95</v>
      </c>
      <c r="C3487" s="3">
        <f>IFERROR(__xludf.DUMMYFUNCTION("""COMPUTED_VALUE"""),8180.2)</f>
        <v>8180.2</v>
      </c>
      <c r="D3487" s="3">
        <f>IFERROR(__xludf.DUMMYFUNCTION("""COMPUTED_VALUE"""),8126.15)</f>
        <v>8126.15</v>
      </c>
      <c r="E3487" s="3">
        <f>IFERROR(__xludf.DUMMYFUNCTION("""COMPUTED_VALUE"""),8173.9)</f>
        <v>8173.9</v>
      </c>
      <c r="F3487" s="3">
        <f>IFERROR(__xludf.DUMMYFUNCTION("""COMPUTED_VALUE"""),0.0)</f>
        <v>0</v>
      </c>
    </row>
    <row r="3488">
      <c r="A3488" s="7">
        <f>IFERROR(__xludf.DUMMYFUNCTION("""COMPUTED_VALUE"""),41891.645833333336)</f>
        <v>41891.64583</v>
      </c>
      <c r="B3488" s="3">
        <f>IFERROR(__xludf.DUMMYFUNCTION("""COMPUTED_VALUE"""),8161.9)</f>
        <v>8161.9</v>
      </c>
      <c r="C3488" s="3">
        <f>IFERROR(__xludf.DUMMYFUNCTION("""COMPUTED_VALUE"""),8174.55)</f>
        <v>8174.55</v>
      </c>
      <c r="D3488" s="3">
        <f>IFERROR(__xludf.DUMMYFUNCTION("""COMPUTED_VALUE"""),8126.5)</f>
        <v>8126.5</v>
      </c>
      <c r="E3488" s="3">
        <f>IFERROR(__xludf.DUMMYFUNCTION("""COMPUTED_VALUE"""),8152.95)</f>
        <v>8152.95</v>
      </c>
      <c r="F3488" s="3">
        <f>IFERROR(__xludf.DUMMYFUNCTION("""COMPUTED_VALUE"""),0.0)</f>
        <v>0</v>
      </c>
    </row>
    <row r="3489">
      <c r="A3489" s="7">
        <f>IFERROR(__xludf.DUMMYFUNCTION("""COMPUTED_VALUE"""),41892.645833333336)</f>
        <v>41892.64583</v>
      </c>
      <c r="B3489" s="3">
        <f>IFERROR(__xludf.DUMMYFUNCTION("""COMPUTED_VALUE"""),8135.55)</f>
        <v>8135.55</v>
      </c>
      <c r="C3489" s="3">
        <f>IFERROR(__xludf.DUMMYFUNCTION("""COMPUTED_VALUE"""),8135.75)</f>
        <v>8135.75</v>
      </c>
      <c r="D3489" s="3">
        <f>IFERROR(__xludf.DUMMYFUNCTION("""COMPUTED_VALUE"""),8082.1)</f>
        <v>8082.1</v>
      </c>
      <c r="E3489" s="3">
        <f>IFERROR(__xludf.DUMMYFUNCTION("""COMPUTED_VALUE"""),8094.1)</f>
        <v>8094.1</v>
      </c>
      <c r="F3489" s="3">
        <f>IFERROR(__xludf.DUMMYFUNCTION("""COMPUTED_VALUE"""),0.0)</f>
        <v>0</v>
      </c>
    </row>
    <row r="3490">
      <c r="A3490" s="7">
        <f>IFERROR(__xludf.DUMMYFUNCTION("""COMPUTED_VALUE"""),41893.645833333336)</f>
        <v>41893.64583</v>
      </c>
      <c r="B3490" s="3">
        <f>IFERROR(__xludf.DUMMYFUNCTION("""COMPUTED_VALUE"""),8115.15)</f>
        <v>8115.15</v>
      </c>
      <c r="C3490" s="3">
        <f>IFERROR(__xludf.DUMMYFUNCTION("""COMPUTED_VALUE"""),8127.95)</f>
        <v>8127.95</v>
      </c>
      <c r="D3490" s="3">
        <f>IFERROR(__xludf.DUMMYFUNCTION("""COMPUTED_VALUE"""),8057.3)</f>
        <v>8057.3</v>
      </c>
      <c r="E3490" s="3">
        <f>IFERROR(__xludf.DUMMYFUNCTION("""COMPUTED_VALUE"""),8085.7)</f>
        <v>8085.7</v>
      </c>
      <c r="F3490" s="3">
        <f>IFERROR(__xludf.DUMMYFUNCTION("""COMPUTED_VALUE"""),0.0)</f>
        <v>0</v>
      </c>
    </row>
    <row r="3491">
      <c r="A3491" s="7">
        <f>IFERROR(__xludf.DUMMYFUNCTION("""COMPUTED_VALUE"""),41894.645833333336)</f>
        <v>41894.64583</v>
      </c>
      <c r="B3491" s="3">
        <f>IFERROR(__xludf.DUMMYFUNCTION("""COMPUTED_VALUE"""),8087.05)</f>
        <v>8087.05</v>
      </c>
      <c r="C3491" s="3">
        <f>IFERROR(__xludf.DUMMYFUNCTION("""COMPUTED_VALUE"""),8114.3)</f>
        <v>8114.3</v>
      </c>
      <c r="D3491" s="3">
        <f>IFERROR(__xludf.DUMMYFUNCTION("""COMPUTED_VALUE"""),8071.6)</f>
        <v>8071.6</v>
      </c>
      <c r="E3491" s="3">
        <f>IFERROR(__xludf.DUMMYFUNCTION("""COMPUTED_VALUE"""),8105.5)</f>
        <v>8105.5</v>
      </c>
      <c r="F3491" s="3">
        <f>IFERROR(__xludf.DUMMYFUNCTION("""COMPUTED_VALUE"""),0.0)</f>
        <v>0</v>
      </c>
    </row>
    <row r="3492">
      <c r="A3492" s="7">
        <f>IFERROR(__xludf.DUMMYFUNCTION("""COMPUTED_VALUE"""),41897.645833333336)</f>
        <v>41897.64583</v>
      </c>
      <c r="B3492" s="3">
        <f>IFERROR(__xludf.DUMMYFUNCTION("""COMPUTED_VALUE"""),8070.35)</f>
        <v>8070.35</v>
      </c>
      <c r="C3492" s="3">
        <f>IFERROR(__xludf.DUMMYFUNCTION("""COMPUTED_VALUE"""),8077.3)</f>
        <v>8077.3</v>
      </c>
      <c r="D3492" s="3">
        <f>IFERROR(__xludf.DUMMYFUNCTION("""COMPUTED_VALUE"""),8030.0)</f>
        <v>8030</v>
      </c>
      <c r="E3492" s="3">
        <f>IFERROR(__xludf.DUMMYFUNCTION("""COMPUTED_VALUE"""),8042.0)</f>
        <v>8042</v>
      </c>
      <c r="F3492" s="3">
        <f>IFERROR(__xludf.DUMMYFUNCTION("""COMPUTED_VALUE"""),0.0)</f>
        <v>0</v>
      </c>
    </row>
    <row r="3493">
      <c r="A3493" s="7">
        <f>IFERROR(__xludf.DUMMYFUNCTION("""COMPUTED_VALUE"""),41898.645833333336)</f>
        <v>41898.64583</v>
      </c>
      <c r="B3493" s="3">
        <f>IFERROR(__xludf.DUMMYFUNCTION("""COMPUTED_VALUE"""),8036.6)</f>
        <v>8036.6</v>
      </c>
      <c r="C3493" s="3">
        <f>IFERROR(__xludf.DUMMYFUNCTION("""COMPUTED_VALUE"""),8044.9)</f>
        <v>8044.9</v>
      </c>
      <c r="D3493" s="3">
        <f>IFERROR(__xludf.DUMMYFUNCTION("""COMPUTED_VALUE"""),7925.15)</f>
        <v>7925.15</v>
      </c>
      <c r="E3493" s="3">
        <f>IFERROR(__xludf.DUMMYFUNCTION("""COMPUTED_VALUE"""),7932.9)</f>
        <v>7932.9</v>
      </c>
      <c r="F3493" s="3">
        <f>IFERROR(__xludf.DUMMYFUNCTION("""COMPUTED_VALUE"""),0.0)</f>
        <v>0</v>
      </c>
    </row>
    <row r="3494">
      <c r="A3494" s="7">
        <f>IFERROR(__xludf.DUMMYFUNCTION("""COMPUTED_VALUE"""),41899.645833333336)</f>
        <v>41899.64583</v>
      </c>
      <c r="B3494" s="3">
        <f>IFERROR(__xludf.DUMMYFUNCTION("""COMPUTED_VALUE"""),7971.5)</f>
        <v>7971.5</v>
      </c>
      <c r="C3494" s="3">
        <f>IFERROR(__xludf.DUMMYFUNCTION("""COMPUTED_VALUE"""),7990.65)</f>
        <v>7990.65</v>
      </c>
      <c r="D3494" s="3">
        <f>IFERROR(__xludf.DUMMYFUNCTION("""COMPUTED_VALUE"""),7936.95)</f>
        <v>7936.95</v>
      </c>
      <c r="E3494" s="3">
        <f>IFERROR(__xludf.DUMMYFUNCTION("""COMPUTED_VALUE"""),7975.5)</f>
        <v>7975.5</v>
      </c>
      <c r="F3494" s="3">
        <f>IFERROR(__xludf.DUMMYFUNCTION("""COMPUTED_VALUE"""),0.0)</f>
        <v>0</v>
      </c>
    </row>
    <row r="3495">
      <c r="A3495" s="7">
        <f>IFERROR(__xludf.DUMMYFUNCTION("""COMPUTED_VALUE"""),41900.645833333336)</f>
        <v>41900.64583</v>
      </c>
      <c r="B3495" s="3">
        <f>IFERROR(__xludf.DUMMYFUNCTION("""COMPUTED_VALUE"""),7950.65)</f>
        <v>7950.65</v>
      </c>
      <c r="C3495" s="3">
        <f>IFERROR(__xludf.DUMMYFUNCTION("""COMPUTED_VALUE"""),8120.85)</f>
        <v>8120.85</v>
      </c>
      <c r="D3495" s="3">
        <f>IFERROR(__xludf.DUMMYFUNCTION("""COMPUTED_VALUE"""),7939.7)</f>
        <v>7939.7</v>
      </c>
      <c r="E3495" s="3">
        <f>IFERROR(__xludf.DUMMYFUNCTION("""COMPUTED_VALUE"""),8114.75)</f>
        <v>8114.75</v>
      </c>
      <c r="F3495" s="3">
        <f>IFERROR(__xludf.DUMMYFUNCTION("""COMPUTED_VALUE"""),0.0)</f>
        <v>0</v>
      </c>
    </row>
    <row r="3496">
      <c r="A3496" s="7">
        <f>IFERROR(__xludf.DUMMYFUNCTION("""COMPUTED_VALUE"""),41901.645833333336)</f>
        <v>41901.64583</v>
      </c>
      <c r="B3496" s="3">
        <f>IFERROR(__xludf.DUMMYFUNCTION("""COMPUTED_VALUE"""),8129.4)</f>
        <v>8129.4</v>
      </c>
      <c r="C3496" s="3">
        <f>IFERROR(__xludf.DUMMYFUNCTION("""COMPUTED_VALUE"""),8160.9)</f>
        <v>8160.9</v>
      </c>
      <c r="D3496" s="3">
        <f>IFERROR(__xludf.DUMMYFUNCTION("""COMPUTED_VALUE"""),8105.35)</f>
        <v>8105.35</v>
      </c>
      <c r="E3496" s="3">
        <f>IFERROR(__xludf.DUMMYFUNCTION("""COMPUTED_VALUE"""),8121.45)</f>
        <v>8121.45</v>
      </c>
      <c r="F3496" s="3">
        <f>IFERROR(__xludf.DUMMYFUNCTION("""COMPUTED_VALUE"""),0.0)</f>
        <v>0</v>
      </c>
    </row>
    <row r="3497">
      <c r="A3497" s="7">
        <f>IFERROR(__xludf.DUMMYFUNCTION("""COMPUTED_VALUE"""),41904.645833333336)</f>
        <v>41904.64583</v>
      </c>
      <c r="B3497" s="3">
        <f>IFERROR(__xludf.DUMMYFUNCTION("""COMPUTED_VALUE"""),8084.45)</f>
        <v>8084.45</v>
      </c>
      <c r="C3497" s="3">
        <f>IFERROR(__xludf.DUMMYFUNCTION("""COMPUTED_VALUE"""),8159.9)</f>
        <v>8159.9</v>
      </c>
      <c r="D3497" s="3">
        <f>IFERROR(__xludf.DUMMYFUNCTION("""COMPUTED_VALUE"""),8064.8)</f>
        <v>8064.8</v>
      </c>
      <c r="E3497" s="3">
        <f>IFERROR(__xludf.DUMMYFUNCTION("""COMPUTED_VALUE"""),8146.3)</f>
        <v>8146.3</v>
      </c>
      <c r="F3497" s="3">
        <f>IFERROR(__xludf.DUMMYFUNCTION("""COMPUTED_VALUE"""),0.0)</f>
        <v>0</v>
      </c>
    </row>
    <row r="3498">
      <c r="A3498" s="7">
        <f>IFERROR(__xludf.DUMMYFUNCTION("""COMPUTED_VALUE"""),41905.645833333336)</f>
        <v>41905.64583</v>
      </c>
      <c r="B3498" s="3">
        <f>IFERROR(__xludf.DUMMYFUNCTION("""COMPUTED_VALUE"""),8144.4)</f>
        <v>8144.4</v>
      </c>
      <c r="C3498" s="3">
        <f>IFERROR(__xludf.DUMMYFUNCTION("""COMPUTED_VALUE"""),8159.75)</f>
        <v>8159.75</v>
      </c>
      <c r="D3498" s="3">
        <f>IFERROR(__xludf.DUMMYFUNCTION("""COMPUTED_VALUE"""),8008.1)</f>
        <v>8008.1</v>
      </c>
      <c r="E3498" s="3">
        <f>IFERROR(__xludf.DUMMYFUNCTION("""COMPUTED_VALUE"""),8017.55)</f>
        <v>8017.55</v>
      </c>
      <c r="F3498" s="3">
        <f>IFERROR(__xludf.DUMMYFUNCTION("""COMPUTED_VALUE"""),0.0)</f>
        <v>0</v>
      </c>
    </row>
    <row r="3499">
      <c r="A3499" s="7">
        <f>IFERROR(__xludf.DUMMYFUNCTION("""COMPUTED_VALUE"""),41906.645833333336)</f>
        <v>41906.64583</v>
      </c>
      <c r="B3499" s="3">
        <f>IFERROR(__xludf.DUMMYFUNCTION("""COMPUTED_VALUE"""),8015.55)</f>
        <v>8015.55</v>
      </c>
      <c r="C3499" s="3">
        <f>IFERROR(__xludf.DUMMYFUNCTION("""COMPUTED_VALUE"""),8042.05)</f>
        <v>8042.05</v>
      </c>
      <c r="D3499" s="3">
        <f>IFERROR(__xludf.DUMMYFUNCTION("""COMPUTED_VALUE"""),7950.05)</f>
        <v>7950.05</v>
      </c>
      <c r="E3499" s="3">
        <f>IFERROR(__xludf.DUMMYFUNCTION("""COMPUTED_VALUE"""),8002.4)</f>
        <v>8002.4</v>
      </c>
      <c r="F3499" s="3">
        <f>IFERROR(__xludf.DUMMYFUNCTION("""COMPUTED_VALUE"""),0.0)</f>
        <v>0</v>
      </c>
    </row>
    <row r="3500">
      <c r="A3500" s="7">
        <f>IFERROR(__xludf.DUMMYFUNCTION("""COMPUTED_VALUE"""),41907.645833333336)</f>
        <v>41907.64583</v>
      </c>
      <c r="B3500" s="3">
        <f>IFERROR(__xludf.DUMMYFUNCTION("""COMPUTED_VALUE"""),8003.3)</f>
        <v>8003.3</v>
      </c>
      <c r="C3500" s="3">
        <f>IFERROR(__xludf.DUMMYFUNCTION("""COMPUTED_VALUE"""),8019.3)</f>
        <v>8019.3</v>
      </c>
      <c r="D3500" s="3">
        <f>IFERROR(__xludf.DUMMYFUNCTION("""COMPUTED_VALUE"""),7877.35)</f>
        <v>7877.35</v>
      </c>
      <c r="E3500" s="3">
        <f>IFERROR(__xludf.DUMMYFUNCTION("""COMPUTED_VALUE"""),7911.85)</f>
        <v>7911.85</v>
      </c>
      <c r="F3500" s="3">
        <f>IFERROR(__xludf.DUMMYFUNCTION("""COMPUTED_VALUE"""),0.0)</f>
        <v>0</v>
      </c>
    </row>
    <row r="3501">
      <c r="A3501" s="7">
        <f>IFERROR(__xludf.DUMMYFUNCTION("""COMPUTED_VALUE"""),41908.645833333336)</f>
        <v>41908.64583</v>
      </c>
      <c r="B3501" s="3">
        <f>IFERROR(__xludf.DUMMYFUNCTION("""COMPUTED_VALUE"""),7885.85)</f>
        <v>7885.85</v>
      </c>
      <c r="C3501" s="3">
        <f>IFERROR(__xludf.DUMMYFUNCTION("""COMPUTED_VALUE"""),7993.3)</f>
        <v>7993.3</v>
      </c>
      <c r="D3501" s="3">
        <f>IFERROR(__xludf.DUMMYFUNCTION("""COMPUTED_VALUE"""),7841.8)</f>
        <v>7841.8</v>
      </c>
      <c r="E3501" s="3">
        <f>IFERROR(__xludf.DUMMYFUNCTION("""COMPUTED_VALUE"""),7968.85)</f>
        <v>7968.85</v>
      </c>
      <c r="F3501" s="3">
        <f>IFERROR(__xludf.DUMMYFUNCTION("""COMPUTED_VALUE"""),0.0)</f>
        <v>0</v>
      </c>
    </row>
    <row r="3502">
      <c r="A3502" s="7">
        <f>IFERROR(__xludf.DUMMYFUNCTION("""COMPUTED_VALUE"""),41911.645833333336)</f>
        <v>41911.64583</v>
      </c>
      <c r="B3502" s="3">
        <f>IFERROR(__xludf.DUMMYFUNCTION("""COMPUTED_VALUE"""),7978.45)</f>
        <v>7978.45</v>
      </c>
      <c r="C3502" s="3">
        <f>IFERROR(__xludf.DUMMYFUNCTION("""COMPUTED_VALUE"""),7991.75)</f>
        <v>7991.75</v>
      </c>
      <c r="D3502" s="3">
        <f>IFERROR(__xludf.DUMMYFUNCTION("""COMPUTED_VALUE"""),7934.7)</f>
        <v>7934.7</v>
      </c>
      <c r="E3502" s="3">
        <f>IFERROR(__xludf.DUMMYFUNCTION("""COMPUTED_VALUE"""),7958.9)</f>
        <v>7958.9</v>
      </c>
      <c r="F3502" s="3">
        <f>IFERROR(__xludf.DUMMYFUNCTION("""COMPUTED_VALUE"""),0.0)</f>
        <v>0</v>
      </c>
    </row>
    <row r="3503">
      <c r="A3503" s="7">
        <f>IFERROR(__xludf.DUMMYFUNCTION("""COMPUTED_VALUE"""),41912.645833333336)</f>
        <v>41912.64583</v>
      </c>
      <c r="B3503" s="3">
        <f>IFERROR(__xludf.DUMMYFUNCTION("""COMPUTED_VALUE"""),7948.8)</f>
        <v>7948.8</v>
      </c>
      <c r="C3503" s="3">
        <f>IFERROR(__xludf.DUMMYFUNCTION("""COMPUTED_VALUE"""),8030.9)</f>
        <v>8030.9</v>
      </c>
      <c r="D3503" s="3">
        <f>IFERROR(__xludf.DUMMYFUNCTION("""COMPUTED_VALUE"""),7923.85)</f>
        <v>7923.85</v>
      </c>
      <c r="E3503" s="3">
        <f>IFERROR(__xludf.DUMMYFUNCTION("""COMPUTED_VALUE"""),7964.8)</f>
        <v>7964.8</v>
      </c>
      <c r="F3503" s="3">
        <f>IFERROR(__xludf.DUMMYFUNCTION("""COMPUTED_VALUE"""),0.0)</f>
        <v>0</v>
      </c>
    </row>
    <row r="3504">
      <c r="A3504" s="7">
        <f>IFERROR(__xludf.DUMMYFUNCTION("""COMPUTED_VALUE"""),41913.645833333336)</f>
        <v>41913.64583</v>
      </c>
      <c r="B3504" s="3">
        <f>IFERROR(__xludf.DUMMYFUNCTION("""COMPUTED_VALUE"""),7960.5)</f>
        <v>7960.5</v>
      </c>
      <c r="C3504" s="3">
        <f>IFERROR(__xludf.DUMMYFUNCTION("""COMPUTED_VALUE"""),7977.5)</f>
        <v>7977.5</v>
      </c>
      <c r="D3504" s="3">
        <f>IFERROR(__xludf.DUMMYFUNCTION("""COMPUTED_VALUE"""),7936.7)</f>
        <v>7936.7</v>
      </c>
      <c r="E3504" s="3">
        <f>IFERROR(__xludf.DUMMYFUNCTION("""COMPUTED_VALUE"""),7945.55)</f>
        <v>7945.55</v>
      </c>
      <c r="F3504" s="3">
        <f>IFERROR(__xludf.DUMMYFUNCTION("""COMPUTED_VALUE"""),0.0)</f>
        <v>0</v>
      </c>
    </row>
    <row r="3505">
      <c r="A3505" s="7">
        <f>IFERROR(__xludf.DUMMYFUNCTION("""COMPUTED_VALUE"""),41919.645833333336)</f>
        <v>41919.64583</v>
      </c>
      <c r="B3505" s="3">
        <f>IFERROR(__xludf.DUMMYFUNCTION("""COMPUTED_VALUE"""),7897.4)</f>
        <v>7897.4</v>
      </c>
      <c r="C3505" s="3">
        <f>IFERROR(__xludf.DUMMYFUNCTION("""COMPUTED_VALUE"""),7943.05)</f>
        <v>7943.05</v>
      </c>
      <c r="D3505" s="3">
        <f>IFERROR(__xludf.DUMMYFUNCTION("""COMPUTED_VALUE"""),7842.7)</f>
        <v>7842.7</v>
      </c>
      <c r="E3505" s="3">
        <f>IFERROR(__xludf.DUMMYFUNCTION("""COMPUTED_VALUE"""),7852.4)</f>
        <v>7852.4</v>
      </c>
      <c r="F3505" s="3">
        <f>IFERROR(__xludf.DUMMYFUNCTION("""COMPUTED_VALUE"""),0.0)</f>
        <v>0</v>
      </c>
    </row>
    <row r="3506">
      <c r="A3506" s="7">
        <f>IFERROR(__xludf.DUMMYFUNCTION("""COMPUTED_VALUE"""),41920.645833333336)</f>
        <v>41920.64583</v>
      </c>
      <c r="B3506" s="3">
        <f>IFERROR(__xludf.DUMMYFUNCTION("""COMPUTED_VALUE"""),7828.75)</f>
        <v>7828.75</v>
      </c>
      <c r="C3506" s="3">
        <f>IFERROR(__xludf.DUMMYFUNCTION("""COMPUTED_VALUE"""),7869.9)</f>
        <v>7869.9</v>
      </c>
      <c r="D3506" s="3">
        <f>IFERROR(__xludf.DUMMYFUNCTION("""COMPUTED_VALUE"""),7815.75)</f>
        <v>7815.75</v>
      </c>
      <c r="E3506" s="3">
        <f>IFERROR(__xludf.DUMMYFUNCTION("""COMPUTED_VALUE"""),7842.7)</f>
        <v>7842.7</v>
      </c>
      <c r="F3506" s="3">
        <f>IFERROR(__xludf.DUMMYFUNCTION("""COMPUTED_VALUE"""),0.0)</f>
        <v>0</v>
      </c>
    </row>
    <row r="3507">
      <c r="A3507" s="7">
        <f>IFERROR(__xludf.DUMMYFUNCTION("""COMPUTED_VALUE"""),41921.645833333336)</f>
        <v>41921.64583</v>
      </c>
      <c r="B3507" s="3">
        <f>IFERROR(__xludf.DUMMYFUNCTION("""COMPUTED_VALUE"""),7886.5)</f>
        <v>7886.5</v>
      </c>
      <c r="C3507" s="3">
        <f>IFERROR(__xludf.DUMMYFUNCTION("""COMPUTED_VALUE"""),7972.35)</f>
        <v>7972.35</v>
      </c>
      <c r="D3507" s="3">
        <f>IFERROR(__xludf.DUMMYFUNCTION("""COMPUTED_VALUE"""),7886.5)</f>
        <v>7886.5</v>
      </c>
      <c r="E3507" s="3">
        <f>IFERROR(__xludf.DUMMYFUNCTION("""COMPUTED_VALUE"""),7960.55)</f>
        <v>7960.55</v>
      </c>
      <c r="F3507" s="3">
        <f>IFERROR(__xludf.DUMMYFUNCTION("""COMPUTED_VALUE"""),0.0)</f>
        <v>0</v>
      </c>
    </row>
    <row r="3508">
      <c r="A3508" s="7">
        <f>IFERROR(__xludf.DUMMYFUNCTION("""COMPUTED_VALUE"""),41922.645833333336)</f>
        <v>41922.64583</v>
      </c>
      <c r="B3508" s="3">
        <f>IFERROR(__xludf.DUMMYFUNCTION("""COMPUTED_VALUE"""),7911.0)</f>
        <v>7911</v>
      </c>
      <c r="C3508" s="3">
        <f>IFERROR(__xludf.DUMMYFUNCTION("""COMPUTED_VALUE"""),7924.05)</f>
        <v>7924.05</v>
      </c>
      <c r="D3508" s="3">
        <f>IFERROR(__xludf.DUMMYFUNCTION("""COMPUTED_VALUE"""),7848.45)</f>
        <v>7848.45</v>
      </c>
      <c r="E3508" s="3">
        <f>IFERROR(__xludf.DUMMYFUNCTION("""COMPUTED_VALUE"""),7859.95)</f>
        <v>7859.95</v>
      </c>
      <c r="F3508" s="3">
        <f>IFERROR(__xludf.DUMMYFUNCTION("""COMPUTED_VALUE"""),0.0)</f>
        <v>0</v>
      </c>
    </row>
    <row r="3509">
      <c r="A3509" s="7">
        <f>IFERROR(__xludf.DUMMYFUNCTION("""COMPUTED_VALUE"""),41925.645833333336)</f>
        <v>41925.64583</v>
      </c>
      <c r="B3509" s="3">
        <f>IFERROR(__xludf.DUMMYFUNCTION("""COMPUTED_VALUE"""),7831.0)</f>
        <v>7831</v>
      </c>
      <c r="C3509" s="3">
        <f>IFERROR(__xludf.DUMMYFUNCTION("""COMPUTED_VALUE"""),7901.15)</f>
        <v>7901.15</v>
      </c>
      <c r="D3509" s="3">
        <f>IFERROR(__xludf.DUMMYFUNCTION("""COMPUTED_VALUE"""),7796.0)</f>
        <v>7796</v>
      </c>
      <c r="E3509" s="3">
        <f>IFERROR(__xludf.DUMMYFUNCTION("""COMPUTED_VALUE"""),7884.25)</f>
        <v>7884.25</v>
      </c>
      <c r="F3509" s="3">
        <f>IFERROR(__xludf.DUMMYFUNCTION("""COMPUTED_VALUE"""),0.0)</f>
        <v>0</v>
      </c>
    </row>
    <row r="3510">
      <c r="A3510" s="7">
        <f>IFERROR(__xludf.DUMMYFUNCTION("""COMPUTED_VALUE"""),41926.645833333336)</f>
        <v>41926.64583</v>
      </c>
      <c r="B3510" s="3">
        <f>IFERROR(__xludf.DUMMYFUNCTION("""COMPUTED_VALUE"""),7923.25)</f>
        <v>7923.25</v>
      </c>
      <c r="C3510" s="3">
        <f>IFERROR(__xludf.DUMMYFUNCTION("""COMPUTED_VALUE"""),7928.0)</f>
        <v>7928</v>
      </c>
      <c r="D3510" s="3">
        <f>IFERROR(__xludf.DUMMYFUNCTION("""COMPUTED_VALUE"""),7825.45)</f>
        <v>7825.45</v>
      </c>
      <c r="E3510" s="3">
        <f>IFERROR(__xludf.DUMMYFUNCTION("""COMPUTED_VALUE"""),7864.0)</f>
        <v>7864</v>
      </c>
      <c r="F3510" s="3">
        <f>IFERROR(__xludf.DUMMYFUNCTION("""COMPUTED_VALUE"""),0.0)</f>
        <v>0</v>
      </c>
    </row>
    <row r="3511">
      <c r="A3511" s="7">
        <f>IFERROR(__xludf.DUMMYFUNCTION("""COMPUTED_VALUE"""),41928.645833333336)</f>
        <v>41928.64583</v>
      </c>
      <c r="B3511" s="3">
        <f>IFERROR(__xludf.DUMMYFUNCTION("""COMPUTED_VALUE"""),7837.3)</f>
        <v>7837.3</v>
      </c>
      <c r="C3511" s="3">
        <f>IFERROR(__xludf.DUMMYFUNCTION("""COMPUTED_VALUE"""),7893.9)</f>
        <v>7893.9</v>
      </c>
      <c r="D3511" s="3">
        <f>IFERROR(__xludf.DUMMYFUNCTION("""COMPUTED_VALUE"""),7729.65)</f>
        <v>7729.65</v>
      </c>
      <c r="E3511" s="3">
        <f>IFERROR(__xludf.DUMMYFUNCTION("""COMPUTED_VALUE"""),7748.2)</f>
        <v>7748.2</v>
      </c>
      <c r="F3511" s="3">
        <f>IFERROR(__xludf.DUMMYFUNCTION("""COMPUTED_VALUE"""),0.0)</f>
        <v>0</v>
      </c>
    </row>
    <row r="3512">
      <c r="A3512" s="7">
        <f>IFERROR(__xludf.DUMMYFUNCTION("""COMPUTED_VALUE"""),41929.645833333336)</f>
        <v>41929.64583</v>
      </c>
      <c r="B3512" s="3">
        <f>IFERROR(__xludf.DUMMYFUNCTION("""COMPUTED_VALUE"""),7733.75)</f>
        <v>7733.75</v>
      </c>
      <c r="C3512" s="3">
        <f>IFERROR(__xludf.DUMMYFUNCTION("""COMPUTED_VALUE"""),7819.2)</f>
        <v>7819.2</v>
      </c>
      <c r="D3512" s="3">
        <f>IFERROR(__xludf.DUMMYFUNCTION("""COMPUTED_VALUE"""),7723.85)</f>
        <v>7723.85</v>
      </c>
      <c r="E3512" s="3">
        <f>IFERROR(__xludf.DUMMYFUNCTION("""COMPUTED_VALUE"""),7779.7)</f>
        <v>7779.7</v>
      </c>
      <c r="F3512" s="3">
        <f>IFERROR(__xludf.DUMMYFUNCTION("""COMPUTED_VALUE"""),0.0)</f>
        <v>0</v>
      </c>
    </row>
    <row r="3513">
      <c r="A3513" s="7">
        <f>IFERROR(__xludf.DUMMYFUNCTION("""COMPUTED_VALUE"""),41932.645833333336)</f>
        <v>41932.64583</v>
      </c>
      <c r="B3513" s="3">
        <f>IFERROR(__xludf.DUMMYFUNCTION("""COMPUTED_VALUE"""),7896.95)</f>
        <v>7896.95</v>
      </c>
      <c r="C3513" s="3">
        <f>IFERROR(__xludf.DUMMYFUNCTION("""COMPUTED_VALUE"""),7905.95)</f>
        <v>7905.95</v>
      </c>
      <c r="D3513" s="3">
        <f>IFERROR(__xludf.DUMMYFUNCTION("""COMPUTED_VALUE"""),7856.95)</f>
        <v>7856.95</v>
      </c>
      <c r="E3513" s="3">
        <f>IFERROR(__xludf.DUMMYFUNCTION("""COMPUTED_VALUE"""),7879.4)</f>
        <v>7879.4</v>
      </c>
      <c r="F3513" s="3">
        <f>IFERROR(__xludf.DUMMYFUNCTION("""COMPUTED_VALUE"""),0.0)</f>
        <v>0</v>
      </c>
    </row>
    <row r="3514">
      <c r="A3514" s="7">
        <f>IFERROR(__xludf.DUMMYFUNCTION("""COMPUTED_VALUE"""),41933.645833333336)</f>
        <v>41933.64583</v>
      </c>
      <c r="B3514" s="3">
        <f>IFERROR(__xludf.DUMMYFUNCTION("""COMPUTED_VALUE"""),7906.15)</f>
        <v>7906.15</v>
      </c>
      <c r="C3514" s="3">
        <f>IFERROR(__xludf.DUMMYFUNCTION("""COMPUTED_VALUE"""),7936.6)</f>
        <v>7936.6</v>
      </c>
      <c r="D3514" s="3">
        <f>IFERROR(__xludf.DUMMYFUNCTION("""COMPUTED_VALUE"""),7874.35)</f>
        <v>7874.35</v>
      </c>
      <c r="E3514" s="3">
        <f>IFERROR(__xludf.DUMMYFUNCTION("""COMPUTED_VALUE"""),7927.75)</f>
        <v>7927.75</v>
      </c>
      <c r="F3514" s="3">
        <f>IFERROR(__xludf.DUMMYFUNCTION("""COMPUTED_VALUE"""),0.0)</f>
        <v>0</v>
      </c>
    </row>
    <row r="3515">
      <c r="A3515" s="7">
        <f>IFERROR(__xludf.DUMMYFUNCTION("""COMPUTED_VALUE"""),41934.645833333336)</f>
        <v>41934.64583</v>
      </c>
      <c r="B3515" s="3">
        <f>IFERROR(__xludf.DUMMYFUNCTION("""COMPUTED_VALUE"""),7997.8)</f>
        <v>7997.8</v>
      </c>
      <c r="C3515" s="3">
        <f>IFERROR(__xludf.DUMMYFUNCTION("""COMPUTED_VALUE"""),8005.0)</f>
        <v>8005</v>
      </c>
      <c r="D3515" s="3">
        <f>IFERROR(__xludf.DUMMYFUNCTION("""COMPUTED_VALUE"""),7974.55)</f>
        <v>7974.55</v>
      </c>
      <c r="E3515" s="3">
        <f>IFERROR(__xludf.DUMMYFUNCTION("""COMPUTED_VALUE"""),7995.9)</f>
        <v>7995.9</v>
      </c>
      <c r="F3515" s="3">
        <f>IFERROR(__xludf.DUMMYFUNCTION("""COMPUTED_VALUE"""),0.0)</f>
        <v>0</v>
      </c>
    </row>
    <row r="3516">
      <c r="A3516" s="7">
        <f>IFERROR(__xludf.DUMMYFUNCTION("""COMPUTED_VALUE"""),41935.645833333336)</f>
        <v>41935.64583</v>
      </c>
      <c r="B3516" s="3">
        <f>IFERROR(__xludf.DUMMYFUNCTION("""COMPUTED_VALUE"""),8027.7)</f>
        <v>8027.7</v>
      </c>
      <c r="C3516" s="3">
        <f>IFERROR(__xludf.DUMMYFUNCTION("""COMPUTED_VALUE"""),8031.75)</f>
        <v>8031.75</v>
      </c>
      <c r="D3516" s="3">
        <f>IFERROR(__xludf.DUMMYFUNCTION("""COMPUTED_VALUE"""),8008.85)</f>
        <v>8008.85</v>
      </c>
      <c r="E3516" s="3">
        <f>IFERROR(__xludf.DUMMYFUNCTION("""COMPUTED_VALUE"""),8017.3)</f>
        <v>8017.3</v>
      </c>
      <c r="F3516" s="3">
        <f>IFERROR(__xludf.DUMMYFUNCTION("""COMPUTED_VALUE"""),0.0)</f>
        <v>0</v>
      </c>
    </row>
    <row r="3517">
      <c r="A3517" s="7">
        <f>IFERROR(__xludf.DUMMYFUNCTION("""COMPUTED_VALUE"""),41939.645833333336)</f>
        <v>41939.64583</v>
      </c>
      <c r="B3517" s="3">
        <f>IFERROR(__xludf.DUMMYFUNCTION("""COMPUTED_VALUE"""),8064.35)</f>
        <v>8064.35</v>
      </c>
      <c r="C3517" s="3">
        <f>IFERROR(__xludf.DUMMYFUNCTION("""COMPUTED_VALUE"""),8064.4)</f>
        <v>8064.4</v>
      </c>
      <c r="D3517" s="3">
        <f>IFERROR(__xludf.DUMMYFUNCTION("""COMPUTED_VALUE"""),7985.65)</f>
        <v>7985.65</v>
      </c>
      <c r="E3517" s="3">
        <f>IFERROR(__xludf.DUMMYFUNCTION("""COMPUTED_VALUE"""),7991.7)</f>
        <v>7991.7</v>
      </c>
      <c r="F3517" s="3">
        <f>IFERROR(__xludf.DUMMYFUNCTION("""COMPUTED_VALUE"""),0.0)</f>
        <v>0</v>
      </c>
    </row>
    <row r="3518">
      <c r="A3518" s="7">
        <f>IFERROR(__xludf.DUMMYFUNCTION("""COMPUTED_VALUE"""),41940.645833333336)</f>
        <v>41940.64583</v>
      </c>
      <c r="B3518" s="3">
        <f>IFERROR(__xludf.DUMMYFUNCTION("""COMPUTED_VALUE"""),8002.4)</f>
        <v>8002.4</v>
      </c>
      <c r="C3518" s="3">
        <f>IFERROR(__xludf.DUMMYFUNCTION("""COMPUTED_VALUE"""),8037.8)</f>
        <v>8037.8</v>
      </c>
      <c r="D3518" s="3">
        <f>IFERROR(__xludf.DUMMYFUNCTION("""COMPUTED_VALUE"""),7995.05)</f>
        <v>7995.05</v>
      </c>
      <c r="E3518" s="3">
        <f>IFERROR(__xludf.DUMMYFUNCTION("""COMPUTED_VALUE"""),8027.6)</f>
        <v>8027.6</v>
      </c>
      <c r="F3518" s="3">
        <f>IFERROR(__xludf.DUMMYFUNCTION("""COMPUTED_VALUE"""),0.0)</f>
        <v>0</v>
      </c>
    </row>
    <row r="3519">
      <c r="A3519" s="7">
        <f>IFERROR(__xludf.DUMMYFUNCTION("""COMPUTED_VALUE"""),41941.645833333336)</f>
        <v>41941.64583</v>
      </c>
      <c r="B3519" s="3">
        <f>IFERROR(__xludf.DUMMYFUNCTION("""COMPUTED_VALUE"""),8077.05)</f>
        <v>8077.05</v>
      </c>
      <c r="C3519" s="3">
        <f>IFERROR(__xludf.DUMMYFUNCTION("""COMPUTED_VALUE"""),8097.95)</f>
        <v>8097.95</v>
      </c>
      <c r="D3519" s="3">
        <f>IFERROR(__xludf.DUMMYFUNCTION("""COMPUTED_VALUE"""),8052.25)</f>
        <v>8052.25</v>
      </c>
      <c r="E3519" s="3">
        <f>IFERROR(__xludf.DUMMYFUNCTION("""COMPUTED_VALUE"""),8090.45)</f>
        <v>8090.45</v>
      </c>
      <c r="F3519" s="3">
        <f>IFERROR(__xludf.DUMMYFUNCTION("""COMPUTED_VALUE"""),0.0)</f>
        <v>0</v>
      </c>
    </row>
    <row r="3520">
      <c r="A3520" s="7">
        <f>IFERROR(__xludf.DUMMYFUNCTION("""COMPUTED_VALUE"""),41942.645833333336)</f>
        <v>41942.64583</v>
      </c>
      <c r="B3520" s="3">
        <f>IFERROR(__xludf.DUMMYFUNCTION("""COMPUTED_VALUE"""),8085.2)</f>
        <v>8085.2</v>
      </c>
      <c r="C3520" s="3">
        <f>IFERROR(__xludf.DUMMYFUNCTION("""COMPUTED_VALUE"""),8181.55)</f>
        <v>8181.55</v>
      </c>
      <c r="D3520" s="3">
        <f>IFERROR(__xludf.DUMMYFUNCTION("""COMPUTED_VALUE"""),8085.2)</f>
        <v>8085.2</v>
      </c>
      <c r="E3520" s="3">
        <f>IFERROR(__xludf.DUMMYFUNCTION("""COMPUTED_VALUE"""),8169.2)</f>
        <v>8169.2</v>
      </c>
      <c r="F3520" s="3">
        <f>IFERROR(__xludf.DUMMYFUNCTION("""COMPUTED_VALUE"""),0.0)</f>
        <v>0</v>
      </c>
    </row>
    <row r="3521">
      <c r="A3521" s="7">
        <f>IFERROR(__xludf.DUMMYFUNCTION("""COMPUTED_VALUE"""),41943.645833333336)</f>
        <v>41943.64583</v>
      </c>
      <c r="B3521" s="3">
        <f>IFERROR(__xludf.DUMMYFUNCTION("""COMPUTED_VALUE"""),8200.8)</f>
        <v>8200.8</v>
      </c>
      <c r="C3521" s="3">
        <f>IFERROR(__xludf.DUMMYFUNCTION("""COMPUTED_VALUE"""),8330.75)</f>
        <v>8330.75</v>
      </c>
      <c r="D3521" s="3">
        <f>IFERROR(__xludf.DUMMYFUNCTION("""COMPUTED_VALUE"""),8198.05)</f>
        <v>8198.05</v>
      </c>
      <c r="E3521" s="3">
        <f>IFERROR(__xludf.DUMMYFUNCTION("""COMPUTED_VALUE"""),8322.2)</f>
        <v>8322.2</v>
      </c>
      <c r="F3521" s="3">
        <f>IFERROR(__xludf.DUMMYFUNCTION("""COMPUTED_VALUE"""),0.0)</f>
        <v>0</v>
      </c>
    </row>
    <row r="3522">
      <c r="A3522" s="7">
        <f>IFERROR(__xludf.DUMMYFUNCTION("""COMPUTED_VALUE"""),41946.645833333336)</f>
        <v>41946.64583</v>
      </c>
      <c r="B3522" s="3">
        <f>IFERROR(__xludf.DUMMYFUNCTION("""COMPUTED_VALUE"""),8348.15)</f>
        <v>8348.15</v>
      </c>
      <c r="C3522" s="3">
        <f>IFERROR(__xludf.DUMMYFUNCTION("""COMPUTED_VALUE"""),8350.6)</f>
        <v>8350.6</v>
      </c>
      <c r="D3522" s="3">
        <f>IFERROR(__xludf.DUMMYFUNCTION("""COMPUTED_VALUE"""),8297.65)</f>
        <v>8297.65</v>
      </c>
      <c r="E3522" s="3">
        <f>IFERROR(__xludf.DUMMYFUNCTION("""COMPUTED_VALUE"""),8324.15)</f>
        <v>8324.15</v>
      </c>
      <c r="F3522" s="3">
        <f>IFERROR(__xludf.DUMMYFUNCTION("""COMPUTED_VALUE"""),0.0)</f>
        <v>0</v>
      </c>
    </row>
    <row r="3523">
      <c r="A3523" s="7">
        <f>IFERROR(__xludf.DUMMYFUNCTION("""COMPUTED_VALUE"""),41948.645833333336)</f>
        <v>41948.64583</v>
      </c>
      <c r="B3523" s="3">
        <f>IFERROR(__xludf.DUMMYFUNCTION("""COMPUTED_VALUE"""),8351.25)</f>
        <v>8351.25</v>
      </c>
      <c r="C3523" s="3">
        <f>IFERROR(__xludf.DUMMYFUNCTION("""COMPUTED_VALUE"""),8365.55)</f>
        <v>8365.55</v>
      </c>
      <c r="D3523" s="3">
        <f>IFERROR(__xludf.DUMMYFUNCTION("""COMPUTED_VALUE"""),8323.5)</f>
        <v>8323.5</v>
      </c>
      <c r="E3523" s="3">
        <f>IFERROR(__xludf.DUMMYFUNCTION("""COMPUTED_VALUE"""),8338.3)</f>
        <v>8338.3</v>
      </c>
      <c r="F3523" s="3">
        <f>IFERROR(__xludf.DUMMYFUNCTION("""COMPUTED_VALUE"""),0.0)</f>
        <v>0</v>
      </c>
    </row>
    <row r="3524">
      <c r="A3524" s="7">
        <f>IFERROR(__xludf.DUMMYFUNCTION("""COMPUTED_VALUE"""),41950.645833333336)</f>
        <v>41950.64583</v>
      </c>
      <c r="B3524" s="3">
        <f>IFERROR(__xludf.DUMMYFUNCTION("""COMPUTED_VALUE"""),8331.85)</f>
        <v>8331.85</v>
      </c>
      <c r="C3524" s="3">
        <f>IFERROR(__xludf.DUMMYFUNCTION("""COMPUTED_VALUE"""),8360.35)</f>
        <v>8360.35</v>
      </c>
      <c r="D3524" s="3">
        <f>IFERROR(__xludf.DUMMYFUNCTION("""COMPUTED_VALUE"""),8290.25)</f>
        <v>8290.25</v>
      </c>
      <c r="E3524" s="3">
        <f>IFERROR(__xludf.DUMMYFUNCTION("""COMPUTED_VALUE"""),8337.0)</f>
        <v>8337</v>
      </c>
      <c r="F3524" s="3">
        <f>IFERROR(__xludf.DUMMYFUNCTION("""COMPUTED_VALUE"""),0.0)</f>
        <v>0</v>
      </c>
    </row>
    <row r="3525">
      <c r="A3525" s="7">
        <f>IFERROR(__xludf.DUMMYFUNCTION("""COMPUTED_VALUE"""),41953.64583333333)</f>
        <v>41953.64583</v>
      </c>
      <c r="B3525" s="3">
        <f>IFERROR(__xludf.DUMMYFUNCTION("""COMPUTED_VALUE"""),8337.8)</f>
        <v>8337.8</v>
      </c>
      <c r="C3525" s="3">
        <f>IFERROR(__xludf.DUMMYFUNCTION("""COMPUTED_VALUE"""),8383.05)</f>
        <v>8383.05</v>
      </c>
      <c r="D3525" s="3">
        <f>IFERROR(__xludf.DUMMYFUNCTION("""COMPUTED_VALUE"""),8304.45)</f>
        <v>8304.45</v>
      </c>
      <c r="E3525" s="3">
        <f>IFERROR(__xludf.DUMMYFUNCTION("""COMPUTED_VALUE"""),8344.25)</f>
        <v>8344.25</v>
      </c>
      <c r="F3525" s="3">
        <f>IFERROR(__xludf.DUMMYFUNCTION("""COMPUTED_VALUE"""),0.0)</f>
        <v>0</v>
      </c>
    </row>
    <row r="3526">
      <c r="A3526" s="7">
        <f>IFERROR(__xludf.DUMMYFUNCTION("""COMPUTED_VALUE"""),41954.64583333333)</f>
        <v>41954.64583</v>
      </c>
      <c r="B3526" s="3">
        <f>IFERROR(__xludf.DUMMYFUNCTION("""COMPUTED_VALUE"""),8354.1)</f>
        <v>8354.1</v>
      </c>
      <c r="C3526" s="3">
        <f>IFERROR(__xludf.DUMMYFUNCTION("""COMPUTED_VALUE"""),8378.7)</f>
        <v>8378.7</v>
      </c>
      <c r="D3526" s="3">
        <f>IFERROR(__xludf.DUMMYFUNCTION("""COMPUTED_VALUE"""),8321.85)</f>
        <v>8321.85</v>
      </c>
      <c r="E3526" s="3">
        <f>IFERROR(__xludf.DUMMYFUNCTION("""COMPUTED_VALUE"""),8362.65)</f>
        <v>8362.65</v>
      </c>
      <c r="F3526" s="3">
        <f>IFERROR(__xludf.DUMMYFUNCTION("""COMPUTED_VALUE"""),0.0)</f>
        <v>0</v>
      </c>
    </row>
    <row r="3527">
      <c r="A3527" s="7">
        <f>IFERROR(__xludf.DUMMYFUNCTION("""COMPUTED_VALUE"""),41955.64583333333)</f>
        <v>41955.64583</v>
      </c>
      <c r="B3527" s="3">
        <f>IFERROR(__xludf.DUMMYFUNCTION("""COMPUTED_VALUE"""),8378.9)</f>
        <v>8378.9</v>
      </c>
      <c r="C3527" s="3">
        <f>IFERROR(__xludf.DUMMYFUNCTION("""COMPUTED_VALUE"""),8415.05)</f>
        <v>8415.05</v>
      </c>
      <c r="D3527" s="3">
        <f>IFERROR(__xludf.DUMMYFUNCTION("""COMPUTED_VALUE"""),8370.5)</f>
        <v>8370.5</v>
      </c>
      <c r="E3527" s="3">
        <f>IFERROR(__xludf.DUMMYFUNCTION("""COMPUTED_VALUE"""),8383.3)</f>
        <v>8383.3</v>
      </c>
      <c r="F3527" s="3">
        <f>IFERROR(__xludf.DUMMYFUNCTION("""COMPUTED_VALUE"""),0.0)</f>
        <v>0</v>
      </c>
    </row>
    <row r="3528">
      <c r="A3528" s="7">
        <f>IFERROR(__xludf.DUMMYFUNCTION("""COMPUTED_VALUE"""),41956.64583333333)</f>
        <v>41956.64583</v>
      </c>
      <c r="B3528" s="3">
        <f>IFERROR(__xludf.DUMMYFUNCTION("""COMPUTED_VALUE"""),8405.25)</f>
        <v>8405.25</v>
      </c>
      <c r="C3528" s="3">
        <f>IFERROR(__xludf.DUMMYFUNCTION("""COMPUTED_VALUE"""),8408.0)</f>
        <v>8408</v>
      </c>
      <c r="D3528" s="3">
        <f>IFERROR(__xludf.DUMMYFUNCTION("""COMPUTED_VALUE"""),8320.35)</f>
        <v>8320.35</v>
      </c>
      <c r="E3528" s="3">
        <f>IFERROR(__xludf.DUMMYFUNCTION("""COMPUTED_VALUE"""),8357.85)</f>
        <v>8357.85</v>
      </c>
      <c r="F3528" s="3">
        <f>IFERROR(__xludf.DUMMYFUNCTION("""COMPUTED_VALUE"""),0.0)</f>
        <v>0</v>
      </c>
    </row>
    <row r="3529">
      <c r="A3529" s="7">
        <f>IFERROR(__xludf.DUMMYFUNCTION("""COMPUTED_VALUE"""),41957.64583333333)</f>
        <v>41957.64583</v>
      </c>
      <c r="B3529" s="3">
        <f>IFERROR(__xludf.DUMMYFUNCTION("""COMPUTED_VALUE"""),8360.7)</f>
        <v>8360.7</v>
      </c>
      <c r="C3529" s="3">
        <f>IFERROR(__xludf.DUMMYFUNCTION("""COMPUTED_VALUE"""),8400.65)</f>
        <v>8400.65</v>
      </c>
      <c r="D3529" s="3">
        <f>IFERROR(__xludf.DUMMYFUNCTION("""COMPUTED_VALUE"""),8346.8)</f>
        <v>8346.8</v>
      </c>
      <c r="E3529" s="3">
        <f>IFERROR(__xludf.DUMMYFUNCTION("""COMPUTED_VALUE"""),8389.9)</f>
        <v>8389.9</v>
      </c>
      <c r="F3529" s="3">
        <f>IFERROR(__xludf.DUMMYFUNCTION("""COMPUTED_VALUE"""),0.0)</f>
        <v>0</v>
      </c>
    </row>
    <row r="3530">
      <c r="A3530" s="7">
        <f>IFERROR(__xludf.DUMMYFUNCTION("""COMPUTED_VALUE"""),41960.64583333333)</f>
        <v>41960.64583</v>
      </c>
      <c r="B3530" s="3">
        <f>IFERROR(__xludf.DUMMYFUNCTION("""COMPUTED_VALUE"""),8378.4)</f>
        <v>8378.4</v>
      </c>
      <c r="C3530" s="3">
        <f>IFERROR(__xludf.DUMMYFUNCTION("""COMPUTED_VALUE"""),8438.1)</f>
        <v>8438.1</v>
      </c>
      <c r="D3530" s="3">
        <f>IFERROR(__xludf.DUMMYFUNCTION("""COMPUTED_VALUE"""),8349.1)</f>
        <v>8349.1</v>
      </c>
      <c r="E3530" s="3">
        <f>IFERROR(__xludf.DUMMYFUNCTION("""COMPUTED_VALUE"""),8430.75)</f>
        <v>8430.75</v>
      </c>
      <c r="F3530" s="3">
        <f>IFERROR(__xludf.DUMMYFUNCTION("""COMPUTED_VALUE"""),0.0)</f>
        <v>0</v>
      </c>
    </row>
    <row r="3531">
      <c r="A3531" s="7">
        <f>IFERROR(__xludf.DUMMYFUNCTION("""COMPUTED_VALUE"""),41961.64583333333)</f>
        <v>41961.64583</v>
      </c>
      <c r="B3531" s="3">
        <f>IFERROR(__xludf.DUMMYFUNCTION("""COMPUTED_VALUE"""),8441.25)</f>
        <v>8441.25</v>
      </c>
      <c r="C3531" s="3">
        <f>IFERROR(__xludf.DUMMYFUNCTION("""COMPUTED_VALUE"""),8454.5)</f>
        <v>8454.5</v>
      </c>
      <c r="D3531" s="3">
        <f>IFERROR(__xludf.DUMMYFUNCTION("""COMPUTED_VALUE"""),8407.25)</f>
        <v>8407.25</v>
      </c>
      <c r="E3531" s="3">
        <f>IFERROR(__xludf.DUMMYFUNCTION("""COMPUTED_VALUE"""),8425.9)</f>
        <v>8425.9</v>
      </c>
      <c r="F3531" s="3">
        <f>IFERROR(__xludf.DUMMYFUNCTION("""COMPUTED_VALUE"""),0.0)</f>
        <v>0</v>
      </c>
    </row>
    <row r="3532">
      <c r="A3532" s="7">
        <f>IFERROR(__xludf.DUMMYFUNCTION("""COMPUTED_VALUE"""),41962.64583333333)</f>
        <v>41962.64583</v>
      </c>
      <c r="B3532" s="3">
        <f>IFERROR(__xludf.DUMMYFUNCTION("""COMPUTED_VALUE"""),8440.65)</f>
        <v>8440.65</v>
      </c>
      <c r="C3532" s="3">
        <f>IFERROR(__xludf.DUMMYFUNCTION("""COMPUTED_VALUE"""),8455.65)</f>
        <v>8455.65</v>
      </c>
      <c r="D3532" s="3">
        <f>IFERROR(__xludf.DUMMYFUNCTION("""COMPUTED_VALUE"""),8360.5)</f>
        <v>8360.5</v>
      </c>
      <c r="E3532" s="3">
        <f>IFERROR(__xludf.DUMMYFUNCTION("""COMPUTED_VALUE"""),8382.3)</f>
        <v>8382.3</v>
      </c>
      <c r="F3532" s="3">
        <f>IFERROR(__xludf.DUMMYFUNCTION("""COMPUTED_VALUE"""),0.0)</f>
        <v>0</v>
      </c>
    </row>
    <row r="3533">
      <c r="A3533" s="7">
        <f>IFERROR(__xludf.DUMMYFUNCTION("""COMPUTED_VALUE"""),41963.64583333333)</f>
        <v>41963.64583</v>
      </c>
      <c r="B3533" s="3">
        <f>IFERROR(__xludf.DUMMYFUNCTION("""COMPUTED_VALUE"""),8406.5)</f>
        <v>8406.5</v>
      </c>
      <c r="C3533" s="3">
        <f>IFERROR(__xludf.DUMMYFUNCTION("""COMPUTED_VALUE"""),8410.85)</f>
        <v>8410.85</v>
      </c>
      <c r="D3533" s="3">
        <f>IFERROR(__xludf.DUMMYFUNCTION("""COMPUTED_VALUE"""),8353.15)</f>
        <v>8353.15</v>
      </c>
      <c r="E3533" s="3">
        <f>IFERROR(__xludf.DUMMYFUNCTION("""COMPUTED_VALUE"""),8401.9)</f>
        <v>8401.9</v>
      </c>
      <c r="F3533" s="3">
        <f>IFERROR(__xludf.DUMMYFUNCTION("""COMPUTED_VALUE"""),0.0)</f>
        <v>0</v>
      </c>
    </row>
    <row r="3534">
      <c r="A3534" s="7">
        <f>IFERROR(__xludf.DUMMYFUNCTION("""COMPUTED_VALUE"""),41964.64583333333)</f>
        <v>41964.64583</v>
      </c>
      <c r="B3534" s="3">
        <f>IFERROR(__xludf.DUMMYFUNCTION("""COMPUTED_VALUE"""),8408.2)</f>
        <v>8408.2</v>
      </c>
      <c r="C3534" s="3">
        <f>IFERROR(__xludf.DUMMYFUNCTION("""COMPUTED_VALUE"""),8489.8)</f>
        <v>8489.8</v>
      </c>
      <c r="D3534" s="3">
        <f>IFERROR(__xludf.DUMMYFUNCTION("""COMPUTED_VALUE"""),8398.6)</f>
        <v>8398.6</v>
      </c>
      <c r="E3534" s="3">
        <f>IFERROR(__xludf.DUMMYFUNCTION("""COMPUTED_VALUE"""),8477.35)</f>
        <v>8477.35</v>
      </c>
      <c r="F3534" s="3">
        <f>IFERROR(__xludf.DUMMYFUNCTION("""COMPUTED_VALUE"""),0.0)</f>
        <v>0</v>
      </c>
    </row>
    <row r="3535">
      <c r="A3535" s="7">
        <f>IFERROR(__xludf.DUMMYFUNCTION("""COMPUTED_VALUE"""),41967.64583333333)</f>
        <v>41967.64583</v>
      </c>
      <c r="B3535" s="3">
        <f>IFERROR(__xludf.DUMMYFUNCTION("""COMPUTED_VALUE"""),8490.95)</f>
        <v>8490.95</v>
      </c>
      <c r="C3535" s="3">
        <f>IFERROR(__xludf.DUMMYFUNCTION("""COMPUTED_VALUE"""),8534.65)</f>
        <v>8534.65</v>
      </c>
      <c r="D3535" s="3">
        <f>IFERROR(__xludf.DUMMYFUNCTION("""COMPUTED_VALUE"""),8490.8)</f>
        <v>8490.8</v>
      </c>
      <c r="E3535" s="3">
        <f>IFERROR(__xludf.DUMMYFUNCTION("""COMPUTED_VALUE"""),8530.15)</f>
        <v>8530.15</v>
      </c>
      <c r="F3535" s="3">
        <f>IFERROR(__xludf.DUMMYFUNCTION("""COMPUTED_VALUE"""),0.0)</f>
        <v>0</v>
      </c>
    </row>
    <row r="3536">
      <c r="A3536" s="7">
        <f>IFERROR(__xludf.DUMMYFUNCTION("""COMPUTED_VALUE"""),41968.64583333333)</f>
        <v>41968.64583</v>
      </c>
      <c r="B3536" s="3">
        <f>IFERROR(__xludf.DUMMYFUNCTION("""COMPUTED_VALUE"""),8530.8)</f>
        <v>8530.8</v>
      </c>
      <c r="C3536" s="3">
        <f>IFERROR(__xludf.DUMMYFUNCTION("""COMPUTED_VALUE"""),8535.35)</f>
        <v>8535.35</v>
      </c>
      <c r="D3536" s="3">
        <f>IFERROR(__xludf.DUMMYFUNCTION("""COMPUTED_VALUE"""),8429.45)</f>
        <v>8429.45</v>
      </c>
      <c r="E3536" s="3">
        <f>IFERROR(__xludf.DUMMYFUNCTION("""COMPUTED_VALUE"""),8463.1)</f>
        <v>8463.1</v>
      </c>
      <c r="F3536" s="3">
        <f>IFERROR(__xludf.DUMMYFUNCTION("""COMPUTED_VALUE"""),0.0)</f>
        <v>0</v>
      </c>
    </row>
    <row r="3537">
      <c r="A3537" s="7">
        <f>IFERROR(__xludf.DUMMYFUNCTION("""COMPUTED_VALUE"""),41969.64583333333)</f>
        <v>41969.64583</v>
      </c>
      <c r="B3537" s="3">
        <f>IFERROR(__xludf.DUMMYFUNCTION("""COMPUTED_VALUE"""),8450.3)</f>
        <v>8450.3</v>
      </c>
      <c r="C3537" s="3">
        <f>IFERROR(__xludf.DUMMYFUNCTION("""COMPUTED_VALUE"""),8500.3)</f>
        <v>8500.3</v>
      </c>
      <c r="D3537" s="3">
        <f>IFERROR(__xludf.DUMMYFUNCTION("""COMPUTED_VALUE"""),8438.65)</f>
        <v>8438.65</v>
      </c>
      <c r="E3537" s="3">
        <f>IFERROR(__xludf.DUMMYFUNCTION("""COMPUTED_VALUE"""),8475.75)</f>
        <v>8475.75</v>
      </c>
      <c r="F3537" s="3">
        <f>IFERROR(__xludf.DUMMYFUNCTION("""COMPUTED_VALUE"""),0.0)</f>
        <v>0</v>
      </c>
    </row>
    <row r="3538">
      <c r="A3538" s="7">
        <f>IFERROR(__xludf.DUMMYFUNCTION("""COMPUTED_VALUE"""),41970.64583333333)</f>
        <v>41970.64583</v>
      </c>
      <c r="B3538" s="3">
        <f>IFERROR(__xludf.DUMMYFUNCTION("""COMPUTED_VALUE"""),8477.8)</f>
        <v>8477.8</v>
      </c>
      <c r="C3538" s="3">
        <f>IFERROR(__xludf.DUMMYFUNCTION("""COMPUTED_VALUE"""),8506.75)</f>
        <v>8506.75</v>
      </c>
      <c r="D3538" s="3">
        <f>IFERROR(__xludf.DUMMYFUNCTION("""COMPUTED_VALUE"""),8456.35)</f>
        <v>8456.35</v>
      </c>
      <c r="E3538" s="3">
        <f>IFERROR(__xludf.DUMMYFUNCTION("""COMPUTED_VALUE"""),8494.2)</f>
        <v>8494.2</v>
      </c>
      <c r="F3538" s="3">
        <f>IFERROR(__xludf.DUMMYFUNCTION("""COMPUTED_VALUE"""),0.0)</f>
        <v>0</v>
      </c>
    </row>
    <row r="3539">
      <c r="A3539" s="7">
        <f>IFERROR(__xludf.DUMMYFUNCTION("""COMPUTED_VALUE"""),41971.64583333333)</f>
        <v>41971.64583</v>
      </c>
      <c r="B3539" s="3">
        <f>IFERROR(__xludf.DUMMYFUNCTION("""COMPUTED_VALUE"""),8516.8)</f>
        <v>8516.8</v>
      </c>
      <c r="C3539" s="3">
        <f>IFERROR(__xludf.DUMMYFUNCTION("""COMPUTED_VALUE"""),8617.0)</f>
        <v>8617</v>
      </c>
      <c r="D3539" s="3">
        <f>IFERROR(__xludf.DUMMYFUNCTION("""COMPUTED_VALUE"""),8516.25)</f>
        <v>8516.25</v>
      </c>
      <c r="E3539" s="3">
        <f>IFERROR(__xludf.DUMMYFUNCTION("""COMPUTED_VALUE"""),8588.25)</f>
        <v>8588.25</v>
      </c>
      <c r="F3539" s="3">
        <f>IFERROR(__xludf.DUMMYFUNCTION("""COMPUTED_VALUE"""),0.0)</f>
        <v>0</v>
      </c>
    </row>
    <row r="3540">
      <c r="A3540" s="7">
        <f>IFERROR(__xludf.DUMMYFUNCTION("""COMPUTED_VALUE"""),41974.64583333333)</f>
        <v>41974.64583</v>
      </c>
      <c r="B3540" s="3">
        <f>IFERROR(__xludf.DUMMYFUNCTION("""COMPUTED_VALUE"""),8605.1)</f>
        <v>8605.1</v>
      </c>
      <c r="C3540" s="3">
        <f>IFERROR(__xludf.DUMMYFUNCTION("""COMPUTED_VALUE"""),8623.0)</f>
        <v>8623</v>
      </c>
      <c r="D3540" s="3">
        <f>IFERROR(__xludf.DUMMYFUNCTION("""COMPUTED_VALUE"""),8545.15)</f>
        <v>8545.15</v>
      </c>
      <c r="E3540" s="3">
        <f>IFERROR(__xludf.DUMMYFUNCTION("""COMPUTED_VALUE"""),8555.9)</f>
        <v>8555.9</v>
      </c>
      <c r="F3540" s="3">
        <f>IFERROR(__xludf.DUMMYFUNCTION("""COMPUTED_VALUE"""),0.0)</f>
        <v>0</v>
      </c>
    </row>
    <row r="3541">
      <c r="A3541" s="7">
        <f>IFERROR(__xludf.DUMMYFUNCTION("""COMPUTED_VALUE"""),41975.64583333333)</f>
        <v>41975.64583</v>
      </c>
      <c r="B3541" s="3">
        <f>IFERROR(__xludf.DUMMYFUNCTION("""COMPUTED_VALUE"""),8535.45)</f>
        <v>8535.45</v>
      </c>
      <c r="C3541" s="3">
        <f>IFERROR(__xludf.DUMMYFUNCTION("""COMPUTED_VALUE"""),8560.2)</f>
        <v>8560.2</v>
      </c>
      <c r="D3541" s="3">
        <f>IFERROR(__xludf.DUMMYFUNCTION("""COMPUTED_VALUE"""),8504.65)</f>
        <v>8504.65</v>
      </c>
      <c r="E3541" s="3">
        <f>IFERROR(__xludf.DUMMYFUNCTION("""COMPUTED_VALUE"""),8524.7)</f>
        <v>8524.7</v>
      </c>
      <c r="F3541" s="3">
        <f>IFERROR(__xludf.DUMMYFUNCTION("""COMPUTED_VALUE"""),0.0)</f>
        <v>0</v>
      </c>
    </row>
    <row r="3542">
      <c r="A3542" s="7">
        <f>IFERROR(__xludf.DUMMYFUNCTION("""COMPUTED_VALUE"""),41976.64583333333)</f>
        <v>41976.64583</v>
      </c>
      <c r="B3542" s="3">
        <f>IFERROR(__xludf.DUMMYFUNCTION("""COMPUTED_VALUE"""),8528.7)</f>
        <v>8528.7</v>
      </c>
      <c r="C3542" s="3">
        <f>IFERROR(__xludf.DUMMYFUNCTION("""COMPUTED_VALUE"""),8546.95)</f>
        <v>8546.95</v>
      </c>
      <c r="D3542" s="3">
        <f>IFERROR(__xludf.DUMMYFUNCTION("""COMPUTED_VALUE"""),8508.35)</f>
        <v>8508.35</v>
      </c>
      <c r="E3542" s="3">
        <f>IFERROR(__xludf.DUMMYFUNCTION("""COMPUTED_VALUE"""),8537.65)</f>
        <v>8537.65</v>
      </c>
      <c r="F3542" s="3">
        <f>IFERROR(__xludf.DUMMYFUNCTION("""COMPUTED_VALUE"""),0.0)</f>
        <v>0</v>
      </c>
    </row>
    <row r="3543">
      <c r="A3543" s="7">
        <f>IFERROR(__xludf.DUMMYFUNCTION("""COMPUTED_VALUE"""),41977.64583333333)</f>
        <v>41977.64583</v>
      </c>
      <c r="B3543" s="3">
        <f>IFERROR(__xludf.DUMMYFUNCTION("""COMPUTED_VALUE"""),8582.4)</f>
        <v>8582.4</v>
      </c>
      <c r="C3543" s="3">
        <f>IFERROR(__xludf.DUMMYFUNCTION("""COMPUTED_VALUE"""),8626.95)</f>
        <v>8626.95</v>
      </c>
      <c r="D3543" s="3">
        <f>IFERROR(__xludf.DUMMYFUNCTION("""COMPUTED_VALUE"""),8526.4)</f>
        <v>8526.4</v>
      </c>
      <c r="E3543" s="3">
        <f>IFERROR(__xludf.DUMMYFUNCTION("""COMPUTED_VALUE"""),8564.4)</f>
        <v>8564.4</v>
      </c>
      <c r="F3543" s="3">
        <f>IFERROR(__xludf.DUMMYFUNCTION("""COMPUTED_VALUE"""),0.0)</f>
        <v>0</v>
      </c>
    </row>
    <row r="3544">
      <c r="A3544" s="7">
        <f>IFERROR(__xludf.DUMMYFUNCTION("""COMPUTED_VALUE"""),41978.64583333333)</f>
        <v>41978.64583</v>
      </c>
      <c r="B3544" s="3">
        <f>IFERROR(__xludf.DUMMYFUNCTION("""COMPUTED_VALUE"""),8584.25)</f>
        <v>8584.25</v>
      </c>
      <c r="C3544" s="3">
        <f>IFERROR(__xludf.DUMMYFUNCTION("""COMPUTED_VALUE"""),8588.35)</f>
        <v>8588.35</v>
      </c>
      <c r="D3544" s="3">
        <f>IFERROR(__xludf.DUMMYFUNCTION("""COMPUTED_VALUE"""),8523.9)</f>
        <v>8523.9</v>
      </c>
      <c r="E3544" s="3">
        <f>IFERROR(__xludf.DUMMYFUNCTION("""COMPUTED_VALUE"""),8538.3)</f>
        <v>8538.3</v>
      </c>
      <c r="F3544" s="3">
        <f>IFERROR(__xludf.DUMMYFUNCTION("""COMPUTED_VALUE"""),0.0)</f>
        <v>0</v>
      </c>
    </row>
    <row r="3545">
      <c r="A3545" s="7">
        <f>IFERROR(__xludf.DUMMYFUNCTION("""COMPUTED_VALUE"""),41981.64583333333)</f>
        <v>41981.64583</v>
      </c>
      <c r="B3545" s="3">
        <f>IFERROR(__xludf.DUMMYFUNCTION("""COMPUTED_VALUE"""),8538.65)</f>
        <v>8538.65</v>
      </c>
      <c r="C3545" s="3">
        <f>IFERROR(__xludf.DUMMYFUNCTION("""COMPUTED_VALUE"""),8546.35)</f>
        <v>8546.35</v>
      </c>
      <c r="D3545" s="3">
        <f>IFERROR(__xludf.DUMMYFUNCTION("""COMPUTED_VALUE"""),8432.25)</f>
        <v>8432.25</v>
      </c>
      <c r="E3545" s="3">
        <f>IFERROR(__xludf.DUMMYFUNCTION("""COMPUTED_VALUE"""),8438.25)</f>
        <v>8438.25</v>
      </c>
      <c r="F3545" s="3">
        <f>IFERROR(__xludf.DUMMYFUNCTION("""COMPUTED_VALUE"""),0.0)</f>
        <v>0</v>
      </c>
    </row>
    <row r="3546">
      <c r="A3546" s="7">
        <f>IFERROR(__xludf.DUMMYFUNCTION("""COMPUTED_VALUE"""),41982.64583333333)</f>
        <v>41982.64583</v>
      </c>
      <c r="B3546" s="3">
        <f>IFERROR(__xludf.DUMMYFUNCTION("""COMPUTED_VALUE"""),8439.3)</f>
        <v>8439.3</v>
      </c>
      <c r="C3546" s="3">
        <f>IFERROR(__xludf.DUMMYFUNCTION("""COMPUTED_VALUE"""),8444.5)</f>
        <v>8444.5</v>
      </c>
      <c r="D3546" s="3">
        <f>IFERROR(__xludf.DUMMYFUNCTION("""COMPUTED_VALUE"""),8330.5)</f>
        <v>8330.5</v>
      </c>
      <c r="E3546" s="3">
        <f>IFERROR(__xludf.DUMMYFUNCTION("""COMPUTED_VALUE"""),8340.7)</f>
        <v>8340.7</v>
      </c>
      <c r="F3546" s="3">
        <f>IFERROR(__xludf.DUMMYFUNCTION("""COMPUTED_VALUE"""),0.0)</f>
        <v>0</v>
      </c>
    </row>
    <row r="3547">
      <c r="A3547" s="7">
        <f>IFERROR(__xludf.DUMMYFUNCTION("""COMPUTED_VALUE"""),41983.64583333333)</f>
        <v>41983.64583</v>
      </c>
      <c r="B3547" s="3">
        <f>IFERROR(__xludf.DUMMYFUNCTION("""COMPUTED_VALUE"""),8318.05)</f>
        <v>8318.05</v>
      </c>
      <c r="C3547" s="3">
        <f>IFERROR(__xludf.DUMMYFUNCTION("""COMPUTED_VALUE"""),8376.8)</f>
        <v>8376.8</v>
      </c>
      <c r="D3547" s="3">
        <f>IFERROR(__xludf.DUMMYFUNCTION("""COMPUTED_VALUE"""),8317.0)</f>
        <v>8317</v>
      </c>
      <c r="E3547" s="3">
        <f>IFERROR(__xludf.DUMMYFUNCTION("""COMPUTED_VALUE"""),8355.65)</f>
        <v>8355.65</v>
      </c>
      <c r="F3547" s="3">
        <f>IFERROR(__xludf.DUMMYFUNCTION("""COMPUTED_VALUE"""),0.0)</f>
        <v>0</v>
      </c>
    </row>
    <row r="3548">
      <c r="A3548" s="7">
        <f>IFERROR(__xludf.DUMMYFUNCTION("""COMPUTED_VALUE"""),41984.64583333333)</f>
        <v>41984.64583</v>
      </c>
      <c r="B3548" s="3">
        <f>IFERROR(__xludf.DUMMYFUNCTION("""COMPUTED_VALUE"""),8338.85)</f>
        <v>8338.85</v>
      </c>
      <c r="C3548" s="3">
        <f>IFERROR(__xludf.DUMMYFUNCTION("""COMPUTED_VALUE"""),8348.3)</f>
        <v>8348.3</v>
      </c>
      <c r="D3548" s="3">
        <f>IFERROR(__xludf.DUMMYFUNCTION("""COMPUTED_VALUE"""),8272.4)</f>
        <v>8272.4</v>
      </c>
      <c r="E3548" s="3">
        <f>IFERROR(__xludf.DUMMYFUNCTION("""COMPUTED_VALUE"""),8292.9)</f>
        <v>8292.9</v>
      </c>
      <c r="F3548" s="3">
        <f>IFERROR(__xludf.DUMMYFUNCTION("""COMPUTED_VALUE"""),0.0)</f>
        <v>0</v>
      </c>
    </row>
    <row r="3549">
      <c r="A3549" s="7">
        <f>IFERROR(__xludf.DUMMYFUNCTION("""COMPUTED_VALUE"""),41985.64583333333)</f>
        <v>41985.64583</v>
      </c>
      <c r="B3549" s="3">
        <f>IFERROR(__xludf.DUMMYFUNCTION("""COMPUTED_VALUE"""),8302.0)</f>
        <v>8302</v>
      </c>
      <c r="C3549" s="3">
        <f>IFERROR(__xludf.DUMMYFUNCTION("""COMPUTED_VALUE"""),8321.9)</f>
        <v>8321.9</v>
      </c>
      <c r="D3549" s="3">
        <f>IFERROR(__xludf.DUMMYFUNCTION("""COMPUTED_VALUE"""),8216.3)</f>
        <v>8216.3</v>
      </c>
      <c r="E3549" s="3">
        <f>IFERROR(__xludf.DUMMYFUNCTION("""COMPUTED_VALUE"""),8224.1)</f>
        <v>8224.1</v>
      </c>
      <c r="F3549" s="3">
        <f>IFERROR(__xludf.DUMMYFUNCTION("""COMPUTED_VALUE"""),0.0)</f>
        <v>0</v>
      </c>
    </row>
    <row r="3550">
      <c r="A3550" s="7">
        <f>IFERROR(__xludf.DUMMYFUNCTION("""COMPUTED_VALUE"""),41988.64583333333)</f>
        <v>41988.64583</v>
      </c>
      <c r="B3550" s="3">
        <f>IFERROR(__xludf.DUMMYFUNCTION("""COMPUTED_VALUE"""),8160.75)</f>
        <v>8160.75</v>
      </c>
      <c r="C3550" s="3">
        <f>IFERROR(__xludf.DUMMYFUNCTION("""COMPUTED_VALUE"""),8242.4)</f>
        <v>8242.4</v>
      </c>
      <c r="D3550" s="3">
        <f>IFERROR(__xludf.DUMMYFUNCTION("""COMPUTED_VALUE"""),8152.5)</f>
        <v>8152.5</v>
      </c>
      <c r="E3550" s="3">
        <f>IFERROR(__xludf.DUMMYFUNCTION("""COMPUTED_VALUE"""),8219.6)</f>
        <v>8219.6</v>
      </c>
      <c r="F3550" s="3">
        <f>IFERROR(__xludf.DUMMYFUNCTION("""COMPUTED_VALUE"""),0.0)</f>
        <v>0</v>
      </c>
    </row>
    <row r="3551">
      <c r="A3551" s="7">
        <f>IFERROR(__xludf.DUMMYFUNCTION("""COMPUTED_VALUE"""),41989.64583333333)</f>
        <v>41989.64583</v>
      </c>
      <c r="B3551" s="3">
        <f>IFERROR(__xludf.DUMMYFUNCTION("""COMPUTED_VALUE"""),8172.6)</f>
        <v>8172.6</v>
      </c>
      <c r="C3551" s="3">
        <f>IFERROR(__xludf.DUMMYFUNCTION("""COMPUTED_VALUE"""),8189.35)</f>
        <v>8189.35</v>
      </c>
      <c r="D3551" s="3">
        <f>IFERROR(__xludf.DUMMYFUNCTION("""COMPUTED_VALUE"""),8052.6)</f>
        <v>8052.6</v>
      </c>
      <c r="E3551" s="3">
        <f>IFERROR(__xludf.DUMMYFUNCTION("""COMPUTED_VALUE"""),8067.6)</f>
        <v>8067.6</v>
      </c>
      <c r="F3551" s="3">
        <f>IFERROR(__xludf.DUMMYFUNCTION("""COMPUTED_VALUE"""),0.0)</f>
        <v>0</v>
      </c>
    </row>
    <row r="3552">
      <c r="A3552" s="7">
        <f>IFERROR(__xludf.DUMMYFUNCTION("""COMPUTED_VALUE"""),41990.64583333333)</f>
        <v>41990.64583</v>
      </c>
      <c r="B3552" s="3">
        <f>IFERROR(__xludf.DUMMYFUNCTION("""COMPUTED_VALUE"""),8041.2)</f>
        <v>8041.2</v>
      </c>
      <c r="C3552" s="3">
        <f>IFERROR(__xludf.DUMMYFUNCTION("""COMPUTED_VALUE"""),8082.0)</f>
        <v>8082</v>
      </c>
      <c r="D3552" s="3">
        <f>IFERROR(__xludf.DUMMYFUNCTION("""COMPUTED_VALUE"""),7961.35)</f>
        <v>7961.35</v>
      </c>
      <c r="E3552" s="3">
        <f>IFERROR(__xludf.DUMMYFUNCTION("""COMPUTED_VALUE"""),8029.8)</f>
        <v>8029.8</v>
      </c>
      <c r="F3552" s="3">
        <f>IFERROR(__xludf.DUMMYFUNCTION("""COMPUTED_VALUE"""),0.0)</f>
        <v>0</v>
      </c>
    </row>
    <row r="3553">
      <c r="A3553" s="7">
        <f>IFERROR(__xludf.DUMMYFUNCTION("""COMPUTED_VALUE"""),41991.64583333333)</f>
        <v>41991.64583</v>
      </c>
      <c r="B3553" s="3">
        <f>IFERROR(__xludf.DUMMYFUNCTION("""COMPUTED_VALUE"""),8138.9)</f>
        <v>8138.9</v>
      </c>
      <c r="C3553" s="3">
        <f>IFERROR(__xludf.DUMMYFUNCTION("""COMPUTED_VALUE"""),8174.3)</f>
        <v>8174.3</v>
      </c>
      <c r="D3553" s="3">
        <f>IFERROR(__xludf.DUMMYFUNCTION("""COMPUTED_VALUE"""),8084.9)</f>
        <v>8084.9</v>
      </c>
      <c r="E3553" s="3">
        <f>IFERROR(__xludf.DUMMYFUNCTION("""COMPUTED_VALUE"""),8159.3)</f>
        <v>8159.3</v>
      </c>
      <c r="F3553" s="3">
        <f>IFERROR(__xludf.DUMMYFUNCTION("""COMPUTED_VALUE"""),0.0)</f>
        <v>0</v>
      </c>
    </row>
    <row r="3554">
      <c r="A3554" s="7">
        <f>IFERROR(__xludf.DUMMYFUNCTION("""COMPUTED_VALUE"""),41992.64583333333)</f>
        <v>41992.64583</v>
      </c>
      <c r="B3554" s="3">
        <f>IFERROR(__xludf.DUMMYFUNCTION("""COMPUTED_VALUE"""),8230.45)</f>
        <v>8230.45</v>
      </c>
      <c r="C3554" s="3">
        <f>IFERROR(__xludf.DUMMYFUNCTION("""COMPUTED_VALUE"""),8263.45)</f>
        <v>8263.45</v>
      </c>
      <c r="D3554" s="3">
        <f>IFERROR(__xludf.DUMMYFUNCTION("""COMPUTED_VALUE"""),8208.6)</f>
        <v>8208.6</v>
      </c>
      <c r="E3554" s="3">
        <f>IFERROR(__xludf.DUMMYFUNCTION("""COMPUTED_VALUE"""),8225.2)</f>
        <v>8225.2</v>
      </c>
      <c r="F3554" s="3">
        <f>IFERROR(__xludf.DUMMYFUNCTION("""COMPUTED_VALUE"""),0.0)</f>
        <v>0</v>
      </c>
    </row>
    <row r="3555">
      <c r="A3555" s="7">
        <f>IFERROR(__xludf.DUMMYFUNCTION("""COMPUTED_VALUE"""),41995.64583333333)</f>
        <v>41995.64583</v>
      </c>
      <c r="B3555" s="3">
        <f>IFERROR(__xludf.DUMMYFUNCTION("""COMPUTED_VALUE"""),8255.0)</f>
        <v>8255</v>
      </c>
      <c r="C3555" s="3">
        <f>IFERROR(__xludf.DUMMYFUNCTION("""COMPUTED_VALUE"""),8330.95)</f>
        <v>8330.95</v>
      </c>
      <c r="D3555" s="3">
        <f>IFERROR(__xludf.DUMMYFUNCTION("""COMPUTED_VALUE"""),8228.2)</f>
        <v>8228.2</v>
      </c>
      <c r="E3555" s="3">
        <f>IFERROR(__xludf.DUMMYFUNCTION("""COMPUTED_VALUE"""),8324.0)</f>
        <v>8324</v>
      </c>
      <c r="F3555" s="3">
        <f>IFERROR(__xludf.DUMMYFUNCTION("""COMPUTED_VALUE"""),0.0)</f>
        <v>0</v>
      </c>
    </row>
    <row r="3556">
      <c r="A3556" s="7">
        <f>IFERROR(__xludf.DUMMYFUNCTION("""COMPUTED_VALUE"""),41996.64583333333)</f>
        <v>41996.64583</v>
      </c>
      <c r="B3556" s="3">
        <f>IFERROR(__xludf.DUMMYFUNCTION("""COMPUTED_VALUE"""),8324.6)</f>
        <v>8324.6</v>
      </c>
      <c r="C3556" s="3">
        <f>IFERROR(__xludf.DUMMYFUNCTION("""COMPUTED_VALUE"""),8364.75)</f>
        <v>8364.75</v>
      </c>
      <c r="D3556" s="3">
        <f>IFERROR(__xludf.DUMMYFUNCTION("""COMPUTED_VALUE"""),8252.85)</f>
        <v>8252.85</v>
      </c>
      <c r="E3556" s="3">
        <f>IFERROR(__xludf.DUMMYFUNCTION("""COMPUTED_VALUE"""),8267.0)</f>
        <v>8267</v>
      </c>
      <c r="F3556" s="3">
        <f>IFERROR(__xludf.DUMMYFUNCTION("""COMPUTED_VALUE"""),0.0)</f>
        <v>0</v>
      </c>
    </row>
    <row r="3557">
      <c r="A3557" s="7">
        <f>IFERROR(__xludf.DUMMYFUNCTION("""COMPUTED_VALUE"""),41997.64583333333)</f>
        <v>41997.64583</v>
      </c>
      <c r="B3557" s="3">
        <f>IFERROR(__xludf.DUMMYFUNCTION("""COMPUTED_VALUE"""),8272.05)</f>
        <v>8272.05</v>
      </c>
      <c r="C3557" s="3">
        <f>IFERROR(__xludf.DUMMYFUNCTION("""COMPUTED_VALUE"""),8286.4)</f>
        <v>8286.4</v>
      </c>
      <c r="D3557" s="3">
        <f>IFERROR(__xludf.DUMMYFUNCTION("""COMPUTED_VALUE"""),8155.25)</f>
        <v>8155.25</v>
      </c>
      <c r="E3557" s="3">
        <f>IFERROR(__xludf.DUMMYFUNCTION("""COMPUTED_VALUE"""),8174.1)</f>
        <v>8174.1</v>
      </c>
      <c r="F3557" s="3">
        <f>IFERROR(__xludf.DUMMYFUNCTION("""COMPUTED_VALUE"""),0.0)</f>
        <v>0</v>
      </c>
    </row>
    <row r="3558">
      <c r="A3558" s="7">
        <f>IFERROR(__xludf.DUMMYFUNCTION("""COMPUTED_VALUE"""),41999.64583333333)</f>
        <v>41999.64583</v>
      </c>
      <c r="B3558" s="3">
        <f>IFERROR(__xludf.DUMMYFUNCTION("""COMPUTED_VALUE"""),8204.8)</f>
        <v>8204.8</v>
      </c>
      <c r="C3558" s="3">
        <f>IFERROR(__xludf.DUMMYFUNCTION("""COMPUTED_VALUE"""),8234.55)</f>
        <v>8234.55</v>
      </c>
      <c r="D3558" s="3">
        <f>IFERROR(__xludf.DUMMYFUNCTION("""COMPUTED_VALUE"""),8147.95)</f>
        <v>8147.95</v>
      </c>
      <c r="E3558" s="3">
        <f>IFERROR(__xludf.DUMMYFUNCTION("""COMPUTED_VALUE"""),8200.7)</f>
        <v>8200.7</v>
      </c>
      <c r="F3558" s="3">
        <f>IFERROR(__xludf.DUMMYFUNCTION("""COMPUTED_VALUE"""),0.0)</f>
        <v>0</v>
      </c>
    </row>
    <row r="3559">
      <c r="A3559" s="7">
        <f>IFERROR(__xludf.DUMMYFUNCTION("""COMPUTED_VALUE"""),42002.64583333333)</f>
        <v>42002.64583</v>
      </c>
      <c r="B3559" s="3">
        <f>IFERROR(__xludf.DUMMYFUNCTION("""COMPUTED_VALUE"""),8214.7)</f>
        <v>8214.7</v>
      </c>
      <c r="C3559" s="3">
        <f>IFERROR(__xludf.DUMMYFUNCTION("""COMPUTED_VALUE"""),8279.15)</f>
        <v>8279.15</v>
      </c>
      <c r="D3559" s="3">
        <f>IFERROR(__xludf.DUMMYFUNCTION("""COMPUTED_VALUE"""),8214.7)</f>
        <v>8214.7</v>
      </c>
      <c r="E3559" s="3">
        <f>IFERROR(__xludf.DUMMYFUNCTION("""COMPUTED_VALUE"""),8246.3)</f>
        <v>8246.3</v>
      </c>
      <c r="F3559" s="3">
        <f>IFERROR(__xludf.DUMMYFUNCTION("""COMPUTED_VALUE"""),0.0)</f>
        <v>0</v>
      </c>
    </row>
    <row r="3560">
      <c r="A3560" s="7">
        <f>IFERROR(__xludf.DUMMYFUNCTION("""COMPUTED_VALUE"""),42003.64583333333)</f>
        <v>42003.64583</v>
      </c>
      <c r="B3560" s="3">
        <f>IFERROR(__xludf.DUMMYFUNCTION("""COMPUTED_VALUE"""),8260.3)</f>
        <v>8260.3</v>
      </c>
      <c r="C3560" s="3">
        <f>IFERROR(__xludf.DUMMYFUNCTION("""COMPUTED_VALUE"""),8268.25)</f>
        <v>8268.25</v>
      </c>
      <c r="D3560" s="3">
        <f>IFERROR(__xludf.DUMMYFUNCTION("""COMPUTED_VALUE"""),8220.55)</f>
        <v>8220.55</v>
      </c>
      <c r="E3560" s="3">
        <f>IFERROR(__xludf.DUMMYFUNCTION("""COMPUTED_VALUE"""),8248.25)</f>
        <v>8248.25</v>
      </c>
      <c r="F3560" s="3">
        <f>IFERROR(__xludf.DUMMYFUNCTION("""COMPUTED_VALUE"""),0.0)</f>
        <v>0</v>
      </c>
    </row>
    <row r="3561">
      <c r="A3561" s="7">
        <f>IFERROR(__xludf.DUMMYFUNCTION("""COMPUTED_VALUE"""),42004.64583333333)</f>
        <v>42004.64583</v>
      </c>
      <c r="B3561" s="3">
        <f>IFERROR(__xludf.DUMMYFUNCTION("""COMPUTED_VALUE"""),8243.9)</f>
        <v>8243.9</v>
      </c>
      <c r="C3561" s="3">
        <f>IFERROR(__xludf.DUMMYFUNCTION("""COMPUTED_VALUE"""),8291.0)</f>
        <v>8291</v>
      </c>
      <c r="D3561" s="3">
        <f>IFERROR(__xludf.DUMMYFUNCTION("""COMPUTED_VALUE"""),8243.75)</f>
        <v>8243.75</v>
      </c>
      <c r="E3561" s="3">
        <f>IFERROR(__xludf.DUMMYFUNCTION("""COMPUTED_VALUE"""),8282.7)</f>
        <v>8282.7</v>
      </c>
      <c r="F3561" s="3">
        <f>IFERROR(__xludf.DUMMYFUNCTION("""COMPUTED_VALUE"""),0.0)</f>
        <v>0</v>
      </c>
    </row>
    <row r="3562">
      <c r="A3562" s="7">
        <f>IFERROR(__xludf.DUMMYFUNCTION("""COMPUTED_VALUE"""),42005.64583333333)</f>
        <v>42005.64583</v>
      </c>
      <c r="B3562" s="3">
        <f>IFERROR(__xludf.DUMMYFUNCTION("""COMPUTED_VALUE"""),8272.8)</f>
        <v>8272.8</v>
      </c>
      <c r="C3562" s="3">
        <f>IFERROR(__xludf.DUMMYFUNCTION("""COMPUTED_VALUE"""),8294.7)</f>
        <v>8294.7</v>
      </c>
      <c r="D3562" s="3">
        <f>IFERROR(__xludf.DUMMYFUNCTION("""COMPUTED_VALUE"""),8248.75)</f>
        <v>8248.75</v>
      </c>
      <c r="E3562" s="3">
        <f>IFERROR(__xludf.DUMMYFUNCTION("""COMPUTED_VALUE"""),8284.0)</f>
        <v>8284</v>
      </c>
      <c r="F3562" s="3">
        <f>IFERROR(__xludf.DUMMYFUNCTION("""COMPUTED_VALUE"""),0.0)</f>
        <v>0</v>
      </c>
    </row>
    <row r="3563">
      <c r="A3563" s="7">
        <f>IFERROR(__xludf.DUMMYFUNCTION("""COMPUTED_VALUE"""),42006.64583333333)</f>
        <v>42006.64583</v>
      </c>
      <c r="B3563" s="3">
        <f>IFERROR(__xludf.DUMMYFUNCTION("""COMPUTED_VALUE"""),8288.7)</f>
        <v>8288.7</v>
      </c>
      <c r="C3563" s="3">
        <f>IFERROR(__xludf.DUMMYFUNCTION("""COMPUTED_VALUE"""),8410.6)</f>
        <v>8410.6</v>
      </c>
      <c r="D3563" s="3">
        <f>IFERROR(__xludf.DUMMYFUNCTION("""COMPUTED_VALUE"""),8288.7)</f>
        <v>8288.7</v>
      </c>
      <c r="E3563" s="3">
        <f>IFERROR(__xludf.DUMMYFUNCTION("""COMPUTED_VALUE"""),8395.45)</f>
        <v>8395.45</v>
      </c>
      <c r="F3563" s="3">
        <f>IFERROR(__xludf.DUMMYFUNCTION("""COMPUTED_VALUE"""),0.0)</f>
        <v>0</v>
      </c>
    </row>
    <row r="3564">
      <c r="A3564" s="7">
        <f>IFERROR(__xludf.DUMMYFUNCTION("""COMPUTED_VALUE"""),42009.64583333333)</f>
        <v>42009.64583</v>
      </c>
      <c r="B3564" s="3">
        <f>IFERROR(__xludf.DUMMYFUNCTION("""COMPUTED_VALUE"""),8407.95)</f>
        <v>8407.95</v>
      </c>
      <c r="C3564" s="3">
        <f>IFERROR(__xludf.DUMMYFUNCTION("""COMPUTED_VALUE"""),8445.6)</f>
        <v>8445.6</v>
      </c>
      <c r="D3564" s="3">
        <f>IFERROR(__xludf.DUMMYFUNCTION("""COMPUTED_VALUE"""),8363.9)</f>
        <v>8363.9</v>
      </c>
      <c r="E3564" s="3">
        <f>IFERROR(__xludf.DUMMYFUNCTION("""COMPUTED_VALUE"""),8378.4)</f>
        <v>8378.4</v>
      </c>
      <c r="F3564" s="3">
        <f>IFERROR(__xludf.DUMMYFUNCTION("""COMPUTED_VALUE"""),0.0)</f>
        <v>0</v>
      </c>
    </row>
    <row r="3565">
      <c r="A3565" s="7">
        <f>IFERROR(__xludf.DUMMYFUNCTION("""COMPUTED_VALUE"""),42010.64583333333)</f>
        <v>42010.64583</v>
      </c>
      <c r="B3565" s="3">
        <f>IFERROR(__xludf.DUMMYFUNCTION("""COMPUTED_VALUE"""),8325.3)</f>
        <v>8325.3</v>
      </c>
      <c r="C3565" s="3">
        <f>IFERROR(__xludf.DUMMYFUNCTION("""COMPUTED_VALUE"""),8327.85)</f>
        <v>8327.85</v>
      </c>
      <c r="D3565" s="3">
        <f>IFERROR(__xludf.DUMMYFUNCTION("""COMPUTED_VALUE"""),8111.35)</f>
        <v>8111.35</v>
      </c>
      <c r="E3565" s="3">
        <f>IFERROR(__xludf.DUMMYFUNCTION("""COMPUTED_VALUE"""),8127.35)</f>
        <v>8127.35</v>
      </c>
      <c r="F3565" s="3">
        <f>IFERROR(__xludf.DUMMYFUNCTION("""COMPUTED_VALUE"""),0.0)</f>
        <v>0</v>
      </c>
    </row>
    <row r="3566">
      <c r="A3566" s="7">
        <f>IFERROR(__xludf.DUMMYFUNCTION("""COMPUTED_VALUE"""),42011.64583333333)</f>
        <v>42011.64583</v>
      </c>
      <c r="B3566" s="3">
        <f>IFERROR(__xludf.DUMMYFUNCTION("""COMPUTED_VALUE"""),8118.65)</f>
        <v>8118.65</v>
      </c>
      <c r="C3566" s="3">
        <f>IFERROR(__xludf.DUMMYFUNCTION("""COMPUTED_VALUE"""),8151.2)</f>
        <v>8151.2</v>
      </c>
      <c r="D3566" s="3">
        <f>IFERROR(__xludf.DUMMYFUNCTION("""COMPUTED_VALUE"""),8065.45)</f>
        <v>8065.45</v>
      </c>
      <c r="E3566" s="3">
        <f>IFERROR(__xludf.DUMMYFUNCTION("""COMPUTED_VALUE"""),8102.1)</f>
        <v>8102.1</v>
      </c>
      <c r="F3566" s="3">
        <f>IFERROR(__xludf.DUMMYFUNCTION("""COMPUTED_VALUE"""),0.0)</f>
        <v>0</v>
      </c>
    </row>
    <row r="3567">
      <c r="A3567" s="7">
        <f>IFERROR(__xludf.DUMMYFUNCTION("""COMPUTED_VALUE"""),42012.64583333333)</f>
        <v>42012.64583</v>
      </c>
      <c r="B3567" s="3">
        <f>IFERROR(__xludf.DUMMYFUNCTION("""COMPUTED_VALUE"""),8191.4)</f>
        <v>8191.4</v>
      </c>
      <c r="C3567" s="3">
        <f>IFERROR(__xludf.DUMMYFUNCTION("""COMPUTED_VALUE"""),8243.5)</f>
        <v>8243.5</v>
      </c>
      <c r="D3567" s="3">
        <f>IFERROR(__xludf.DUMMYFUNCTION("""COMPUTED_VALUE"""),8167.3)</f>
        <v>8167.3</v>
      </c>
      <c r="E3567" s="3">
        <f>IFERROR(__xludf.DUMMYFUNCTION("""COMPUTED_VALUE"""),8234.6)</f>
        <v>8234.6</v>
      </c>
      <c r="F3567" s="3">
        <f>IFERROR(__xludf.DUMMYFUNCTION("""COMPUTED_VALUE"""),0.0)</f>
        <v>0</v>
      </c>
    </row>
    <row r="3568">
      <c r="A3568" s="7">
        <f>IFERROR(__xludf.DUMMYFUNCTION("""COMPUTED_VALUE"""),42013.64583333333)</f>
        <v>42013.64583</v>
      </c>
      <c r="B3568" s="3">
        <f>IFERROR(__xludf.DUMMYFUNCTION("""COMPUTED_VALUE"""),8285.45)</f>
        <v>8285.45</v>
      </c>
      <c r="C3568" s="3">
        <f>IFERROR(__xludf.DUMMYFUNCTION("""COMPUTED_VALUE"""),8303.3)</f>
        <v>8303.3</v>
      </c>
      <c r="D3568" s="3">
        <f>IFERROR(__xludf.DUMMYFUNCTION("""COMPUTED_VALUE"""),8190.8)</f>
        <v>8190.8</v>
      </c>
      <c r="E3568" s="3">
        <f>IFERROR(__xludf.DUMMYFUNCTION("""COMPUTED_VALUE"""),8284.5)</f>
        <v>8284.5</v>
      </c>
      <c r="F3568" s="3">
        <f>IFERROR(__xludf.DUMMYFUNCTION("""COMPUTED_VALUE"""),0.0)</f>
        <v>0</v>
      </c>
    </row>
    <row r="3569">
      <c r="A3569" s="7">
        <f>IFERROR(__xludf.DUMMYFUNCTION("""COMPUTED_VALUE"""),42016.64583333333)</f>
        <v>42016.64583</v>
      </c>
      <c r="B3569" s="3">
        <f>IFERROR(__xludf.DUMMYFUNCTION("""COMPUTED_VALUE"""),8291.35)</f>
        <v>8291.35</v>
      </c>
      <c r="C3569" s="3">
        <f>IFERROR(__xludf.DUMMYFUNCTION("""COMPUTED_VALUE"""),8332.6)</f>
        <v>8332.6</v>
      </c>
      <c r="D3569" s="3">
        <f>IFERROR(__xludf.DUMMYFUNCTION("""COMPUTED_VALUE"""),8245.6)</f>
        <v>8245.6</v>
      </c>
      <c r="E3569" s="3">
        <f>IFERROR(__xludf.DUMMYFUNCTION("""COMPUTED_VALUE"""),8323.0)</f>
        <v>8323</v>
      </c>
      <c r="F3569" s="3">
        <f>IFERROR(__xludf.DUMMYFUNCTION("""COMPUTED_VALUE"""),0.0)</f>
        <v>0</v>
      </c>
    </row>
    <row r="3570">
      <c r="A3570" s="7">
        <f>IFERROR(__xludf.DUMMYFUNCTION("""COMPUTED_VALUE"""),42017.64583333333)</f>
        <v>42017.64583</v>
      </c>
      <c r="B3570" s="3">
        <f>IFERROR(__xludf.DUMMYFUNCTION("""COMPUTED_VALUE"""),8346.15)</f>
        <v>8346.15</v>
      </c>
      <c r="C3570" s="3">
        <f>IFERROR(__xludf.DUMMYFUNCTION("""COMPUTED_VALUE"""),8356.65)</f>
        <v>8356.65</v>
      </c>
      <c r="D3570" s="3">
        <f>IFERROR(__xludf.DUMMYFUNCTION("""COMPUTED_VALUE"""),8267.9)</f>
        <v>8267.9</v>
      </c>
      <c r="E3570" s="3">
        <f>IFERROR(__xludf.DUMMYFUNCTION("""COMPUTED_VALUE"""),8299.4)</f>
        <v>8299.4</v>
      </c>
      <c r="F3570" s="3">
        <f>IFERROR(__xludf.DUMMYFUNCTION("""COMPUTED_VALUE"""),0.0)</f>
        <v>0</v>
      </c>
    </row>
    <row r="3571">
      <c r="A3571" s="7">
        <f>IFERROR(__xludf.DUMMYFUNCTION("""COMPUTED_VALUE"""),42018.64583333333)</f>
        <v>42018.64583</v>
      </c>
      <c r="B3571" s="3">
        <f>IFERROR(__xludf.DUMMYFUNCTION("""COMPUTED_VALUE"""),8307.25)</f>
        <v>8307.25</v>
      </c>
      <c r="C3571" s="3">
        <f>IFERROR(__xludf.DUMMYFUNCTION("""COMPUTED_VALUE"""),8326.45)</f>
        <v>8326.45</v>
      </c>
      <c r="D3571" s="3">
        <f>IFERROR(__xludf.DUMMYFUNCTION("""COMPUTED_VALUE"""),8236.65)</f>
        <v>8236.65</v>
      </c>
      <c r="E3571" s="3">
        <f>IFERROR(__xludf.DUMMYFUNCTION("""COMPUTED_VALUE"""),8277.55)</f>
        <v>8277.55</v>
      </c>
      <c r="F3571" s="3">
        <f>IFERROR(__xludf.DUMMYFUNCTION("""COMPUTED_VALUE"""),0.0)</f>
        <v>0</v>
      </c>
    </row>
    <row r="3572">
      <c r="A3572" s="7">
        <f>IFERROR(__xludf.DUMMYFUNCTION("""COMPUTED_VALUE"""),42019.64583333333)</f>
        <v>42019.64583</v>
      </c>
      <c r="B3572" s="3">
        <f>IFERROR(__xludf.DUMMYFUNCTION("""COMPUTED_VALUE"""),8424.5)</f>
        <v>8424.5</v>
      </c>
      <c r="C3572" s="3">
        <f>IFERROR(__xludf.DUMMYFUNCTION("""COMPUTED_VALUE"""),8527.1)</f>
        <v>8527.1</v>
      </c>
      <c r="D3572" s="3">
        <f>IFERROR(__xludf.DUMMYFUNCTION("""COMPUTED_VALUE"""),8380.55)</f>
        <v>8380.55</v>
      </c>
      <c r="E3572" s="3">
        <f>IFERROR(__xludf.DUMMYFUNCTION("""COMPUTED_VALUE"""),8494.15)</f>
        <v>8494.15</v>
      </c>
      <c r="F3572" s="3">
        <f>IFERROR(__xludf.DUMMYFUNCTION("""COMPUTED_VALUE"""),0.0)</f>
        <v>0</v>
      </c>
    </row>
    <row r="3573">
      <c r="A3573" s="7">
        <f>IFERROR(__xludf.DUMMYFUNCTION("""COMPUTED_VALUE"""),42020.64583333333)</f>
        <v>42020.64583</v>
      </c>
      <c r="B3573" s="3">
        <f>IFERROR(__xludf.DUMMYFUNCTION("""COMPUTED_VALUE"""),8504.05)</f>
        <v>8504.05</v>
      </c>
      <c r="C3573" s="3">
        <f>IFERROR(__xludf.DUMMYFUNCTION("""COMPUTED_VALUE"""),8530.75)</f>
        <v>8530.75</v>
      </c>
      <c r="D3573" s="3">
        <f>IFERROR(__xludf.DUMMYFUNCTION("""COMPUTED_VALUE"""),8452.25)</f>
        <v>8452.25</v>
      </c>
      <c r="E3573" s="3">
        <f>IFERROR(__xludf.DUMMYFUNCTION("""COMPUTED_VALUE"""),8513.8)</f>
        <v>8513.8</v>
      </c>
      <c r="F3573" s="3">
        <f>IFERROR(__xludf.DUMMYFUNCTION("""COMPUTED_VALUE"""),0.0)</f>
        <v>0</v>
      </c>
    </row>
    <row r="3574">
      <c r="A3574" s="7">
        <f>IFERROR(__xludf.DUMMYFUNCTION("""COMPUTED_VALUE"""),42023.64583333333)</f>
        <v>42023.64583</v>
      </c>
      <c r="B3574" s="3">
        <f>IFERROR(__xludf.DUMMYFUNCTION("""COMPUTED_VALUE"""),8550.05)</f>
        <v>8550.05</v>
      </c>
      <c r="C3574" s="3">
        <f>IFERROR(__xludf.DUMMYFUNCTION("""COMPUTED_VALUE"""),8570.95)</f>
        <v>8570.95</v>
      </c>
      <c r="D3574" s="3">
        <f>IFERROR(__xludf.DUMMYFUNCTION("""COMPUTED_VALUE"""),8531.5)</f>
        <v>8531.5</v>
      </c>
      <c r="E3574" s="3">
        <f>IFERROR(__xludf.DUMMYFUNCTION("""COMPUTED_VALUE"""),8550.7)</f>
        <v>8550.7</v>
      </c>
      <c r="F3574" s="3">
        <f>IFERROR(__xludf.DUMMYFUNCTION("""COMPUTED_VALUE"""),0.0)</f>
        <v>0</v>
      </c>
    </row>
    <row r="3575">
      <c r="A3575" s="7">
        <f>IFERROR(__xludf.DUMMYFUNCTION("""COMPUTED_VALUE"""),42024.64583333333)</f>
        <v>42024.64583</v>
      </c>
      <c r="B3575" s="3">
        <f>IFERROR(__xludf.DUMMYFUNCTION("""COMPUTED_VALUE"""),8575.1)</f>
        <v>8575.1</v>
      </c>
      <c r="C3575" s="3">
        <f>IFERROR(__xludf.DUMMYFUNCTION("""COMPUTED_VALUE"""),8707.9)</f>
        <v>8707.9</v>
      </c>
      <c r="D3575" s="3">
        <f>IFERROR(__xludf.DUMMYFUNCTION("""COMPUTED_VALUE"""),8574.5)</f>
        <v>8574.5</v>
      </c>
      <c r="E3575" s="3">
        <f>IFERROR(__xludf.DUMMYFUNCTION("""COMPUTED_VALUE"""),8695.6)</f>
        <v>8695.6</v>
      </c>
      <c r="F3575" s="3">
        <f>IFERROR(__xludf.DUMMYFUNCTION("""COMPUTED_VALUE"""),0.0)</f>
        <v>0</v>
      </c>
    </row>
    <row r="3576">
      <c r="A3576" s="7">
        <f>IFERROR(__xludf.DUMMYFUNCTION("""COMPUTED_VALUE"""),42025.64583333333)</f>
        <v>42025.64583</v>
      </c>
      <c r="B3576" s="3">
        <f>IFERROR(__xludf.DUMMYFUNCTION("""COMPUTED_VALUE"""),8719.65)</f>
        <v>8719.65</v>
      </c>
      <c r="C3576" s="3">
        <f>IFERROR(__xludf.DUMMYFUNCTION("""COMPUTED_VALUE"""),8741.85)</f>
        <v>8741.85</v>
      </c>
      <c r="D3576" s="3">
        <f>IFERROR(__xludf.DUMMYFUNCTION("""COMPUTED_VALUE"""),8689.6)</f>
        <v>8689.6</v>
      </c>
      <c r="E3576" s="3">
        <f>IFERROR(__xludf.DUMMYFUNCTION("""COMPUTED_VALUE"""),8729.5)</f>
        <v>8729.5</v>
      </c>
      <c r="F3576" s="3">
        <f>IFERROR(__xludf.DUMMYFUNCTION("""COMPUTED_VALUE"""),0.0)</f>
        <v>0</v>
      </c>
    </row>
    <row r="3577">
      <c r="A3577" s="7">
        <f>IFERROR(__xludf.DUMMYFUNCTION("""COMPUTED_VALUE"""),42026.64583333333)</f>
        <v>42026.64583</v>
      </c>
      <c r="B3577" s="3">
        <f>IFERROR(__xludf.DUMMYFUNCTION("""COMPUTED_VALUE"""),8745.85)</f>
        <v>8745.85</v>
      </c>
      <c r="C3577" s="3">
        <f>IFERROR(__xludf.DUMMYFUNCTION("""COMPUTED_VALUE"""),8774.15)</f>
        <v>8774.15</v>
      </c>
      <c r="D3577" s="3">
        <f>IFERROR(__xludf.DUMMYFUNCTION("""COMPUTED_VALUE"""),8727.0)</f>
        <v>8727</v>
      </c>
      <c r="E3577" s="3">
        <f>IFERROR(__xludf.DUMMYFUNCTION("""COMPUTED_VALUE"""),8761.4)</f>
        <v>8761.4</v>
      </c>
      <c r="F3577" s="3">
        <f>IFERROR(__xludf.DUMMYFUNCTION("""COMPUTED_VALUE"""),0.0)</f>
        <v>0</v>
      </c>
    </row>
    <row r="3578">
      <c r="A3578" s="7">
        <f>IFERROR(__xludf.DUMMYFUNCTION("""COMPUTED_VALUE"""),42027.64583333333)</f>
        <v>42027.64583</v>
      </c>
      <c r="B3578" s="3">
        <f>IFERROR(__xludf.DUMMYFUNCTION("""COMPUTED_VALUE"""),8827.95)</f>
        <v>8827.95</v>
      </c>
      <c r="C3578" s="3">
        <f>IFERROR(__xludf.DUMMYFUNCTION("""COMPUTED_VALUE"""),8866.4)</f>
        <v>8866.4</v>
      </c>
      <c r="D3578" s="3">
        <f>IFERROR(__xludf.DUMMYFUNCTION("""COMPUTED_VALUE"""),8795.4)</f>
        <v>8795.4</v>
      </c>
      <c r="E3578" s="3">
        <f>IFERROR(__xludf.DUMMYFUNCTION("""COMPUTED_VALUE"""),8835.6)</f>
        <v>8835.6</v>
      </c>
      <c r="F3578" s="3">
        <f>IFERROR(__xludf.DUMMYFUNCTION("""COMPUTED_VALUE"""),0.0)</f>
        <v>0</v>
      </c>
    </row>
    <row r="3579">
      <c r="A3579" s="7">
        <f>IFERROR(__xludf.DUMMYFUNCTION("""COMPUTED_VALUE"""),42031.64583333333)</f>
        <v>42031.64583</v>
      </c>
      <c r="B3579" s="3">
        <f>IFERROR(__xludf.DUMMYFUNCTION("""COMPUTED_VALUE"""),8871.35)</f>
        <v>8871.35</v>
      </c>
      <c r="C3579" s="3">
        <f>IFERROR(__xludf.DUMMYFUNCTION("""COMPUTED_VALUE"""),8925.05)</f>
        <v>8925.05</v>
      </c>
      <c r="D3579" s="3">
        <f>IFERROR(__xludf.DUMMYFUNCTION("""COMPUTED_VALUE"""),8825.45)</f>
        <v>8825.45</v>
      </c>
      <c r="E3579" s="3">
        <f>IFERROR(__xludf.DUMMYFUNCTION("""COMPUTED_VALUE"""),8910.5)</f>
        <v>8910.5</v>
      </c>
      <c r="F3579" s="3">
        <f>IFERROR(__xludf.DUMMYFUNCTION("""COMPUTED_VALUE"""),0.0)</f>
        <v>0</v>
      </c>
    </row>
    <row r="3580">
      <c r="A3580" s="7">
        <f>IFERROR(__xludf.DUMMYFUNCTION("""COMPUTED_VALUE"""),42032.64583333333)</f>
        <v>42032.64583</v>
      </c>
      <c r="B3580" s="3">
        <f>IFERROR(__xludf.DUMMYFUNCTION("""COMPUTED_VALUE"""),8902.75)</f>
        <v>8902.75</v>
      </c>
      <c r="C3580" s="3">
        <f>IFERROR(__xludf.DUMMYFUNCTION("""COMPUTED_VALUE"""),8985.05)</f>
        <v>8985.05</v>
      </c>
      <c r="D3580" s="3">
        <f>IFERROR(__xludf.DUMMYFUNCTION("""COMPUTED_VALUE"""),8874.05)</f>
        <v>8874.05</v>
      </c>
      <c r="E3580" s="3">
        <f>IFERROR(__xludf.DUMMYFUNCTION("""COMPUTED_VALUE"""),8914.3)</f>
        <v>8914.3</v>
      </c>
      <c r="F3580" s="3">
        <f>IFERROR(__xludf.DUMMYFUNCTION("""COMPUTED_VALUE"""),0.0)</f>
        <v>0</v>
      </c>
    </row>
    <row r="3581">
      <c r="A3581" s="7">
        <f>IFERROR(__xludf.DUMMYFUNCTION("""COMPUTED_VALUE"""),42033.64583333333)</f>
        <v>42033.64583</v>
      </c>
      <c r="B3581" s="3">
        <f>IFERROR(__xludf.DUMMYFUNCTION("""COMPUTED_VALUE"""),8901.5)</f>
        <v>8901.5</v>
      </c>
      <c r="C3581" s="3">
        <f>IFERROR(__xludf.DUMMYFUNCTION("""COMPUTED_VALUE"""),8966.65)</f>
        <v>8966.65</v>
      </c>
      <c r="D3581" s="3">
        <f>IFERROR(__xludf.DUMMYFUNCTION("""COMPUTED_VALUE"""),8861.25)</f>
        <v>8861.25</v>
      </c>
      <c r="E3581" s="3">
        <f>IFERROR(__xludf.DUMMYFUNCTION("""COMPUTED_VALUE"""),8952.35)</f>
        <v>8952.35</v>
      </c>
      <c r="F3581" s="3">
        <f>IFERROR(__xludf.DUMMYFUNCTION("""COMPUTED_VALUE"""),0.0)</f>
        <v>0</v>
      </c>
    </row>
    <row r="3582">
      <c r="A3582" s="7">
        <f>IFERROR(__xludf.DUMMYFUNCTION("""COMPUTED_VALUE"""),42034.64583333333)</f>
        <v>42034.64583</v>
      </c>
      <c r="B3582" s="3">
        <f>IFERROR(__xludf.DUMMYFUNCTION("""COMPUTED_VALUE"""),8996.6)</f>
        <v>8996.6</v>
      </c>
      <c r="C3582" s="3">
        <f>IFERROR(__xludf.DUMMYFUNCTION("""COMPUTED_VALUE"""),8996.6)</f>
        <v>8996.6</v>
      </c>
      <c r="D3582" s="3">
        <f>IFERROR(__xludf.DUMMYFUNCTION("""COMPUTED_VALUE"""),8775.1)</f>
        <v>8775.1</v>
      </c>
      <c r="E3582" s="3">
        <f>IFERROR(__xludf.DUMMYFUNCTION("""COMPUTED_VALUE"""),8808.9)</f>
        <v>8808.9</v>
      </c>
      <c r="F3582" s="3">
        <f>IFERROR(__xludf.DUMMYFUNCTION("""COMPUTED_VALUE"""),0.0)</f>
        <v>0</v>
      </c>
    </row>
    <row r="3583">
      <c r="A3583" s="7">
        <f>IFERROR(__xludf.DUMMYFUNCTION("""COMPUTED_VALUE"""),42037.64583333333)</f>
        <v>42037.64583</v>
      </c>
      <c r="B3583" s="3">
        <f>IFERROR(__xludf.DUMMYFUNCTION("""COMPUTED_VALUE"""),8802.5)</f>
        <v>8802.5</v>
      </c>
      <c r="C3583" s="3">
        <f>IFERROR(__xludf.DUMMYFUNCTION("""COMPUTED_VALUE"""),8840.8)</f>
        <v>8840.8</v>
      </c>
      <c r="D3583" s="3">
        <f>IFERROR(__xludf.DUMMYFUNCTION("""COMPUTED_VALUE"""),8751.1)</f>
        <v>8751.1</v>
      </c>
      <c r="E3583" s="3">
        <f>IFERROR(__xludf.DUMMYFUNCTION("""COMPUTED_VALUE"""),8797.4)</f>
        <v>8797.4</v>
      </c>
      <c r="F3583" s="3">
        <f>IFERROR(__xludf.DUMMYFUNCTION("""COMPUTED_VALUE"""),0.0)</f>
        <v>0</v>
      </c>
    </row>
    <row r="3584">
      <c r="A3584" s="7">
        <f>IFERROR(__xludf.DUMMYFUNCTION("""COMPUTED_VALUE"""),42038.64583333333)</f>
        <v>42038.64583</v>
      </c>
      <c r="B3584" s="3">
        <f>IFERROR(__xludf.DUMMYFUNCTION("""COMPUTED_VALUE"""),8823.15)</f>
        <v>8823.15</v>
      </c>
      <c r="C3584" s="3">
        <f>IFERROR(__xludf.DUMMYFUNCTION("""COMPUTED_VALUE"""),8837.3)</f>
        <v>8837.3</v>
      </c>
      <c r="D3584" s="3">
        <f>IFERROR(__xludf.DUMMYFUNCTION("""COMPUTED_VALUE"""),8726.65)</f>
        <v>8726.65</v>
      </c>
      <c r="E3584" s="3">
        <f>IFERROR(__xludf.DUMMYFUNCTION("""COMPUTED_VALUE"""),8756.55)</f>
        <v>8756.55</v>
      </c>
      <c r="F3584" s="3">
        <f>IFERROR(__xludf.DUMMYFUNCTION("""COMPUTED_VALUE"""),0.0)</f>
        <v>0</v>
      </c>
    </row>
    <row r="3585">
      <c r="A3585" s="7">
        <f>IFERROR(__xludf.DUMMYFUNCTION("""COMPUTED_VALUE"""),42039.64583333333)</f>
        <v>42039.64583</v>
      </c>
      <c r="B3585" s="3">
        <f>IFERROR(__xludf.DUMMYFUNCTION("""COMPUTED_VALUE"""),8789.15)</f>
        <v>8789.15</v>
      </c>
      <c r="C3585" s="3">
        <f>IFERROR(__xludf.DUMMYFUNCTION("""COMPUTED_VALUE"""),8792.85)</f>
        <v>8792.85</v>
      </c>
      <c r="D3585" s="3">
        <f>IFERROR(__xludf.DUMMYFUNCTION("""COMPUTED_VALUE"""),8704.4)</f>
        <v>8704.4</v>
      </c>
      <c r="E3585" s="3">
        <f>IFERROR(__xludf.DUMMYFUNCTION("""COMPUTED_VALUE"""),8723.7)</f>
        <v>8723.7</v>
      </c>
      <c r="F3585" s="3">
        <f>IFERROR(__xludf.DUMMYFUNCTION("""COMPUTED_VALUE"""),0.0)</f>
        <v>0</v>
      </c>
    </row>
    <row r="3586">
      <c r="A3586" s="7">
        <f>IFERROR(__xludf.DUMMYFUNCTION("""COMPUTED_VALUE"""),42040.64583333333)</f>
        <v>42040.64583</v>
      </c>
      <c r="B3586" s="3">
        <f>IFERROR(__xludf.DUMMYFUNCTION("""COMPUTED_VALUE"""),8733.1)</f>
        <v>8733.1</v>
      </c>
      <c r="C3586" s="3">
        <f>IFERROR(__xludf.DUMMYFUNCTION("""COMPUTED_VALUE"""),8838.45)</f>
        <v>8838.45</v>
      </c>
      <c r="D3586" s="3">
        <f>IFERROR(__xludf.DUMMYFUNCTION("""COMPUTED_VALUE"""),8683.65)</f>
        <v>8683.65</v>
      </c>
      <c r="E3586" s="3">
        <f>IFERROR(__xludf.DUMMYFUNCTION("""COMPUTED_VALUE"""),8711.7)</f>
        <v>8711.7</v>
      </c>
      <c r="F3586" s="3">
        <f>IFERROR(__xludf.DUMMYFUNCTION("""COMPUTED_VALUE"""),0.0)</f>
        <v>0</v>
      </c>
    </row>
    <row r="3587">
      <c r="A3587" s="7">
        <f>IFERROR(__xludf.DUMMYFUNCTION("""COMPUTED_VALUE"""),42041.64583333333)</f>
        <v>42041.64583</v>
      </c>
      <c r="B3587" s="3">
        <f>IFERROR(__xludf.DUMMYFUNCTION("""COMPUTED_VALUE"""),8696.85)</f>
        <v>8696.85</v>
      </c>
      <c r="C3587" s="3">
        <f>IFERROR(__xludf.DUMMYFUNCTION("""COMPUTED_VALUE"""),8726.2)</f>
        <v>8726.2</v>
      </c>
      <c r="D3587" s="3">
        <f>IFERROR(__xludf.DUMMYFUNCTION("""COMPUTED_VALUE"""),8645.55)</f>
        <v>8645.55</v>
      </c>
      <c r="E3587" s="3">
        <f>IFERROR(__xludf.DUMMYFUNCTION("""COMPUTED_VALUE"""),8661.05)</f>
        <v>8661.05</v>
      </c>
      <c r="F3587" s="3">
        <f>IFERROR(__xludf.DUMMYFUNCTION("""COMPUTED_VALUE"""),0.0)</f>
        <v>0</v>
      </c>
    </row>
    <row r="3588">
      <c r="A3588" s="7">
        <f>IFERROR(__xludf.DUMMYFUNCTION("""COMPUTED_VALUE"""),42044.64583333333)</f>
        <v>42044.64583</v>
      </c>
      <c r="B3588" s="3">
        <f>IFERROR(__xludf.DUMMYFUNCTION("""COMPUTED_VALUE"""),8584.4)</f>
        <v>8584.4</v>
      </c>
      <c r="C3588" s="3">
        <f>IFERROR(__xludf.DUMMYFUNCTION("""COMPUTED_VALUE"""),8605.55)</f>
        <v>8605.55</v>
      </c>
      <c r="D3588" s="3">
        <f>IFERROR(__xludf.DUMMYFUNCTION("""COMPUTED_VALUE"""),8516.35)</f>
        <v>8516.35</v>
      </c>
      <c r="E3588" s="3">
        <f>IFERROR(__xludf.DUMMYFUNCTION("""COMPUTED_VALUE"""),8526.35)</f>
        <v>8526.35</v>
      </c>
      <c r="F3588" s="3">
        <f>IFERROR(__xludf.DUMMYFUNCTION("""COMPUTED_VALUE"""),0.0)</f>
        <v>0</v>
      </c>
    </row>
    <row r="3589">
      <c r="A3589" s="7">
        <f>IFERROR(__xludf.DUMMYFUNCTION("""COMPUTED_VALUE"""),42045.64583333333)</f>
        <v>42045.64583</v>
      </c>
      <c r="B3589" s="3">
        <f>IFERROR(__xludf.DUMMYFUNCTION("""COMPUTED_VALUE"""),8478.1)</f>
        <v>8478.1</v>
      </c>
      <c r="C3589" s="3">
        <f>IFERROR(__xludf.DUMMYFUNCTION("""COMPUTED_VALUE"""),8646.25)</f>
        <v>8646.25</v>
      </c>
      <c r="D3589" s="3">
        <f>IFERROR(__xludf.DUMMYFUNCTION("""COMPUTED_VALUE"""),8470.5)</f>
        <v>8470.5</v>
      </c>
      <c r="E3589" s="3">
        <f>IFERROR(__xludf.DUMMYFUNCTION("""COMPUTED_VALUE"""),8565.55)</f>
        <v>8565.55</v>
      </c>
      <c r="F3589" s="3">
        <f>IFERROR(__xludf.DUMMYFUNCTION("""COMPUTED_VALUE"""),0.0)</f>
        <v>0</v>
      </c>
    </row>
    <row r="3590">
      <c r="A3590" s="7">
        <f>IFERROR(__xludf.DUMMYFUNCTION("""COMPUTED_VALUE"""),42046.64583333333)</f>
        <v>42046.64583</v>
      </c>
      <c r="B3590" s="3">
        <f>IFERROR(__xludf.DUMMYFUNCTION("""COMPUTED_VALUE"""),8603.3)</f>
        <v>8603.3</v>
      </c>
      <c r="C3590" s="3">
        <f>IFERROR(__xludf.DUMMYFUNCTION("""COMPUTED_VALUE"""),8651.95)</f>
        <v>8651.95</v>
      </c>
      <c r="D3590" s="3">
        <f>IFERROR(__xludf.DUMMYFUNCTION("""COMPUTED_VALUE"""),8593.65)</f>
        <v>8593.65</v>
      </c>
      <c r="E3590" s="3">
        <f>IFERROR(__xludf.DUMMYFUNCTION("""COMPUTED_VALUE"""),8627.4)</f>
        <v>8627.4</v>
      </c>
      <c r="F3590" s="3">
        <f>IFERROR(__xludf.DUMMYFUNCTION("""COMPUTED_VALUE"""),0.0)</f>
        <v>0</v>
      </c>
    </row>
    <row r="3591">
      <c r="A3591" s="7">
        <f>IFERROR(__xludf.DUMMYFUNCTION("""COMPUTED_VALUE"""),42047.64583333333)</f>
        <v>42047.64583</v>
      </c>
      <c r="B3591" s="3">
        <f>IFERROR(__xludf.DUMMYFUNCTION("""COMPUTED_VALUE"""),8676.95)</f>
        <v>8676.95</v>
      </c>
      <c r="C3591" s="3">
        <f>IFERROR(__xludf.DUMMYFUNCTION("""COMPUTED_VALUE"""),8732.55)</f>
        <v>8732.55</v>
      </c>
      <c r="D3591" s="3">
        <f>IFERROR(__xludf.DUMMYFUNCTION("""COMPUTED_VALUE"""),8599.25)</f>
        <v>8599.25</v>
      </c>
      <c r="E3591" s="3">
        <f>IFERROR(__xludf.DUMMYFUNCTION("""COMPUTED_VALUE"""),8711.55)</f>
        <v>8711.55</v>
      </c>
      <c r="F3591" s="3">
        <f>IFERROR(__xludf.DUMMYFUNCTION("""COMPUTED_VALUE"""),0.0)</f>
        <v>0</v>
      </c>
    </row>
    <row r="3592">
      <c r="A3592" s="7">
        <f>IFERROR(__xludf.DUMMYFUNCTION("""COMPUTED_VALUE"""),42048.64583333333)</f>
        <v>42048.64583</v>
      </c>
      <c r="B3592" s="3">
        <f>IFERROR(__xludf.DUMMYFUNCTION("""COMPUTED_VALUE"""),8741.5)</f>
        <v>8741.5</v>
      </c>
      <c r="C3592" s="3">
        <f>IFERROR(__xludf.DUMMYFUNCTION("""COMPUTED_VALUE"""),8822.1)</f>
        <v>8822.1</v>
      </c>
      <c r="D3592" s="3">
        <f>IFERROR(__xludf.DUMMYFUNCTION("""COMPUTED_VALUE"""),8729.65)</f>
        <v>8729.65</v>
      </c>
      <c r="E3592" s="3">
        <f>IFERROR(__xludf.DUMMYFUNCTION("""COMPUTED_VALUE"""),8805.5)</f>
        <v>8805.5</v>
      </c>
      <c r="F3592" s="3">
        <f>IFERROR(__xludf.DUMMYFUNCTION("""COMPUTED_VALUE"""),0.0)</f>
        <v>0</v>
      </c>
    </row>
    <row r="3593">
      <c r="A3593" s="7">
        <f>IFERROR(__xludf.DUMMYFUNCTION("""COMPUTED_VALUE"""),42051.64583333333)</f>
        <v>42051.64583</v>
      </c>
      <c r="B3593" s="3">
        <f>IFERROR(__xludf.DUMMYFUNCTION("""COMPUTED_VALUE"""),8831.4)</f>
        <v>8831.4</v>
      </c>
      <c r="C3593" s="3">
        <f>IFERROR(__xludf.DUMMYFUNCTION("""COMPUTED_VALUE"""),8870.1)</f>
        <v>8870.1</v>
      </c>
      <c r="D3593" s="3">
        <f>IFERROR(__xludf.DUMMYFUNCTION("""COMPUTED_VALUE"""),8793.4)</f>
        <v>8793.4</v>
      </c>
      <c r="E3593" s="3">
        <f>IFERROR(__xludf.DUMMYFUNCTION("""COMPUTED_VALUE"""),8809.35)</f>
        <v>8809.35</v>
      </c>
      <c r="F3593" s="3">
        <f>IFERROR(__xludf.DUMMYFUNCTION("""COMPUTED_VALUE"""),0.0)</f>
        <v>0</v>
      </c>
    </row>
    <row r="3594">
      <c r="A3594" s="7">
        <f>IFERROR(__xludf.DUMMYFUNCTION("""COMPUTED_VALUE"""),42053.64583333333)</f>
        <v>42053.64583</v>
      </c>
      <c r="B3594" s="3">
        <f>IFERROR(__xludf.DUMMYFUNCTION("""COMPUTED_VALUE"""),8811.55)</f>
        <v>8811.55</v>
      </c>
      <c r="C3594" s="3">
        <f>IFERROR(__xludf.DUMMYFUNCTION("""COMPUTED_VALUE"""),8894.3)</f>
        <v>8894.3</v>
      </c>
      <c r="D3594" s="3">
        <f>IFERROR(__xludf.DUMMYFUNCTION("""COMPUTED_VALUE"""),8808.9)</f>
        <v>8808.9</v>
      </c>
      <c r="E3594" s="3">
        <f>IFERROR(__xludf.DUMMYFUNCTION("""COMPUTED_VALUE"""),8869.1)</f>
        <v>8869.1</v>
      </c>
      <c r="F3594" s="3">
        <f>IFERROR(__xludf.DUMMYFUNCTION("""COMPUTED_VALUE"""),0.0)</f>
        <v>0</v>
      </c>
    </row>
    <row r="3595">
      <c r="A3595" s="7">
        <f>IFERROR(__xludf.DUMMYFUNCTION("""COMPUTED_VALUE"""),42054.64583333333)</f>
        <v>42054.64583</v>
      </c>
      <c r="B3595" s="3">
        <f>IFERROR(__xludf.DUMMYFUNCTION("""COMPUTED_VALUE"""),8883.05)</f>
        <v>8883.05</v>
      </c>
      <c r="C3595" s="3">
        <f>IFERROR(__xludf.DUMMYFUNCTION("""COMPUTED_VALUE"""),8913.45)</f>
        <v>8913.45</v>
      </c>
      <c r="D3595" s="3">
        <f>IFERROR(__xludf.DUMMYFUNCTION("""COMPUTED_VALUE"""),8794.45)</f>
        <v>8794.45</v>
      </c>
      <c r="E3595" s="3">
        <f>IFERROR(__xludf.DUMMYFUNCTION("""COMPUTED_VALUE"""),8895.3)</f>
        <v>8895.3</v>
      </c>
      <c r="F3595" s="3">
        <f>IFERROR(__xludf.DUMMYFUNCTION("""COMPUTED_VALUE"""),0.0)</f>
        <v>0</v>
      </c>
    </row>
    <row r="3596">
      <c r="A3596" s="7">
        <f>IFERROR(__xludf.DUMMYFUNCTION("""COMPUTED_VALUE"""),42055.64583333333)</f>
        <v>42055.64583</v>
      </c>
      <c r="B3596" s="3">
        <f>IFERROR(__xludf.DUMMYFUNCTION("""COMPUTED_VALUE"""),8895.5)</f>
        <v>8895.5</v>
      </c>
      <c r="C3596" s="3">
        <f>IFERROR(__xludf.DUMMYFUNCTION("""COMPUTED_VALUE"""),8899.95)</f>
        <v>8899.95</v>
      </c>
      <c r="D3596" s="3">
        <f>IFERROR(__xludf.DUMMYFUNCTION("""COMPUTED_VALUE"""),8816.3)</f>
        <v>8816.3</v>
      </c>
      <c r="E3596" s="3">
        <f>IFERROR(__xludf.DUMMYFUNCTION("""COMPUTED_VALUE"""),8833.6)</f>
        <v>8833.6</v>
      </c>
      <c r="F3596" s="3">
        <f>IFERROR(__xludf.DUMMYFUNCTION("""COMPUTED_VALUE"""),0.0)</f>
        <v>0</v>
      </c>
    </row>
    <row r="3597">
      <c r="A3597" s="7">
        <f>IFERROR(__xludf.DUMMYFUNCTION("""COMPUTED_VALUE"""),42058.64583333333)</f>
        <v>42058.64583</v>
      </c>
      <c r="B3597" s="3">
        <f>IFERROR(__xludf.DUMMYFUNCTION("""COMPUTED_VALUE"""),8856.85)</f>
        <v>8856.85</v>
      </c>
      <c r="C3597" s="3">
        <f>IFERROR(__xludf.DUMMYFUNCTION("""COMPUTED_VALUE"""),8869.0)</f>
        <v>8869</v>
      </c>
      <c r="D3597" s="3">
        <f>IFERROR(__xludf.DUMMYFUNCTION("""COMPUTED_VALUE"""),8736.1)</f>
        <v>8736.1</v>
      </c>
      <c r="E3597" s="3">
        <f>IFERROR(__xludf.DUMMYFUNCTION("""COMPUTED_VALUE"""),8754.95)</f>
        <v>8754.95</v>
      </c>
      <c r="F3597" s="3">
        <f>IFERROR(__xludf.DUMMYFUNCTION("""COMPUTED_VALUE"""),0.0)</f>
        <v>0</v>
      </c>
    </row>
    <row r="3598">
      <c r="A3598" s="7">
        <f>IFERROR(__xludf.DUMMYFUNCTION("""COMPUTED_VALUE"""),42059.64583333333)</f>
        <v>42059.64583</v>
      </c>
      <c r="B3598" s="3">
        <f>IFERROR(__xludf.DUMMYFUNCTION("""COMPUTED_VALUE"""),8772.9)</f>
        <v>8772.9</v>
      </c>
      <c r="C3598" s="3">
        <f>IFERROR(__xludf.DUMMYFUNCTION("""COMPUTED_VALUE"""),8800.5)</f>
        <v>8800.5</v>
      </c>
      <c r="D3598" s="3">
        <f>IFERROR(__xludf.DUMMYFUNCTION("""COMPUTED_VALUE"""),8726.75)</f>
        <v>8726.75</v>
      </c>
      <c r="E3598" s="3">
        <f>IFERROR(__xludf.DUMMYFUNCTION("""COMPUTED_VALUE"""),8762.1)</f>
        <v>8762.1</v>
      </c>
      <c r="F3598" s="3">
        <f>IFERROR(__xludf.DUMMYFUNCTION("""COMPUTED_VALUE"""),0.0)</f>
        <v>0</v>
      </c>
    </row>
    <row r="3599">
      <c r="A3599" s="7">
        <f>IFERROR(__xludf.DUMMYFUNCTION("""COMPUTED_VALUE"""),42060.64583333333)</f>
        <v>42060.64583</v>
      </c>
      <c r="B3599" s="3">
        <f>IFERROR(__xludf.DUMMYFUNCTION("""COMPUTED_VALUE"""),8801.9)</f>
        <v>8801.9</v>
      </c>
      <c r="C3599" s="3">
        <f>IFERROR(__xludf.DUMMYFUNCTION("""COMPUTED_VALUE"""),8840.65)</f>
        <v>8840.65</v>
      </c>
      <c r="D3599" s="3">
        <f>IFERROR(__xludf.DUMMYFUNCTION("""COMPUTED_VALUE"""),8751.4)</f>
        <v>8751.4</v>
      </c>
      <c r="E3599" s="3">
        <f>IFERROR(__xludf.DUMMYFUNCTION("""COMPUTED_VALUE"""),8767.25)</f>
        <v>8767.25</v>
      </c>
      <c r="F3599" s="3">
        <f>IFERROR(__xludf.DUMMYFUNCTION("""COMPUTED_VALUE"""),0.0)</f>
        <v>0</v>
      </c>
    </row>
    <row r="3600">
      <c r="A3600" s="7">
        <f>IFERROR(__xludf.DUMMYFUNCTION("""COMPUTED_VALUE"""),42061.64583333333)</f>
        <v>42061.64583</v>
      </c>
      <c r="B3600" s="3">
        <f>IFERROR(__xludf.DUMMYFUNCTION("""COMPUTED_VALUE"""),8779.0)</f>
        <v>8779</v>
      </c>
      <c r="C3600" s="3">
        <f>IFERROR(__xludf.DUMMYFUNCTION("""COMPUTED_VALUE"""),8786.05)</f>
        <v>8786.05</v>
      </c>
      <c r="D3600" s="3">
        <f>IFERROR(__xludf.DUMMYFUNCTION("""COMPUTED_VALUE"""),8669.45)</f>
        <v>8669.45</v>
      </c>
      <c r="E3600" s="3">
        <f>IFERROR(__xludf.DUMMYFUNCTION("""COMPUTED_VALUE"""),8683.85)</f>
        <v>8683.85</v>
      </c>
      <c r="F3600" s="3">
        <f>IFERROR(__xludf.DUMMYFUNCTION("""COMPUTED_VALUE"""),0.0)</f>
        <v>0</v>
      </c>
    </row>
    <row r="3601">
      <c r="A3601" s="7">
        <f>IFERROR(__xludf.DUMMYFUNCTION("""COMPUTED_VALUE"""),42062.64583333333)</f>
        <v>42062.64583</v>
      </c>
      <c r="B3601" s="3">
        <f>IFERROR(__xludf.DUMMYFUNCTION("""COMPUTED_VALUE"""),8729.5)</f>
        <v>8729.5</v>
      </c>
      <c r="C3601" s="3">
        <f>IFERROR(__xludf.DUMMYFUNCTION("""COMPUTED_VALUE"""),8856.95)</f>
        <v>8856.95</v>
      </c>
      <c r="D3601" s="3">
        <f>IFERROR(__xludf.DUMMYFUNCTION("""COMPUTED_VALUE"""),8717.45)</f>
        <v>8717.45</v>
      </c>
      <c r="E3601" s="3">
        <f>IFERROR(__xludf.DUMMYFUNCTION("""COMPUTED_VALUE"""),8844.6)</f>
        <v>8844.6</v>
      </c>
      <c r="F3601" s="3">
        <f>IFERROR(__xludf.DUMMYFUNCTION("""COMPUTED_VALUE"""),0.0)</f>
        <v>0</v>
      </c>
    </row>
    <row r="3602">
      <c r="A3602" s="7">
        <f>IFERROR(__xludf.DUMMYFUNCTION("""COMPUTED_VALUE"""),42065.64583333333)</f>
        <v>42065.64583</v>
      </c>
      <c r="B3602" s="3">
        <f>IFERROR(__xludf.DUMMYFUNCTION("""COMPUTED_VALUE"""),8953.85)</f>
        <v>8953.85</v>
      </c>
      <c r="C3602" s="3">
        <f>IFERROR(__xludf.DUMMYFUNCTION("""COMPUTED_VALUE"""),8972.35)</f>
        <v>8972.35</v>
      </c>
      <c r="D3602" s="3">
        <f>IFERROR(__xludf.DUMMYFUNCTION("""COMPUTED_VALUE"""),8885.45)</f>
        <v>8885.45</v>
      </c>
      <c r="E3602" s="3">
        <f>IFERROR(__xludf.DUMMYFUNCTION("""COMPUTED_VALUE"""),8956.75)</f>
        <v>8956.75</v>
      </c>
      <c r="F3602" s="3">
        <f>IFERROR(__xludf.DUMMYFUNCTION("""COMPUTED_VALUE"""),0.0)</f>
        <v>0</v>
      </c>
    </row>
    <row r="3603">
      <c r="A3603" s="7">
        <f>IFERROR(__xludf.DUMMYFUNCTION("""COMPUTED_VALUE"""),42066.64583333333)</f>
        <v>42066.64583</v>
      </c>
      <c r="B3603" s="3">
        <f>IFERROR(__xludf.DUMMYFUNCTION("""COMPUTED_VALUE"""),8962.85)</f>
        <v>8962.85</v>
      </c>
      <c r="C3603" s="3">
        <f>IFERROR(__xludf.DUMMYFUNCTION("""COMPUTED_VALUE"""),9008.4)</f>
        <v>9008.4</v>
      </c>
      <c r="D3603" s="3">
        <f>IFERROR(__xludf.DUMMYFUNCTION("""COMPUTED_VALUE"""),8925.55)</f>
        <v>8925.55</v>
      </c>
      <c r="E3603" s="3">
        <f>IFERROR(__xludf.DUMMYFUNCTION("""COMPUTED_VALUE"""),8996.25)</f>
        <v>8996.25</v>
      </c>
      <c r="F3603" s="3">
        <f>IFERROR(__xludf.DUMMYFUNCTION("""COMPUTED_VALUE"""),0.0)</f>
        <v>0</v>
      </c>
    </row>
    <row r="3604">
      <c r="A3604" s="7">
        <f>IFERROR(__xludf.DUMMYFUNCTION("""COMPUTED_VALUE"""),42067.64583333333)</f>
        <v>42067.64583</v>
      </c>
      <c r="B3604" s="3">
        <f>IFERROR(__xludf.DUMMYFUNCTION("""COMPUTED_VALUE"""),9109.15)</f>
        <v>9109.15</v>
      </c>
      <c r="C3604" s="3">
        <f>IFERROR(__xludf.DUMMYFUNCTION("""COMPUTED_VALUE"""),9119.2)</f>
        <v>9119.2</v>
      </c>
      <c r="D3604" s="3">
        <f>IFERROR(__xludf.DUMMYFUNCTION("""COMPUTED_VALUE"""),8893.95)</f>
        <v>8893.95</v>
      </c>
      <c r="E3604" s="3">
        <f>IFERROR(__xludf.DUMMYFUNCTION("""COMPUTED_VALUE"""),8922.65)</f>
        <v>8922.65</v>
      </c>
      <c r="F3604" s="3">
        <f>IFERROR(__xludf.DUMMYFUNCTION("""COMPUTED_VALUE"""),0.0)</f>
        <v>0</v>
      </c>
    </row>
    <row r="3605">
      <c r="A3605" s="7">
        <f>IFERROR(__xludf.DUMMYFUNCTION("""COMPUTED_VALUE"""),42068.64583333333)</f>
        <v>42068.64583</v>
      </c>
      <c r="B3605" s="3">
        <f>IFERROR(__xludf.DUMMYFUNCTION("""COMPUTED_VALUE"""),8929.4)</f>
        <v>8929.4</v>
      </c>
      <c r="C3605" s="3">
        <f>IFERROR(__xludf.DUMMYFUNCTION("""COMPUTED_VALUE"""),8957.55)</f>
        <v>8957.55</v>
      </c>
      <c r="D3605" s="3">
        <f>IFERROR(__xludf.DUMMYFUNCTION("""COMPUTED_VALUE"""),8849.35)</f>
        <v>8849.35</v>
      </c>
      <c r="E3605" s="3">
        <f>IFERROR(__xludf.DUMMYFUNCTION("""COMPUTED_VALUE"""),8937.75)</f>
        <v>8937.75</v>
      </c>
      <c r="F3605" s="3">
        <f>IFERROR(__xludf.DUMMYFUNCTION("""COMPUTED_VALUE"""),0.0)</f>
        <v>0</v>
      </c>
    </row>
    <row r="3606">
      <c r="A3606" s="7">
        <f>IFERROR(__xludf.DUMMYFUNCTION("""COMPUTED_VALUE"""),42072.64583333333)</f>
        <v>42072.64583</v>
      </c>
      <c r="B3606" s="3">
        <f>IFERROR(__xludf.DUMMYFUNCTION("""COMPUTED_VALUE"""),8891.15)</f>
        <v>8891.15</v>
      </c>
      <c r="C3606" s="3">
        <f>IFERROR(__xludf.DUMMYFUNCTION("""COMPUTED_VALUE"""),8891.3)</f>
        <v>8891.3</v>
      </c>
      <c r="D3606" s="3">
        <f>IFERROR(__xludf.DUMMYFUNCTION("""COMPUTED_VALUE"""),8740.45)</f>
        <v>8740.45</v>
      </c>
      <c r="E3606" s="3">
        <f>IFERROR(__xludf.DUMMYFUNCTION("""COMPUTED_VALUE"""),8756.75)</f>
        <v>8756.75</v>
      </c>
      <c r="F3606" s="3">
        <f>IFERROR(__xludf.DUMMYFUNCTION("""COMPUTED_VALUE"""),0.0)</f>
        <v>0</v>
      </c>
    </row>
    <row r="3607">
      <c r="A3607" s="7">
        <f>IFERROR(__xludf.DUMMYFUNCTION("""COMPUTED_VALUE"""),42073.64583333333)</f>
        <v>42073.64583</v>
      </c>
      <c r="B3607" s="3">
        <f>IFERROR(__xludf.DUMMYFUNCTION("""COMPUTED_VALUE"""),8769.75)</f>
        <v>8769.75</v>
      </c>
      <c r="C3607" s="3">
        <f>IFERROR(__xludf.DUMMYFUNCTION("""COMPUTED_VALUE"""),8778.0)</f>
        <v>8778</v>
      </c>
      <c r="D3607" s="3">
        <f>IFERROR(__xludf.DUMMYFUNCTION("""COMPUTED_VALUE"""),8677.35)</f>
        <v>8677.35</v>
      </c>
      <c r="E3607" s="3">
        <f>IFERROR(__xludf.DUMMYFUNCTION("""COMPUTED_VALUE"""),8712.05)</f>
        <v>8712.05</v>
      </c>
      <c r="F3607" s="3">
        <f>IFERROR(__xludf.DUMMYFUNCTION("""COMPUTED_VALUE"""),0.0)</f>
        <v>0</v>
      </c>
    </row>
    <row r="3608">
      <c r="A3608" s="7">
        <f>IFERROR(__xludf.DUMMYFUNCTION("""COMPUTED_VALUE"""),42074.64583333333)</f>
        <v>42074.64583</v>
      </c>
      <c r="B3608" s="3">
        <f>IFERROR(__xludf.DUMMYFUNCTION("""COMPUTED_VALUE"""),8728.75)</f>
        <v>8728.75</v>
      </c>
      <c r="C3608" s="3">
        <f>IFERROR(__xludf.DUMMYFUNCTION("""COMPUTED_VALUE"""),8755.6)</f>
        <v>8755.6</v>
      </c>
      <c r="D3608" s="3">
        <f>IFERROR(__xludf.DUMMYFUNCTION("""COMPUTED_VALUE"""),8682.35)</f>
        <v>8682.35</v>
      </c>
      <c r="E3608" s="3">
        <f>IFERROR(__xludf.DUMMYFUNCTION("""COMPUTED_VALUE"""),8699.95)</f>
        <v>8699.95</v>
      </c>
      <c r="F3608" s="3">
        <f>IFERROR(__xludf.DUMMYFUNCTION("""COMPUTED_VALUE"""),0.0)</f>
        <v>0</v>
      </c>
    </row>
    <row r="3609">
      <c r="A3609" s="7">
        <f>IFERROR(__xludf.DUMMYFUNCTION("""COMPUTED_VALUE"""),42075.64583333333)</f>
        <v>42075.64583</v>
      </c>
      <c r="B3609" s="3">
        <f>IFERROR(__xludf.DUMMYFUNCTION("""COMPUTED_VALUE"""),8740.65)</f>
        <v>8740.65</v>
      </c>
      <c r="C3609" s="3">
        <f>IFERROR(__xludf.DUMMYFUNCTION("""COMPUTED_VALUE"""),8787.2)</f>
        <v>8787.2</v>
      </c>
      <c r="D3609" s="3">
        <f>IFERROR(__xludf.DUMMYFUNCTION("""COMPUTED_VALUE"""),8732.9)</f>
        <v>8732.9</v>
      </c>
      <c r="E3609" s="3">
        <f>IFERROR(__xludf.DUMMYFUNCTION("""COMPUTED_VALUE"""),8776.0)</f>
        <v>8776</v>
      </c>
      <c r="F3609" s="3">
        <f>IFERROR(__xludf.DUMMYFUNCTION("""COMPUTED_VALUE"""),0.0)</f>
        <v>0</v>
      </c>
    </row>
    <row r="3610">
      <c r="A3610" s="7">
        <f>IFERROR(__xludf.DUMMYFUNCTION("""COMPUTED_VALUE"""),42076.64583333333)</f>
        <v>42076.64583</v>
      </c>
      <c r="B3610" s="3">
        <f>IFERROR(__xludf.DUMMYFUNCTION("""COMPUTED_VALUE"""),8844.05)</f>
        <v>8844.05</v>
      </c>
      <c r="C3610" s="3">
        <f>IFERROR(__xludf.DUMMYFUNCTION("""COMPUTED_VALUE"""),8849.75)</f>
        <v>8849.75</v>
      </c>
      <c r="D3610" s="3">
        <f>IFERROR(__xludf.DUMMYFUNCTION("""COMPUTED_VALUE"""),8631.75)</f>
        <v>8631.75</v>
      </c>
      <c r="E3610" s="3">
        <f>IFERROR(__xludf.DUMMYFUNCTION("""COMPUTED_VALUE"""),8647.75)</f>
        <v>8647.75</v>
      </c>
      <c r="F3610" s="3">
        <f>IFERROR(__xludf.DUMMYFUNCTION("""COMPUTED_VALUE"""),0.0)</f>
        <v>0</v>
      </c>
    </row>
    <row r="3611">
      <c r="A3611" s="7">
        <f>IFERROR(__xludf.DUMMYFUNCTION("""COMPUTED_VALUE"""),42079.64583333333)</f>
        <v>42079.64583</v>
      </c>
      <c r="B3611" s="3">
        <f>IFERROR(__xludf.DUMMYFUNCTION("""COMPUTED_VALUE"""),8656.75)</f>
        <v>8656.75</v>
      </c>
      <c r="C3611" s="3">
        <f>IFERROR(__xludf.DUMMYFUNCTION("""COMPUTED_VALUE"""),8663.55)</f>
        <v>8663.55</v>
      </c>
      <c r="D3611" s="3">
        <f>IFERROR(__xludf.DUMMYFUNCTION("""COMPUTED_VALUE"""),8612.0)</f>
        <v>8612</v>
      </c>
      <c r="E3611" s="3">
        <f>IFERROR(__xludf.DUMMYFUNCTION("""COMPUTED_VALUE"""),8633.15)</f>
        <v>8633.15</v>
      </c>
      <c r="F3611" s="3">
        <f>IFERROR(__xludf.DUMMYFUNCTION("""COMPUTED_VALUE"""),0.0)</f>
        <v>0</v>
      </c>
    </row>
    <row r="3612">
      <c r="A3612" s="7">
        <f>IFERROR(__xludf.DUMMYFUNCTION("""COMPUTED_VALUE"""),42080.64583333333)</f>
        <v>42080.64583</v>
      </c>
      <c r="B3612" s="3">
        <f>IFERROR(__xludf.DUMMYFUNCTION("""COMPUTED_VALUE"""),8689.1)</f>
        <v>8689.1</v>
      </c>
      <c r="C3612" s="3">
        <f>IFERROR(__xludf.DUMMYFUNCTION("""COMPUTED_VALUE"""),8742.55)</f>
        <v>8742.55</v>
      </c>
      <c r="D3612" s="3">
        <f>IFERROR(__xludf.DUMMYFUNCTION("""COMPUTED_VALUE"""),8630.8)</f>
        <v>8630.8</v>
      </c>
      <c r="E3612" s="3">
        <f>IFERROR(__xludf.DUMMYFUNCTION("""COMPUTED_VALUE"""),8723.3)</f>
        <v>8723.3</v>
      </c>
      <c r="F3612" s="3">
        <f>IFERROR(__xludf.DUMMYFUNCTION("""COMPUTED_VALUE"""),0.0)</f>
        <v>0</v>
      </c>
    </row>
    <row r="3613">
      <c r="A3613" s="7">
        <f>IFERROR(__xludf.DUMMYFUNCTION("""COMPUTED_VALUE"""),42081.64583333333)</f>
        <v>42081.64583</v>
      </c>
      <c r="B3613" s="3">
        <f>IFERROR(__xludf.DUMMYFUNCTION("""COMPUTED_VALUE"""),8742.9)</f>
        <v>8742.9</v>
      </c>
      <c r="C3613" s="3">
        <f>IFERROR(__xludf.DUMMYFUNCTION("""COMPUTED_VALUE"""),8747.25)</f>
        <v>8747.25</v>
      </c>
      <c r="D3613" s="3">
        <f>IFERROR(__xludf.DUMMYFUNCTION("""COMPUTED_VALUE"""),8664.0)</f>
        <v>8664</v>
      </c>
      <c r="E3613" s="3">
        <f>IFERROR(__xludf.DUMMYFUNCTION("""COMPUTED_VALUE"""),8685.9)</f>
        <v>8685.9</v>
      </c>
      <c r="F3613" s="3">
        <f>IFERROR(__xludf.DUMMYFUNCTION("""COMPUTED_VALUE"""),0.0)</f>
        <v>0</v>
      </c>
    </row>
    <row r="3614">
      <c r="A3614" s="7">
        <f>IFERROR(__xludf.DUMMYFUNCTION("""COMPUTED_VALUE"""),42082.64583333333)</f>
        <v>42082.64583</v>
      </c>
      <c r="B3614" s="3">
        <f>IFERROR(__xludf.DUMMYFUNCTION("""COMPUTED_VALUE"""),8749.45)</f>
        <v>8749.45</v>
      </c>
      <c r="C3614" s="3">
        <f>IFERROR(__xludf.DUMMYFUNCTION("""COMPUTED_VALUE"""),8788.2)</f>
        <v>8788.2</v>
      </c>
      <c r="D3614" s="3">
        <f>IFERROR(__xludf.DUMMYFUNCTION("""COMPUTED_VALUE"""),8614.65)</f>
        <v>8614.65</v>
      </c>
      <c r="E3614" s="3">
        <f>IFERROR(__xludf.DUMMYFUNCTION("""COMPUTED_VALUE"""),8634.65)</f>
        <v>8634.65</v>
      </c>
      <c r="F3614" s="3">
        <f>IFERROR(__xludf.DUMMYFUNCTION("""COMPUTED_VALUE"""),0.0)</f>
        <v>0</v>
      </c>
    </row>
    <row r="3615">
      <c r="A3615" s="7">
        <f>IFERROR(__xludf.DUMMYFUNCTION("""COMPUTED_VALUE"""),42083.64583333333)</f>
        <v>42083.64583</v>
      </c>
      <c r="B3615" s="3">
        <f>IFERROR(__xludf.DUMMYFUNCTION("""COMPUTED_VALUE"""),8627.9)</f>
        <v>8627.9</v>
      </c>
      <c r="C3615" s="3">
        <f>IFERROR(__xludf.DUMMYFUNCTION("""COMPUTED_VALUE"""),8627.9)</f>
        <v>8627.9</v>
      </c>
      <c r="D3615" s="3">
        <f>IFERROR(__xludf.DUMMYFUNCTION("""COMPUTED_VALUE"""),8553.0)</f>
        <v>8553</v>
      </c>
      <c r="E3615" s="3">
        <f>IFERROR(__xludf.DUMMYFUNCTION("""COMPUTED_VALUE"""),8570.9)</f>
        <v>8570.9</v>
      </c>
      <c r="F3615" s="3">
        <f>IFERROR(__xludf.DUMMYFUNCTION("""COMPUTED_VALUE"""),0.0)</f>
        <v>0</v>
      </c>
    </row>
    <row r="3616">
      <c r="A3616" s="7">
        <f>IFERROR(__xludf.DUMMYFUNCTION("""COMPUTED_VALUE"""),42086.64583333333)</f>
        <v>42086.64583</v>
      </c>
      <c r="B3616" s="3">
        <f>IFERROR(__xludf.DUMMYFUNCTION("""COMPUTED_VALUE"""),8591.55)</f>
        <v>8591.55</v>
      </c>
      <c r="C3616" s="3">
        <f>IFERROR(__xludf.DUMMYFUNCTION("""COMPUTED_VALUE"""),8608.35)</f>
        <v>8608.35</v>
      </c>
      <c r="D3616" s="3">
        <f>IFERROR(__xludf.DUMMYFUNCTION("""COMPUTED_VALUE"""),8540.55)</f>
        <v>8540.55</v>
      </c>
      <c r="E3616" s="3">
        <f>IFERROR(__xludf.DUMMYFUNCTION("""COMPUTED_VALUE"""),8550.9)</f>
        <v>8550.9</v>
      </c>
      <c r="F3616" s="3">
        <f>IFERROR(__xludf.DUMMYFUNCTION("""COMPUTED_VALUE"""),0.0)</f>
        <v>0</v>
      </c>
    </row>
    <row r="3617">
      <c r="A3617" s="7">
        <f>IFERROR(__xludf.DUMMYFUNCTION("""COMPUTED_VALUE"""),42087.64583333333)</f>
        <v>42087.64583</v>
      </c>
      <c r="B3617" s="3">
        <f>IFERROR(__xludf.DUMMYFUNCTION("""COMPUTED_VALUE"""),8537.05)</f>
        <v>8537.05</v>
      </c>
      <c r="C3617" s="3">
        <f>IFERROR(__xludf.DUMMYFUNCTION("""COMPUTED_VALUE"""),8627.75)</f>
        <v>8627.75</v>
      </c>
      <c r="D3617" s="3">
        <f>IFERROR(__xludf.DUMMYFUNCTION("""COMPUTED_VALUE"""),8535.85)</f>
        <v>8535.85</v>
      </c>
      <c r="E3617" s="3">
        <f>IFERROR(__xludf.DUMMYFUNCTION("""COMPUTED_VALUE"""),8542.95)</f>
        <v>8542.95</v>
      </c>
      <c r="F3617" s="3">
        <f>IFERROR(__xludf.DUMMYFUNCTION("""COMPUTED_VALUE"""),0.0)</f>
        <v>0</v>
      </c>
    </row>
    <row r="3618">
      <c r="A3618" s="7">
        <f>IFERROR(__xludf.DUMMYFUNCTION("""COMPUTED_VALUE"""),42088.64583333333)</f>
        <v>42088.64583</v>
      </c>
      <c r="B3618" s="3">
        <f>IFERROR(__xludf.DUMMYFUNCTION("""COMPUTED_VALUE"""),8568.9)</f>
        <v>8568.9</v>
      </c>
      <c r="C3618" s="3">
        <f>IFERROR(__xludf.DUMMYFUNCTION("""COMPUTED_VALUE"""),8573.75)</f>
        <v>8573.75</v>
      </c>
      <c r="D3618" s="3">
        <f>IFERROR(__xludf.DUMMYFUNCTION("""COMPUTED_VALUE"""),8516.55)</f>
        <v>8516.55</v>
      </c>
      <c r="E3618" s="3">
        <f>IFERROR(__xludf.DUMMYFUNCTION("""COMPUTED_VALUE"""),8530.8)</f>
        <v>8530.8</v>
      </c>
      <c r="F3618" s="3">
        <f>IFERROR(__xludf.DUMMYFUNCTION("""COMPUTED_VALUE"""),0.0)</f>
        <v>0</v>
      </c>
    </row>
    <row r="3619">
      <c r="A3619" s="7">
        <f>IFERROR(__xludf.DUMMYFUNCTION("""COMPUTED_VALUE"""),42089.64583333333)</f>
        <v>42089.64583</v>
      </c>
      <c r="B3619" s="3">
        <f>IFERROR(__xludf.DUMMYFUNCTION("""COMPUTED_VALUE"""),8474.95)</f>
        <v>8474.95</v>
      </c>
      <c r="C3619" s="3">
        <f>IFERROR(__xludf.DUMMYFUNCTION("""COMPUTED_VALUE"""),8499.45)</f>
        <v>8499.45</v>
      </c>
      <c r="D3619" s="3">
        <f>IFERROR(__xludf.DUMMYFUNCTION("""COMPUTED_VALUE"""),8325.35)</f>
        <v>8325.35</v>
      </c>
      <c r="E3619" s="3">
        <f>IFERROR(__xludf.DUMMYFUNCTION("""COMPUTED_VALUE"""),8342.15)</f>
        <v>8342.15</v>
      </c>
      <c r="F3619" s="3">
        <f>IFERROR(__xludf.DUMMYFUNCTION("""COMPUTED_VALUE"""),0.0)</f>
        <v>0</v>
      </c>
    </row>
    <row r="3620">
      <c r="A3620" s="7">
        <f>IFERROR(__xludf.DUMMYFUNCTION("""COMPUTED_VALUE"""),42090.64583333333)</f>
        <v>42090.64583</v>
      </c>
      <c r="B3620" s="3">
        <f>IFERROR(__xludf.DUMMYFUNCTION("""COMPUTED_VALUE"""),8396.0)</f>
        <v>8396</v>
      </c>
      <c r="C3620" s="3">
        <f>IFERROR(__xludf.DUMMYFUNCTION("""COMPUTED_VALUE"""),8413.2)</f>
        <v>8413.2</v>
      </c>
      <c r="D3620" s="3">
        <f>IFERROR(__xludf.DUMMYFUNCTION("""COMPUTED_VALUE"""),8269.15)</f>
        <v>8269.15</v>
      </c>
      <c r="E3620" s="3">
        <f>IFERROR(__xludf.DUMMYFUNCTION("""COMPUTED_VALUE"""),8341.4)</f>
        <v>8341.4</v>
      </c>
      <c r="F3620" s="3">
        <f>IFERROR(__xludf.DUMMYFUNCTION("""COMPUTED_VALUE"""),0.0)</f>
        <v>0</v>
      </c>
    </row>
    <row r="3621">
      <c r="A3621" s="7">
        <f>IFERROR(__xludf.DUMMYFUNCTION("""COMPUTED_VALUE"""),42093.64583333333)</f>
        <v>42093.64583</v>
      </c>
      <c r="B3621" s="3">
        <f>IFERROR(__xludf.DUMMYFUNCTION("""COMPUTED_VALUE"""),8390.95)</f>
        <v>8390.95</v>
      </c>
      <c r="C3621" s="3">
        <f>IFERROR(__xludf.DUMMYFUNCTION("""COMPUTED_VALUE"""),8504.55)</f>
        <v>8504.55</v>
      </c>
      <c r="D3621" s="3">
        <f>IFERROR(__xludf.DUMMYFUNCTION("""COMPUTED_VALUE"""),8380.75)</f>
        <v>8380.75</v>
      </c>
      <c r="E3621" s="3">
        <f>IFERROR(__xludf.DUMMYFUNCTION("""COMPUTED_VALUE"""),8492.3)</f>
        <v>8492.3</v>
      </c>
      <c r="F3621" s="3">
        <f>IFERROR(__xludf.DUMMYFUNCTION("""COMPUTED_VALUE"""),0.0)</f>
        <v>0</v>
      </c>
    </row>
    <row r="3622">
      <c r="A3622" s="7">
        <f>IFERROR(__xludf.DUMMYFUNCTION("""COMPUTED_VALUE"""),42094.64583333333)</f>
        <v>42094.64583</v>
      </c>
      <c r="B3622" s="3">
        <f>IFERROR(__xludf.DUMMYFUNCTION("""COMPUTED_VALUE"""),8527.6)</f>
        <v>8527.6</v>
      </c>
      <c r="C3622" s="3">
        <f>IFERROR(__xludf.DUMMYFUNCTION("""COMPUTED_VALUE"""),8550.45)</f>
        <v>8550.45</v>
      </c>
      <c r="D3622" s="3">
        <f>IFERROR(__xludf.DUMMYFUNCTION("""COMPUTED_VALUE"""),8454.15)</f>
        <v>8454.15</v>
      </c>
      <c r="E3622" s="3">
        <f>IFERROR(__xludf.DUMMYFUNCTION("""COMPUTED_VALUE"""),8491.0)</f>
        <v>8491</v>
      </c>
      <c r="F3622" s="3">
        <f>IFERROR(__xludf.DUMMYFUNCTION("""COMPUTED_VALUE"""),0.0)</f>
        <v>0</v>
      </c>
    </row>
    <row r="3623">
      <c r="A3623" s="7">
        <f>IFERROR(__xludf.DUMMYFUNCTION("""COMPUTED_VALUE"""),42095.64583333333)</f>
        <v>42095.64583</v>
      </c>
      <c r="B3623" s="3">
        <f>IFERROR(__xludf.DUMMYFUNCTION("""COMPUTED_VALUE"""),8483.7)</f>
        <v>8483.7</v>
      </c>
      <c r="C3623" s="3">
        <f>IFERROR(__xludf.DUMMYFUNCTION("""COMPUTED_VALUE"""),8603.4)</f>
        <v>8603.4</v>
      </c>
      <c r="D3623" s="3">
        <f>IFERROR(__xludf.DUMMYFUNCTION("""COMPUTED_VALUE"""),8464.75)</f>
        <v>8464.75</v>
      </c>
      <c r="E3623" s="3">
        <f>IFERROR(__xludf.DUMMYFUNCTION("""COMPUTED_VALUE"""),8586.25)</f>
        <v>8586.25</v>
      </c>
      <c r="F3623" s="3">
        <f>IFERROR(__xludf.DUMMYFUNCTION("""COMPUTED_VALUE"""),0.0)</f>
        <v>0</v>
      </c>
    </row>
    <row r="3624">
      <c r="A3624" s="7">
        <f>IFERROR(__xludf.DUMMYFUNCTION("""COMPUTED_VALUE"""),42100.64583333333)</f>
        <v>42100.64583</v>
      </c>
      <c r="B3624" s="3">
        <f>IFERROR(__xludf.DUMMYFUNCTION("""COMPUTED_VALUE"""),8615.8)</f>
        <v>8615.8</v>
      </c>
      <c r="C3624" s="3">
        <f>IFERROR(__xludf.DUMMYFUNCTION("""COMPUTED_VALUE"""),8667.55)</f>
        <v>8667.55</v>
      </c>
      <c r="D3624" s="3">
        <f>IFERROR(__xludf.DUMMYFUNCTION("""COMPUTED_VALUE"""),8573.75)</f>
        <v>8573.75</v>
      </c>
      <c r="E3624" s="3">
        <f>IFERROR(__xludf.DUMMYFUNCTION("""COMPUTED_VALUE"""),8659.9)</f>
        <v>8659.9</v>
      </c>
      <c r="F3624" s="3">
        <f>IFERROR(__xludf.DUMMYFUNCTION("""COMPUTED_VALUE"""),0.0)</f>
        <v>0</v>
      </c>
    </row>
    <row r="3625">
      <c r="A3625" s="7">
        <f>IFERROR(__xludf.DUMMYFUNCTION("""COMPUTED_VALUE"""),42101.64583333333)</f>
        <v>42101.64583</v>
      </c>
      <c r="B3625" s="3">
        <f>IFERROR(__xludf.DUMMYFUNCTION("""COMPUTED_VALUE"""),8684.45)</f>
        <v>8684.45</v>
      </c>
      <c r="C3625" s="3">
        <f>IFERROR(__xludf.DUMMYFUNCTION("""COMPUTED_VALUE"""),8693.6)</f>
        <v>8693.6</v>
      </c>
      <c r="D3625" s="3">
        <f>IFERROR(__xludf.DUMMYFUNCTION("""COMPUTED_VALUE"""),8586.85)</f>
        <v>8586.85</v>
      </c>
      <c r="E3625" s="3">
        <f>IFERROR(__xludf.DUMMYFUNCTION("""COMPUTED_VALUE"""),8660.3)</f>
        <v>8660.3</v>
      </c>
      <c r="F3625" s="3">
        <f>IFERROR(__xludf.DUMMYFUNCTION("""COMPUTED_VALUE"""),0.0)</f>
        <v>0</v>
      </c>
    </row>
    <row r="3626">
      <c r="A3626" s="7">
        <f>IFERROR(__xludf.DUMMYFUNCTION("""COMPUTED_VALUE"""),42102.64583333333)</f>
        <v>42102.64583</v>
      </c>
      <c r="B3626" s="3">
        <f>IFERROR(__xludf.DUMMYFUNCTION("""COMPUTED_VALUE"""),8698.95)</f>
        <v>8698.95</v>
      </c>
      <c r="C3626" s="3">
        <f>IFERROR(__xludf.DUMMYFUNCTION("""COMPUTED_VALUE"""),8730.5)</f>
        <v>8730.5</v>
      </c>
      <c r="D3626" s="3">
        <f>IFERROR(__xludf.DUMMYFUNCTION("""COMPUTED_VALUE"""),8679.8)</f>
        <v>8679.8</v>
      </c>
      <c r="E3626" s="3">
        <f>IFERROR(__xludf.DUMMYFUNCTION("""COMPUTED_VALUE"""),8714.4)</f>
        <v>8714.4</v>
      </c>
      <c r="F3626" s="3">
        <f>IFERROR(__xludf.DUMMYFUNCTION("""COMPUTED_VALUE"""),0.0)</f>
        <v>0</v>
      </c>
    </row>
    <row r="3627">
      <c r="A3627" s="7">
        <f>IFERROR(__xludf.DUMMYFUNCTION("""COMPUTED_VALUE"""),42103.64583333333)</f>
        <v>42103.64583</v>
      </c>
      <c r="B3627" s="3">
        <f>IFERROR(__xludf.DUMMYFUNCTION("""COMPUTED_VALUE"""),8756.2)</f>
        <v>8756.2</v>
      </c>
      <c r="C3627" s="3">
        <f>IFERROR(__xludf.DUMMYFUNCTION("""COMPUTED_VALUE"""),8785.5)</f>
        <v>8785.5</v>
      </c>
      <c r="D3627" s="3">
        <f>IFERROR(__xludf.DUMMYFUNCTION("""COMPUTED_VALUE"""),8682.45)</f>
        <v>8682.45</v>
      </c>
      <c r="E3627" s="3">
        <f>IFERROR(__xludf.DUMMYFUNCTION("""COMPUTED_VALUE"""),8778.3)</f>
        <v>8778.3</v>
      </c>
      <c r="F3627" s="3">
        <f>IFERROR(__xludf.DUMMYFUNCTION("""COMPUTED_VALUE"""),0.0)</f>
        <v>0</v>
      </c>
    </row>
    <row r="3628">
      <c r="A3628" s="7">
        <f>IFERROR(__xludf.DUMMYFUNCTION("""COMPUTED_VALUE"""),42104.64583333333)</f>
        <v>42104.64583</v>
      </c>
      <c r="B3628" s="3">
        <f>IFERROR(__xludf.DUMMYFUNCTION("""COMPUTED_VALUE"""),8774.35)</f>
        <v>8774.35</v>
      </c>
      <c r="C3628" s="3">
        <f>IFERROR(__xludf.DUMMYFUNCTION("""COMPUTED_VALUE"""),8787.4)</f>
        <v>8787.4</v>
      </c>
      <c r="D3628" s="3">
        <f>IFERROR(__xludf.DUMMYFUNCTION("""COMPUTED_VALUE"""),8733.6)</f>
        <v>8733.6</v>
      </c>
      <c r="E3628" s="3">
        <f>IFERROR(__xludf.DUMMYFUNCTION("""COMPUTED_VALUE"""),8780.35)</f>
        <v>8780.35</v>
      </c>
      <c r="F3628" s="3">
        <f>IFERROR(__xludf.DUMMYFUNCTION("""COMPUTED_VALUE"""),0.0)</f>
        <v>0</v>
      </c>
    </row>
    <row r="3629">
      <c r="A3629" s="7">
        <f>IFERROR(__xludf.DUMMYFUNCTION("""COMPUTED_VALUE"""),42107.64583333333)</f>
        <v>42107.64583</v>
      </c>
      <c r="B3629" s="3">
        <f>IFERROR(__xludf.DUMMYFUNCTION("""COMPUTED_VALUE"""),8801.75)</f>
        <v>8801.75</v>
      </c>
      <c r="C3629" s="3">
        <f>IFERROR(__xludf.DUMMYFUNCTION("""COMPUTED_VALUE"""),8841.65)</f>
        <v>8841.65</v>
      </c>
      <c r="D3629" s="3">
        <f>IFERROR(__xludf.DUMMYFUNCTION("""COMPUTED_VALUE"""),8762.1)</f>
        <v>8762.1</v>
      </c>
      <c r="E3629" s="3">
        <f>IFERROR(__xludf.DUMMYFUNCTION("""COMPUTED_VALUE"""),8834.0)</f>
        <v>8834</v>
      </c>
      <c r="F3629" s="3">
        <f>IFERROR(__xludf.DUMMYFUNCTION("""COMPUTED_VALUE"""),0.0)</f>
        <v>0</v>
      </c>
    </row>
    <row r="3630">
      <c r="A3630" s="7">
        <f>IFERROR(__xludf.DUMMYFUNCTION("""COMPUTED_VALUE"""),42109.64583333333)</f>
        <v>42109.64583</v>
      </c>
      <c r="B3630" s="3">
        <f>IFERROR(__xludf.DUMMYFUNCTION("""COMPUTED_VALUE"""),8844.75)</f>
        <v>8844.75</v>
      </c>
      <c r="C3630" s="3">
        <f>IFERROR(__xludf.DUMMYFUNCTION("""COMPUTED_VALUE"""),8844.8)</f>
        <v>8844.8</v>
      </c>
      <c r="D3630" s="3">
        <f>IFERROR(__xludf.DUMMYFUNCTION("""COMPUTED_VALUE"""),8722.4)</f>
        <v>8722.4</v>
      </c>
      <c r="E3630" s="3">
        <f>IFERROR(__xludf.DUMMYFUNCTION("""COMPUTED_VALUE"""),8750.2)</f>
        <v>8750.2</v>
      </c>
      <c r="F3630" s="3">
        <f>IFERROR(__xludf.DUMMYFUNCTION("""COMPUTED_VALUE"""),0.0)</f>
        <v>0</v>
      </c>
    </row>
    <row r="3631">
      <c r="A3631" s="7">
        <f>IFERROR(__xludf.DUMMYFUNCTION("""COMPUTED_VALUE"""),42110.64583333333)</f>
        <v>42110.64583</v>
      </c>
      <c r="B3631" s="3">
        <f>IFERROR(__xludf.DUMMYFUNCTION("""COMPUTED_VALUE"""),8757.05)</f>
        <v>8757.05</v>
      </c>
      <c r="C3631" s="3">
        <f>IFERROR(__xludf.DUMMYFUNCTION("""COMPUTED_VALUE"""),8760.0)</f>
        <v>8760</v>
      </c>
      <c r="D3631" s="3">
        <f>IFERROR(__xludf.DUMMYFUNCTION("""COMPUTED_VALUE"""),8645.65)</f>
        <v>8645.65</v>
      </c>
      <c r="E3631" s="3">
        <f>IFERROR(__xludf.DUMMYFUNCTION("""COMPUTED_VALUE"""),8706.7)</f>
        <v>8706.7</v>
      </c>
      <c r="F3631" s="3">
        <f>IFERROR(__xludf.DUMMYFUNCTION("""COMPUTED_VALUE"""),0.0)</f>
        <v>0</v>
      </c>
    </row>
    <row r="3632">
      <c r="A3632" s="7">
        <f>IFERROR(__xludf.DUMMYFUNCTION("""COMPUTED_VALUE"""),42111.64583333333)</f>
        <v>42111.64583</v>
      </c>
      <c r="B3632" s="3">
        <f>IFERROR(__xludf.DUMMYFUNCTION("""COMPUTED_VALUE"""),8698.05)</f>
        <v>8698.05</v>
      </c>
      <c r="C3632" s="3">
        <f>IFERROR(__xludf.DUMMYFUNCTION("""COMPUTED_VALUE"""),8699.85)</f>
        <v>8699.85</v>
      </c>
      <c r="D3632" s="3">
        <f>IFERROR(__xludf.DUMMYFUNCTION("""COMPUTED_VALUE"""),8596.7)</f>
        <v>8596.7</v>
      </c>
      <c r="E3632" s="3">
        <f>IFERROR(__xludf.DUMMYFUNCTION("""COMPUTED_VALUE"""),8606.0)</f>
        <v>8606</v>
      </c>
      <c r="F3632" s="3">
        <f>IFERROR(__xludf.DUMMYFUNCTION("""COMPUTED_VALUE"""),0.0)</f>
        <v>0</v>
      </c>
    </row>
    <row r="3633">
      <c r="A3633" s="7">
        <f>IFERROR(__xludf.DUMMYFUNCTION("""COMPUTED_VALUE"""),42114.64583333333)</f>
        <v>42114.64583</v>
      </c>
      <c r="B3633" s="3">
        <f>IFERROR(__xludf.DUMMYFUNCTION("""COMPUTED_VALUE"""),8618.8)</f>
        <v>8618.8</v>
      </c>
      <c r="C3633" s="3">
        <f>IFERROR(__xludf.DUMMYFUNCTION("""COMPUTED_VALUE"""),8619.95)</f>
        <v>8619.95</v>
      </c>
      <c r="D3633" s="3">
        <f>IFERROR(__xludf.DUMMYFUNCTION("""COMPUTED_VALUE"""),8422.75)</f>
        <v>8422.75</v>
      </c>
      <c r="E3633" s="3">
        <f>IFERROR(__xludf.DUMMYFUNCTION("""COMPUTED_VALUE"""),8448.1)</f>
        <v>8448.1</v>
      </c>
      <c r="F3633" s="3">
        <f>IFERROR(__xludf.DUMMYFUNCTION("""COMPUTED_VALUE"""),0.0)</f>
        <v>0</v>
      </c>
    </row>
    <row r="3634">
      <c r="A3634" s="7">
        <f>IFERROR(__xludf.DUMMYFUNCTION("""COMPUTED_VALUE"""),42115.64583333333)</f>
        <v>42115.64583</v>
      </c>
      <c r="B3634" s="3">
        <f>IFERROR(__xludf.DUMMYFUNCTION("""COMPUTED_VALUE"""),8416.1)</f>
        <v>8416.1</v>
      </c>
      <c r="C3634" s="3">
        <f>IFERROR(__xludf.DUMMYFUNCTION("""COMPUTED_VALUE"""),8469.35)</f>
        <v>8469.35</v>
      </c>
      <c r="D3634" s="3">
        <f>IFERROR(__xludf.DUMMYFUNCTION("""COMPUTED_VALUE"""),8352.7)</f>
        <v>8352.7</v>
      </c>
      <c r="E3634" s="3">
        <f>IFERROR(__xludf.DUMMYFUNCTION("""COMPUTED_VALUE"""),8377.75)</f>
        <v>8377.75</v>
      </c>
      <c r="F3634" s="3">
        <f>IFERROR(__xludf.DUMMYFUNCTION("""COMPUTED_VALUE"""),0.0)</f>
        <v>0</v>
      </c>
    </row>
    <row r="3635">
      <c r="A3635" s="7">
        <f>IFERROR(__xludf.DUMMYFUNCTION("""COMPUTED_VALUE"""),42116.64583333333)</f>
        <v>42116.64583</v>
      </c>
      <c r="B3635" s="3">
        <f>IFERROR(__xludf.DUMMYFUNCTION("""COMPUTED_VALUE"""),8400.4)</f>
        <v>8400.4</v>
      </c>
      <c r="C3635" s="3">
        <f>IFERROR(__xludf.DUMMYFUNCTION("""COMPUTED_VALUE"""),8449.95)</f>
        <v>8449.95</v>
      </c>
      <c r="D3635" s="3">
        <f>IFERROR(__xludf.DUMMYFUNCTION("""COMPUTED_VALUE"""),8284.7)</f>
        <v>8284.7</v>
      </c>
      <c r="E3635" s="3">
        <f>IFERROR(__xludf.DUMMYFUNCTION("""COMPUTED_VALUE"""),8429.7)</f>
        <v>8429.7</v>
      </c>
      <c r="F3635" s="3">
        <f>IFERROR(__xludf.DUMMYFUNCTION("""COMPUTED_VALUE"""),0.0)</f>
        <v>0</v>
      </c>
    </row>
    <row r="3636">
      <c r="A3636" s="7">
        <f>IFERROR(__xludf.DUMMYFUNCTION("""COMPUTED_VALUE"""),42117.64583333333)</f>
        <v>42117.64583</v>
      </c>
      <c r="B3636" s="3">
        <f>IFERROR(__xludf.DUMMYFUNCTION("""COMPUTED_VALUE"""),8478.2)</f>
        <v>8478.2</v>
      </c>
      <c r="C3636" s="3">
        <f>IFERROR(__xludf.DUMMYFUNCTION("""COMPUTED_VALUE"""),8504.95)</f>
        <v>8504.95</v>
      </c>
      <c r="D3636" s="3">
        <f>IFERROR(__xludf.DUMMYFUNCTION("""COMPUTED_VALUE"""),8361.85)</f>
        <v>8361.85</v>
      </c>
      <c r="E3636" s="3">
        <f>IFERROR(__xludf.DUMMYFUNCTION("""COMPUTED_VALUE"""),8398.3)</f>
        <v>8398.3</v>
      </c>
      <c r="F3636" s="3">
        <f>IFERROR(__xludf.DUMMYFUNCTION("""COMPUTED_VALUE"""),0.0)</f>
        <v>0</v>
      </c>
    </row>
    <row r="3637">
      <c r="A3637" s="7">
        <f>IFERROR(__xludf.DUMMYFUNCTION("""COMPUTED_VALUE"""),42118.64583333333)</f>
        <v>42118.64583</v>
      </c>
      <c r="B3637" s="3">
        <f>IFERROR(__xludf.DUMMYFUNCTION("""COMPUTED_VALUE"""),8405.7)</f>
        <v>8405.7</v>
      </c>
      <c r="C3637" s="3">
        <f>IFERROR(__xludf.DUMMYFUNCTION("""COMPUTED_VALUE"""),8413.3)</f>
        <v>8413.3</v>
      </c>
      <c r="D3637" s="3">
        <f>IFERROR(__xludf.DUMMYFUNCTION("""COMPUTED_VALUE"""),8273.35)</f>
        <v>8273.35</v>
      </c>
      <c r="E3637" s="3">
        <f>IFERROR(__xludf.DUMMYFUNCTION("""COMPUTED_VALUE"""),8305.25)</f>
        <v>8305.25</v>
      </c>
      <c r="F3637" s="3">
        <f>IFERROR(__xludf.DUMMYFUNCTION("""COMPUTED_VALUE"""),0.0)</f>
        <v>0</v>
      </c>
    </row>
    <row r="3638">
      <c r="A3638" s="7">
        <f>IFERROR(__xludf.DUMMYFUNCTION("""COMPUTED_VALUE"""),42121.64583333333)</f>
        <v>42121.64583</v>
      </c>
      <c r="B3638" s="3">
        <f>IFERROR(__xludf.DUMMYFUNCTION("""COMPUTED_VALUE"""),8330.55)</f>
        <v>8330.55</v>
      </c>
      <c r="C3638" s="3">
        <f>IFERROR(__xludf.DUMMYFUNCTION("""COMPUTED_VALUE"""),8334.45)</f>
        <v>8334.45</v>
      </c>
      <c r="D3638" s="3">
        <f>IFERROR(__xludf.DUMMYFUNCTION("""COMPUTED_VALUE"""),8202.35)</f>
        <v>8202.35</v>
      </c>
      <c r="E3638" s="3">
        <f>IFERROR(__xludf.DUMMYFUNCTION("""COMPUTED_VALUE"""),8213.8)</f>
        <v>8213.8</v>
      </c>
      <c r="F3638" s="3">
        <f>IFERROR(__xludf.DUMMYFUNCTION("""COMPUTED_VALUE"""),0.0)</f>
        <v>0</v>
      </c>
    </row>
    <row r="3639">
      <c r="A3639" s="7">
        <f>IFERROR(__xludf.DUMMYFUNCTION("""COMPUTED_VALUE"""),42122.64583333333)</f>
        <v>42122.64583</v>
      </c>
      <c r="B3639" s="3">
        <f>IFERROR(__xludf.DUMMYFUNCTION("""COMPUTED_VALUE"""),8215.55)</f>
        <v>8215.55</v>
      </c>
      <c r="C3639" s="3">
        <f>IFERROR(__xludf.DUMMYFUNCTION("""COMPUTED_VALUE"""),8308.0)</f>
        <v>8308</v>
      </c>
      <c r="D3639" s="3">
        <f>IFERROR(__xludf.DUMMYFUNCTION("""COMPUTED_VALUE"""),8185.15)</f>
        <v>8185.15</v>
      </c>
      <c r="E3639" s="3">
        <f>IFERROR(__xludf.DUMMYFUNCTION("""COMPUTED_VALUE"""),8285.6)</f>
        <v>8285.6</v>
      </c>
      <c r="F3639" s="3">
        <f>IFERROR(__xludf.DUMMYFUNCTION("""COMPUTED_VALUE"""),0.0)</f>
        <v>0</v>
      </c>
    </row>
    <row r="3640">
      <c r="A3640" s="7">
        <f>IFERROR(__xludf.DUMMYFUNCTION("""COMPUTED_VALUE"""),42123.64583333333)</f>
        <v>42123.64583</v>
      </c>
      <c r="B3640" s="3">
        <f>IFERROR(__xludf.DUMMYFUNCTION("""COMPUTED_VALUE"""),8274.8)</f>
        <v>8274.8</v>
      </c>
      <c r="C3640" s="3">
        <f>IFERROR(__xludf.DUMMYFUNCTION("""COMPUTED_VALUE"""),8308.2)</f>
        <v>8308.2</v>
      </c>
      <c r="D3640" s="3">
        <f>IFERROR(__xludf.DUMMYFUNCTION("""COMPUTED_VALUE"""),8219.2)</f>
        <v>8219.2</v>
      </c>
      <c r="E3640" s="3">
        <f>IFERROR(__xludf.DUMMYFUNCTION("""COMPUTED_VALUE"""),8239.75)</f>
        <v>8239.75</v>
      </c>
      <c r="F3640" s="3">
        <f>IFERROR(__xludf.DUMMYFUNCTION("""COMPUTED_VALUE"""),0.0)</f>
        <v>0</v>
      </c>
    </row>
    <row r="3641">
      <c r="A3641" s="7">
        <f>IFERROR(__xludf.DUMMYFUNCTION("""COMPUTED_VALUE"""),42124.64583333333)</f>
        <v>42124.64583</v>
      </c>
      <c r="B3641" s="3">
        <f>IFERROR(__xludf.DUMMYFUNCTION("""COMPUTED_VALUE"""),8224.5)</f>
        <v>8224.5</v>
      </c>
      <c r="C3641" s="3">
        <f>IFERROR(__xludf.DUMMYFUNCTION("""COMPUTED_VALUE"""),8229.4)</f>
        <v>8229.4</v>
      </c>
      <c r="D3641" s="3">
        <f>IFERROR(__xludf.DUMMYFUNCTION("""COMPUTED_VALUE"""),8144.75)</f>
        <v>8144.75</v>
      </c>
      <c r="E3641" s="3">
        <f>IFERROR(__xludf.DUMMYFUNCTION("""COMPUTED_VALUE"""),8181.5)</f>
        <v>8181.5</v>
      </c>
      <c r="F3641" s="3">
        <f>IFERROR(__xludf.DUMMYFUNCTION("""COMPUTED_VALUE"""),0.0)</f>
        <v>0</v>
      </c>
    </row>
    <row r="3642">
      <c r="A3642" s="7">
        <f>IFERROR(__xludf.DUMMYFUNCTION("""COMPUTED_VALUE"""),42128.64583333333)</f>
        <v>42128.64583</v>
      </c>
      <c r="B3642" s="3">
        <f>IFERROR(__xludf.DUMMYFUNCTION("""COMPUTED_VALUE"""),8230.05)</f>
        <v>8230.05</v>
      </c>
      <c r="C3642" s="3">
        <f>IFERROR(__xludf.DUMMYFUNCTION("""COMPUTED_VALUE"""),8346.0)</f>
        <v>8346</v>
      </c>
      <c r="D3642" s="3">
        <f>IFERROR(__xludf.DUMMYFUNCTION("""COMPUTED_VALUE"""),8220.45)</f>
        <v>8220.45</v>
      </c>
      <c r="E3642" s="3">
        <f>IFERROR(__xludf.DUMMYFUNCTION("""COMPUTED_VALUE"""),8331.95)</f>
        <v>8331.95</v>
      </c>
      <c r="F3642" s="3">
        <f>IFERROR(__xludf.DUMMYFUNCTION("""COMPUTED_VALUE"""),0.0)</f>
        <v>0</v>
      </c>
    </row>
    <row r="3643">
      <c r="A3643" s="7">
        <f>IFERROR(__xludf.DUMMYFUNCTION("""COMPUTED_VALUE"""),42129.64583333333)</f>
        <v>42129.64583</v>
      </c>
      <c r="B3643" s="3">
        <f>IFERROR(__xludf.DUMMYFUNCTION("""COMPUTED_VALUE"""),8338.4)</f>
        <v>8338.4</v>
      </c>
      <c r="C3643" s="3">
        <f>IFERROR(__xludf.DUMMYFUNCTION("""COMPUTED_VALUE"""),8355.65)</f>
        <v>8355.65</v>
      </c>
      <c r="D3643" s="3">
        <f>IFERROR(__xludf.DUMMYFUNCTION("""COMPUTED_VALUE"""),8280.6)</f>
        <v>8280.6</v>
      </c>
      <c r="E3643" s="3">
        <f>IFERROR(__xludf.DUMMYFUNCTION("""COMPUTED_VALUE"""),8324.8)</f>
        <v>8324.8</v>
      </c>
      <c r="F3643" s="3">
        <f>IFERROR(__xludf.DUMMYFUNCTION("""COMPUTED_VALUE"""),0.0)</f>
        <v>0</v>
      </c>
    </row>
    <row r="3644">
      <c r="A3644" s="7">
        <f>IFERROR(__xludf.DUMMYFUNCTION("""COMPUTED_VALUE"""),42130.64583333333)</f>
        <v>42130.64583</v>
      </c>
      <c r="B3644" s="3">
        <f>IFERROR(__xludf.DUMMYFUNCTION("""COMPUTED_VALUE"""),8316.6)</f>
        <v>8316.6</v>
      </c>
      <c r="C3644" s="3">
        <f>IFERROR(__xludf.DUMMYFUNCTION("""COMPUTED_VALUE"""),8331.95)</f>
        <v>8331.95</v>
      </c>
      <c r="D3644" s="3">
        <f>IFERROR(__xludf.DUMMYFUNCTION("""COMPUTED_VALUE"""),8083.0)</f>
        <v>8083</v>
      </c>
      <c r="E3644" s="3">
        <f>IFERROR(__xludf.DUMMYFUNCTION("""COMPUTED_VALUE"""),8097.0)</f>
        <v>8097</v>
      </c>
      <c r="F3644" s="3">
        <f>IFERROR(__xludf.DUMMYFUNCTION("""COMPUTED_VALUE"""),0.0)</f>
        <v>0</v>
      </c>
    </row>
    <row r="3645">
      <c r="A3645" s="7">
        <f>IFERROR(__xludf.DUMMYFUNCTION("""COMPUTED_VALUE"""),42131.64583333333)</f>
        <v>42131.64583</v>
      </c>
      <c r="B3645" s="3">
        <f>IFERROR(__xludf.DUMMYFUNCTION("""COMPUTED_VALUE"""),8077.0)</f>
        <v>8077</v>
      </c>
      <c r="C3645" s="3">
        <f>IFERROR(__xludf.DUMMYFUNCTION("""COMPUTED_VALUE"""),8122.6)</f>
        <v>8122.6</v>
      </c>
      <c r="D3645" s="3">
        <f>IFERROR(__xludf.DUMMYFUNCTION("""COMPUTED_VALUE"""),7997.15)</f>
        <v>7997.15</v>
      </c>
      <c r="E3645" s="3">
        <f>IFERROR(__xludf.DUMMYFUNCTION("""COMPUTED_VALUE"""),8057.3)</f>
        <v>8057.3</v>
      </c>
      <c r="F3645" s="3">
        <f>IFERROR(__xludf.DUMMYFUNCTION("""COMPUTED_VALUE"""),0.0)</f>
        <v>0</v>
      </c>
    </row>
    <row r="3646">
      <c r="A3646" s="7">
        <f>IFERROR(__xludf.DUMMYFUNCTION("""COMPUTED_VALUE"""),42132.64583333333)</f>
        <v>42132.64583</v>
      </c>
      <c r="B3646" s="3">
        <f>IFERROR(__xludf.DUMMYFUNCTION("""COMPUTED_VALUE"""),8131.5)</f>
        <v>8131.5</v>
      </c>
      <c r="C3646" s="3">
        <f>IFERROR(__xludf.DUMMYFUNCTION("""COMPUTED_VALUE"""),8224.95)</f>
        <v>8224.95</v>
      </c>
      <c r="D3646" s="3">
        <f>IFERROR(__xludf.DUMMYFUNCTION("""COMPUTED_VALUE"""),8123.45)</f>
        <v>8123.45</v>
      </c>
      <c r="E3646" s="3">
        <f>IFERROR(__xludf.DUMMYFUNCTION("""COMPUTED_VALUE"""),8191.5)</f>
        <v>8191.5</v>
      </c>
      <c r="F3646" s="3">
        <f>IFERROR(__xludf.DUMMYFUNCTION("""COMPUTED_VALUE"""),0.0)</f>
        <v>0</v>
      </c>
    </row>
    <row r="3647">
      <c r="A3647" s="7">
        <f>IFERROR(__xludf.DUMMYFUNCTION("""COMPUTED_VALUE"""),42135.64583333333)</f>
        <v>42135.64583</v>
      </c>
      <c r="B3647" s="3">
        <f>IFERROR(__xludf.DUMMYFUNCTION("""COMPUTED_VALUE"""),8243.2)</f>
        <v>8243.2</v>
      </c>
      <c r="C3647" s="3">
        <f>IFERROR(__xludf.DUMMYFUNCTION("""COMPUTED_VALUE"""),8332.75)</f>
        <v>8332.75</v>
      </c>
      <c r="D3647" s="3">
        <f>IFERROR(__xludf.DUMMYFUNCTION("""COMPUTED_VALUE"""),8224.65)</f>
        <v>8224.65</v>
      </c>
      <c r="E3647" s="3">
        <f>IFERROR(__xludf.DUMMYFUNCTION("""COMPUTED_VALUE"""),8325.25)</f>
        <v>8325.25</v>
      </c>
      <c r="F3647" s="3">
        <f>IFERROR(__xludf.DUMMYFUNCTION("""COMPUTED_VALUE"""),0.0)</f>
        <v>0</v>
      </c>
    </row>
    <row r="3648">
      <c r="A3648" s="7">
        <f>IFERROR(__xludf.DUMMYFUNCTION("""COMPUTED_VALUE"""),42136.64583333333)</f>
        <v>42136.64583</v>
      </c>
      <c r="B3648" s="3">
        <f>IFERROR(__xludf.DUMMYFUNCTION("""COMPUTED_VALUE"""),8326.15)</f>
        <v>8326.15</v>
      </c>
      <c r="C3648" s="3">
        <f>IFERROR(__xludf.DUMMYFUNCTION("""COMPUTED_VALUE"""),8326.65)</f>
        <v>8326.65</v>
      </c>
      <c r="D3648" s="3">
        <f>IFERROR(__xludf.DUMMYFUNCTION("""COMPUTED_VALUE"""),8115.3)</f>
        <v>8115.3</v>
      </c>
      <c r="E3648" s="3">
        <f>IFERROR(__xludf.DUMMYFUNCTION("""COMPUTED_VALUE"""),8126.95)</f>
        <v>8126.95</v>
      </c>
      <c r="F3648" s="3">
        <f>IFERROR(__xludf.DUMMYFUNCTION("""COMPUTED_VALUE"""),0.0)</f>
        <v>0</v>
      </c>
    </row>
    <row r="3649">
      <c r="A3649" s="7">
        <f>IFERROR(__xludf.DUMMYFUNCTION("""COMPUTED_VALUE"""),42137.64583333333)</f>
        <v>42137.64583</v>
      </c>
      <c r="B3649" s="3">
        <f>IFERROR(__xludf.DUMMYFUNCTION("""COMPUTED_VALUE"""),8181.55)</f>
        <v>8181.55</v>
      </c>
      <c r="C3649" s="3">
        <f>IFERROR(__xludf.DUMMYFUNCTION("""COMPUTED_VALUE"""),8254.95)</f>
        <v>8254.95</v>
      </c>
      <c r="D3649" s="3">
        <f>IFERROR(__xludf.DUMMYFUNCTION("""COMPUTED_VALUE"""),8089.8)</f>
        <v>8089.8</v>
      </c>
      <c r="E3649" s="3">
        <f>IFERROR(__xludf.DUMMYFUNCTION("""COMPUTED_VALUE"""),8235.45)</f>
        <v>8235.45</v>
      </c>
      <c r="F3649" s="3">
        <f>IFERROR(__xludf.DUMMYFUNCTION("""COMPUTED_VALUE"""),0.0)</f>
        <v>0</v>
      </c>
    </row>
    <row r="3650">
      <c r="A3650" s="7">
        <f>IFERROR(__xludf.DUMMYFUNCTION("""COMPUTED_VALUE"""),42138.64583333333)</f>
        <v>42138.64583</v>
      </c>
      <c r="B3650" s="3">
        <f>IFERROR(__xludf.DUMMYFUNCTION("""COMPUTED_VALUE"""),8232.45)</f>
        <v>8232.45</v>
      </c>
      <c r="C3650" s="3">
        <f>IFERROR(__xludf.DUMMYFUNCTION("""COMPUTED_VALUE"""),8236.25)</f>
        <v>8236.25</v>
      </c>
      <c r="D3650" s="3">
        <f>IFERROR(__xludf.DUMMYFUNCTION("""COMPUTED_VALUE"""),8137.3)</f>
        <v>8137.3</v>
      </c>
      <c r="E3650" s="3">
        <f>IFERROR(__xludf.DUMMYFUNCTION("""COMPUTED_VALUE"""),8224.2)</f>
        <v>8224.2</v>
      </c>
      <c r="F3650" s="3">
        <f>IFERROR(__xludf.DUMMYFUNCTION("""COMPUTED_VALUE"""),0.0)</f>
        <v>0</v>
      </c>
    </row>
    <row r="3651">
      <c r="A3651" s="7">
        <f>IFERROR(__xludf.DUMMYFUNCTION("""COMPUTED_VALUE"""),42139.64583333333)</f>
        <v>42139.64583</v>
      </c>
      <c r="B3651" s="3">
        <f>IFERROR(__xludf.DUMMYFUNCTION("""COMPUTED_VALUE"""),8240.3)</f>
        <v>8240.3</v>
      </c>
      <c r="C3651" s="3">
        <f>IFERROR(__xludf.DUMMYFUNCTION("""COMPUTED_VALUE"""),8279.2)</f>
        <v>8279.2</v>
      </c>
      <c r="D3651" s="3">
        <f>IFERROR(__xludf.DUMMYFUNCTION("""COMPUTED_VALUE"""),8212.2)</f>
        <v>8212.2</v>
      </c>
      <c r="E3651" s="3">
        <f>IFERROR(__xludf.DUMMYFUNCTION("""COMPUTED_VALUE"""),8262.35)</f>
        <v>8262.35</v>
      </c>
      <c r="F3651" s="3">
        <f>IFERROR(__xludf.DUMMYFUNCTION("""COMPUTED_VALUE"""),0.0)</f>
        <v>0</v>
      </c>
    </row>
    <row r="3652">
      <c r="A3652" s="7">
        <f>IFERROR(__xludf.DUMMYFUNCTION("""COMPUTED_VALUE"""),42142.64583333333)</f>
        <v>42142.64583</v>
      </c>
      <c r="B3652" s="3">
        <f>IFERROR(__xludf.DUMMYFUNCTION("""COMPUTED_VALUE"""),8284.95)</f>
        <v>8284.95</v>
      </c>
      <c r="C3652" s="3">
        <f>IFERROR(__xludf.DUMMYFUNCTION("""COMPUTED_VALUE"""),8384.6)</f>
        <v>8384.6</v>
      </c>
      <c r="D3652" s="3">
        <f>IFERROR(__xludf.DUMMYFUNCTION("""COMPUTED_VALUE"""),8271.95)</f>
        <v>8271.95</v>
      </c>
      <c r="E3652" s="3">
        <f>IFERROR(__xludf.DUMMYFUNCTION("""COMPUTED_VALUE"""),8373.65)</f>
        <v>8373.65</v>
      </c>
      <c r="F3652" s="3">
        <f>IFERROR(__xludf.DUMMYFUNCTION("""COMPUTED_VALUE"""),0.0)</f>
        <v>0</v>
      </c>
    </row>
    <row r="3653">
      <c r="A3653" s="7">
        <f>IFERROR(__xludf.DUMMYFUNCTION("""COMPUTED_VALUE"""),42143.64583333333)</f>
        <v>42143.64583</v>
      </c>
      <c r="B3653" s="3">
        <f>IFERROR(__xludf.DUMMYFUNCTION("""COMPUTED_VALUE"""),8356.2)</f>
        <v>8356.2</v>
      </c>
      <c r="C3653" s="3">
        <f>IFERROR(__xludf.DUMMYFUNCTION("""COMPUTED_VALUE"""),8427.8)</f>
        <v>8427.8</v>
      </c>
      <c r="D3653" s="3">
        <f>IFERROR(__xludf.DUMMYFUNCTION("""COMPUTED_VALUE"""),8335.0)</f>
        <v>8335</v>
      </c>
      <c r="E3653" s="3">
        <f>IFERROR(__xludf.DUMMYFUNCTION("""COMPUTED_VALUE"""),8365.65)</f>
        <v>8365.65</v>
      </c>
      <c r="F3653" s="3">
        <f>IFERROR(__xludf.DUMMYFUNCTION("""COMPUTED_VALUE"""),0.0)</f>
        <v>0</v>
      </c>
    </row>
    <row r="3654">
      <c r="A3654" s="7">
        <f>IFERROR(__xludf.DUMMYFUNCTION("""COMPUTED_VALUE"""),42144.64583333333)</f>
        <v>42144.64583</v>
      </c>
      <c r="B3654" s="3">
        <f>IFERROR(__xludf.DUMMYFUNCTION("""COMPUTED_VALUE"""),8392.65)</f>
        <v>8392.65</v>
      </c>
      <c r="C3654" s="3">
        <f>IFERROR(__xludf.DUMMYFUNCTION("""COMPUTED_VALUE"""),8440.35)</f>
        <v>8440.35</v>
      </c>
      <c r="D3654" s="3">
        <f>IFERROR(__xludf.DUMMYFUNCTION("""COMPUTED_VALUE"""),8391.45)</f>
        <v>8391.45</v>
      </c>
      <c r="E3654" s="3">
        <f>IFERROR(__xludf.DUMMYFUNCTION("""COMPUTED_VALUE"""),8423.25)</f>
        <v>8423.25</v>
      </c>
      <c r="F3654" s="3">
        <f>IFERROR(__xludf.DUMMYFUNCTION("""COMPUTED_VALUE"""),0.0)</f>
        <v>0</v>
      </c>
    </row>
    <row r="3655">
      <c r="A3655" s="7">
        <f>IFERROR(__xludf.DUMMYFUNCTION("""COMPUTED_VALUE"""),42145.64583333333)</f>
        <v>42145.64583</v>
      </c>
      <c r="B3655" s="3">
        <f>IFERROR(__xludf.DUMMYFUNCTION("""COMPUTED_VALUE"""),8434.5)</f>
        <v>8434.5</v>
      </c>
      <c r="C3655" s="3">
        <f>IFERROR(__xludf.DUMMYFUNCTION("""COMPUTED_VALUE"""),8446.35)</f>
        <v>8446.35</v>
      </c>
      <c r="D3655" s="3">
        <f>IFERROR(__xludf.DUMMYFUNCTION("""COMPUTED_VALUE"""),8382.5)</f>
        <v>8382.5</v>
      </c>
      <c r="E3655" s="3">
        <f>IFERROR(__xludf.DUMMYFUNCTION("""COMPUTED_VALUE"""),8421.0)</f>
        <v>8421</v>
      </c>
      <c r="F3655" s="3">
        <f>IFERROR(__xludf.DUMMYFUNCTION("""COMPUTED_VALUE"""),0.0)</f>
        <v>0</v>
      </c>
    </row>
    <row r="3656">
      <c r="A3656" s="7">
        <f>IFERROR(__xludf.DUMMYFUNCTION("""COMPUTED_VALUE"""),42146.64583333333)</f>
        <v>42146.64583</v>
      </c>
      <c r="B3656" s="3">
        <f>IFERROR(__xludf.DUMMYFUNCTION("""COMPUTED_VALUE"""),8432.5)</f>
        <v>8432.5</v>
      </c>
      <c r="C3656" s="3">
        <f>IFERROR(__xludf.DUMMYFUNCTION("""COMPUTED_VALUE"""),8489.55)</f>
        <v>8489.55</v>
      </c>
      <c r="D3656" s="3">
        <f>IFERROR(__xludf.DUMMYFUNCTION("""COMPUTED_VALUE"""),8420.6)</f>
        <v>8420.6</v>
      </c>
      <c r="E3656" s="3">
        <f>IFERROR(__xludf.DUMMYFUNCTION("""COMPUTED_VALUE"""),8458.95)</f>
        <v>8458.95</v>
      </c>
      <c r="F3656" s="3">
        <f>IFERROR(__xludf.DUMMYFUNCTION("""COMPUTED_VALUE"""),0.0)</f>
        <v>0</v>
      </c>
    </row>
    <row r="3657">
      <c r="A3657" s="7">
        <f>IFERROR(__xludf.DUMMYFUNCTION("""COMPUTED_VALUE"""),42149.64583333333)</f>
        <v>42149.64583</v>
      </c>
      <c r="B3657" s="3">
        <f>IFERROR(__xludf.DUMMYFUNCTION("""COMPUTED_VALUE"""),8438.15)</f>
        <v>8438.15</v>
      </c>
      <c r="C3657" s="3">
        <f>IFERROR(__xludf.DUMMYFUNCTION("""COMPUTED_VALUE"""),8441.95)</f>
        <v>8441.95</v>
      </c>
      <c r="D3657" s="3">
        <f>IFERROR(__xludf.DUMMYFUNCTION("""COMPUTED_VALUE"""),8364.15)</f>
        <v>8364.15</v>
      </c>
      <c r="E3657" s="3">
        <f>IFERROR(__xludf.DUMMYFUNCTION("""COMPUTED_VALUE"""),8370.25)</f>
        <v>8370.25</v>
      </c>
      <c r="F3657" s="3">
        <f>IFERROR(__xludf.DUMMYFUNCTION("""COMPUTED_VALUE"""),0.0)</f>
        <v>0</v>
      </c>
    </row>
    <row r="3658">
      <c r="A3658" s="7">
        <f>IFERROR(__xludf.DUMMYFUNCTION("""COMPUTED_VALUE"""),42150.64583333333)</f>
        <v>42150.64583</v>
      </c>
      <c r="B3658" s="3">
        <f>IFERROR(__xludf.DUMMYFUNCTION("""COMPUTED_VALUE"""),8377.1)</f>
        <v>8377.1</v>
      </c>
      <c r="C3658" s="3">
        <f>IFERROR(__xludf.DUMMYFUNCTION("""COMPUTED_VALUE"""),8378.9)</f>
        <v>8378.9</v>
      </c>
      <c r="D3658" s="3">
        <f>IFERROR(__xludf.DUMMYFUNCTION("""COMPUTED_VALUE"""),8320.05)</f>
        <v>8320.05</v>
      </c>
      <c r="E3658" s="3">
        <f>IFERROR(__xludf.DUMMYFUNCTION("""COMPUTED_VALUE"""),8339.35)</f>
        <v>8339.35</v>
      </c>
      <c r="F3658" s="3">
        <f>IFERROR(__xludf.DUMMYFUNCTION("""COMPUTED_VALUE"""),0.0)</f>
        <v>0</v>
      </c>
    </row>
    <row r="3659">
      <c r="A3659" s="7">
        <f>IFERROR(__xludf.DUMMYFUNCTION("""COMPUTED_VALUE"""),42151.64583333333)</f>
        <v>42151.64583</v>
      </c>
      <c r="B3659" s="3">
        <f>IFERROR(__xludf.DUMMYFUNCTION("""COMPUTED_VALUE"""),8302.75)</f>
        <v>8302.75</v>
      </c>
      <c r="C3659" s="3">
        <f>IFERROR(__xludf.DUMMYFUNCTION("""COMPUTED_VALUE"""),8342.85)</f>
        <v>8342.85</v>
      </c>
      <c r="D3659" s="3">
        <f>IFERROR(__xludf.DUMMYFUNCTION("""COMPUTED_VALUE"""),8277.95)</f>
        <v>8277.95</v>
      </c>
      <c r="E3659" s="3">
        <f>IFERROR(__xludf.DUMMYFUNCTION("""COMPUTED_VALUE"""),8334.6)</f>
        <v>8334.6</v>
      </c>
      <c r="F3659" s="3">
        <f>IFERROR(__xludf.DUMMYFUNCTION("""COMPUTED_VALUE"""),0.0)</f>
        <v>0</v>
      </c>
    </row>
    <row r="3660">
      <c r="A3660" s="7">
        <f>IFERROR(__xludf.DUMMYFUNCTION("""COMPUTED_VALUE"""),42152.64583333333)</f>
        <v>42152.64583</v>
      </c>
      <c r="B3660" s="3">
        <f>IFERROR(__xludf.DUMMYFUNCTION("""COMPUTED_VALUE"""),8345.7)</f>
        <v>8345.7</v>
      </c>
      <c r="C3660" s="3">
        <f>IFERROR(__xludf.DUMMYFUNCTION("""COMPUTED_VALUE"""),8364.5)</f>
        <v>8364.5</v>
      </c>
      <c r="D3660" s="3">
        <f>IFERROR(__xludf.DUMMYFUNCTION("""COMPUTED_VALUE"""),8270.15)</f>
        <v>8270.15</v>
      </c>
      <c r="E3660" s="3">
        <f>IFERROR(__xludf.DUMMYFUNCTION("""COMPUTED_VALUE"""),8319.0)</f>
        <v>8319</v>
      </c>
      <c r="F3660" s="3">
        <f>IFERROR(__xludf.DUMMYFUNCTION("""COMPUTED_VALUE"""),0.0)</f>
        <v>0</v>
      </c>
    </row>
    <row r="3661">
      <c r="A3661" s="7">
        <f>IFERROR(__xludf.DUMMYFUNCTION("""COMPUTED_VALUE"""),42153.64583333333)</f>
        <v>42153.64583</v>
      </c>
      <c r="B3661" s="3">
        <f>IFERROR(__xludf.DUMMYFUNCTION("""COMPUTED_VALUE"""),8327.1)</f>
        <v>8327.1</v>
      </c>
      <c r="C3661" s="3">
        <f>IFERROR(__xludf.DUMMYFUNCTION("""COMPUTED_VALUE"""),8443.9)</f>
        <v>8443.9</v>
      </c>
      <c r="D3661" s="3">
        <f>IFERROR(__xludf.DUMMYFUNCTION("""COMPUTED_VALUE"""),8305.7)</f>
        <v>8305.7</v>
      </c>
      <c r="E3661" s="3">
        <f>IFERROR(__xludf.DUMMYFUNCTION("""COMPUTED_VALUE"""),8433.65)</f>
        <v>8433.65</v>
      </c>
      <c r="F3661" s="3">
        <f>IFERROR(__xludf.DUMMYFUNCTION("""COMPUTED_VALUE"""),0.0)</f>
        <v>0</v>
      </c>
    </row>
    <row r="3662">
      <c r="A3662" s="7">
        <f>IFERROR(__xludf.DUMMYFUNCTION("""COMPUTED_VALUE"""),42156.64583333333)</f>
        <v>42156.64583</v>
      </c>
      <c r="B3662" s="3">
        <f>IFERROR(__xludf.DUMMYFUNCTION("""COMPUTED_VALUE"""),8417.25)</f>
        <v>8417.25</v>
      </c>
      <c r="C3662" s="3">
        <f>IFERROR(__xludf.DUMMYFUNCTION("""COMPUTED_VALUE"""),8467.15)</f>
        <v>8467.15</v>
      </c>
      <c r="D3662" s="3">
        <f>IFERROR(__xludf.DUMMYFUNCTION("""COMPUTED_VALUE"""),8405.4)</f>
        <v>8405.4</v>
      </c>
      <c r="E3662" s="3">
        <f>IFERROR(__xludf.DUMMYFUNCTION("""COMPUTED_VALUE"""),8433.4)</f>
        <v>8433.4</v>
      </c>
      <c r="F3662" s="3">
        <f>IFERROR(__xludf.DUMMYFUNCTION("""COMPUTED_VALUE"""),0.0)</f>
        <v>0</v>
      </c>
    </row>
    <row r="3663">
      <c r="A3663" s="7">
        <f>IFERROR(__xludf.DUMMYFUNCTION("""COMPUTED_VALUE"""),42157.64583333333)</f>
        <v>42157.64583</v>
      </c>
      <c r="B3663" s="3">
        <f>IFERROR(__xludf.DUMMYFUNCTION("""COMPUTED_VALUE"""),8442.8)</f>
        <v>8442.8</v>
      </c>
      <c r="C3663" s="3">
        <f>IFERROR(__xludf.DUMMYFUNCTION("""COMPUTED_VALUE"""),8445.35)</f>
        <v>8445.35</v>
      </c>
      <c r="D3663" s="3">
        <f>IFERROR(__xludf.DUMMYFUNCTION("""COMPUTED_VALUE"""),8226.05)</f>
        <v>8226.05</v>
      </c>
      <c r="E3663" s="3">
        <f>IFERROR(__xludf.DUMMYFUNCTION("""COMPUTED_VALUE"""),8236.45)</f>
        <v>8236.45</v>
      </c>
      <c r="F3663" s="3">
        <f>IFERROR(__xludf.DUMMYFUNCTION("""COMPUTED_VALUE"""),0.0)</f>
        <v>0</v>
      </c>
    </row>
    <row r="3664">
      <c r="A3664" s="7">
        <f>IFERROR(__xludf.DUMMYFUNCTION("""COMPUTED_VALUE"""),42158.64583333333)</f>
        <v>42158.64583</v>
      </c>
      <c r="B3664" s="3">
        <f>IFERROR(__xludf.DUMMYFUNCTION("""COMPUTED_VALUE"""),8232.45)</f>
        <v>8232.45</v>
      </c>
      <c r="C3664" s="3">
        <f>IFERROR(__xludf.DUMMYFUNCTION("""COMPUTED_VALUE"""),8236.7)</f>
        <v>8236.7</v>
      </c>
      <c r="D3664" s="3">
        <f>IFERROR(__xludf.DUMMYFUNCTION("""COMPUTED_VALUE"""),8094.15)</f>
        <v>8094.15</v>
      </c>
      <c r="E3664" s="3">
        <f>IFERROR(__xludf.DUMMYFUNCTION("""COMPUTED_VALUE"""),8135.1)</f>
        <v>8135.1</v>
      </c>
      <c r="F3664" s="3">
        <f>IFERROR(__xludf.DUMMYFUNCTION("""COMPUTED_VALUE"""),0.0)</f>
        <v>0</v>
      </c>
    </row>
    <row r="3665">
      <c r="A3665" s="7">
        <f>IFERROR(__xludf.DUMMYFUNCTION("""COMPUTED_VALUE"""),42159.64583333333)</f>
        <v>42159.64583</v>
      </c>
      <c r="B3665" s="3">
        <f>IFERROR(__xludf.DUMMYFUNCTION("""COMPUTED_VALUE"""),8155.15)</f>
        <v>8155.15</v>
      </c>
      <c r="C3665" s="3">
        <f>IFERROR(__xludf.DUMMYFUNCTION("""COMPUTED_VALUE"""),8160.05)</f>
        <v>8160.05</v>
      </c>
      <c r="D3665" s="3">
        <f>IFERROR(__xludf.DUMMYFUNCTION("""COMPUTED_VALUE"""),8056.75)</f>
        <v>8056.75</v>
      </c>
      <c r="E3665" s="3">
        <f>IFERROR(__xludf.DUMMYFUNCTION("""COMPUTED_VALUE"""),8130.65)</f>
        <v>8130.65</v>
      </c>
      <c r="F3665" s="3">
        <f>IFERROR(__xludf.DUMMYFUNCTION("""COMPUTED_VALUE"""),0.0)</f>
        <v>0</v>
      </c>
    </row>
    <row r="3666">
      <c r="A3666" s="7">
        <f>IFERROR(__xludf.DUMMYFUNCTION("""COMPUTED_VALUE"""),42160.64583333333)</f>
        <v>42160.64583</v>
      </c>
      <c r="B3666" s="3">
        <f>IFERROR(__xludf.DUMMYFUNCTION("""COMPUTED_VALUE"""),8119.15)</f>
        <v>8119.15</v>
      </c>
      <c r="C3666" s="3">
        <f>IFERROR(__xludf.DUMMYFUNCTION("""COMPUTED_VALUE"""),8191.0)</f>
        <v>8191</v>
      </c>
      <c r="D3666" s="3">
        <f>IFERROR(__xludf.DUMMYFUNCTION("""COMPUTED_VALUE"""),8100.15)</f>
        <v>8100.15</v>
      </c>
      <c r="E3666" s="3">
        <f>IFERROR(__xludf.DUMMYFUNCTION("""COMPUTED_VALUE"""),8114.7)</f>
        <v>8114.7</v>
      </c>
      <c r="F3666" s="3">
        <f>IFERROR(__xludf.DUMMYFUNCTION("""COMPUTED_VALUE"""),0.0)</f>
        <v>0</v>
      </c>
    </row>
    <row r="3667">
      <c r="A3667" s="7">
        <f>IFERROR(__xludf.DUMMYFUNCTION("""COMPUTED_VALUE"""),42163.64583333333)</f>
        <v>42163.64583</v>
      </c>
      <c r="B3667" s="3">
        <f>IFERROR(__xludf.DUMMYFUNCTION("""COMPUTED_VALUE"""),8124.35)</f>
        <v>8124.35</v>
      </c>
      <c r="C3667" s="3">
        <f>IFERROR(__xludf.DUMMYFUNCTION("""COMPUTED_VALUE"""),8131.0)</f>
        <v>8131</v>
      </c>
      <c r="D3667" s="3">
        <f>IFERROR(__xludf.DUMMYFUNCTION("""COMPUTED_VALUE"""),8030.55)</f>
        <v>8030.55</v>
      </c>
      <c r="E3667" s="3">
        <f>IFERROR(__xludf.DUMMYFUNCTION("""COMPUTED_VALUE"""),8044.15)</f>
        <v>8044.15</v>
      </c>
      <c r="F3667" s="3">
        <f>IFERROR(__xludf.DUMMYFUNCTION("""COMPUTED_VALUE"""),0.0)</f>
        <v>0</v>
      </c>
    </row>
    <row r="3668">
      <c r="A3668" s="7">
        <f>IFERROR(__xludf.DUMMYFUNCTION("""COMPUTED_VALUE"""),42164.64583333333)</f>
        <v>42164.64583</v>
      </c>
      <c r="B3668" s="3">
        <f>IFERROR(__xludf.DUMMYFUNCTION("""COMPUTED_VALUE"""),8026.5)</f>
        <v>8026.5</v>
      </c>
      <c r="C3668" s="3">
        <f>IFERROR(__xludf.DUMMYFUNCTION("""COMPUTED_VALUE"""),8057.15)</f>
        <v>8057.15</v>
      </c>
      <c r="D3668" s="3">
        <f>IFERROR(__xludf.DUMMYFUNCTION("""COMPUTED_VALUE"""),8005.15)</f>
        <v>8005.15</v>
      </c>
      <c r="E3668" s="3">
        <f>IFERROR(__xludf.DUMMYFUNCTION("""COMPUTED_VALUE"""),8022.4)</f>
        <v>8022.4</v>
      </c>
      <c r="F3668" s="3">
        <f>IFERROR(__xludf.DUMMYFUNCTION("""COMPUTED_VALUE"""),0.0)</f>
        <v>0</v>
      </c>
    </row>
    <row r="3669">
      <c r="A3669" s="7">
        <f>IFERROR(__xludf.DUMMYFUNCTION("""COMPUTED_VALUE"""),42165.64583333333)</f>
        <v>42165.64583</v>
      </c>
      <c r="B3669" s="3">
        <f>IFERROR(__xludf.DUMMYFUNCTION("""COMPUTED_VALUE"""),8024.15)</f>
        <v>8024.15</v>
      </c>
      <c r="C3669" s="3">
        <f>IFERROR(__xludf.DUMMYFUNCTION("""COMPUTED_VALUE"""),8152.25)</f>
        <v>8152.25</v>
      </c>
      <c r="D3669" s="3">
        <f>IFERROR(__xludf.DUMMYFUNCTION("""COMPUTED_VALUE"""),8023.8)</f>
        <v>8023.8</v>
      </c>
      <c r="E3669" s="3">
        <f>IFERROR(__xludf.DUMMYFUNCTION("""COMPUTED_VALUE"""),8124.45)</f>
        <v>8124.45</v>
      </c>
      <c r="F3669" s="3">
        <f>IFERROR(__xludf.DUMMYFUNCTION("""COMPUTED_VALUE"""),0.0)</f>
        <v>0</v>
      </c>
    </row>
    <row r="3670">
      <c r="A3670" s="7">
        <f>IFERROR(__xludf.DUMMYFUNCTION("""COMPUTED_VALUE"""),42166.64583333333)</f>
        <v>42166.64583</v>
      </c>
      <c r="B3670" s="3">
        <f>IFERROR(__xludf.DUMMYFUNCTION("""COMPUTED_VALUE"""),8157.3)</f>
        <v>8157.3</v>
      </c>
      <c r="C3670" s="3">
        <f>IFERROR(__xludf.DUMMYFUNCTION("""COMPUTED_VALUE"""),8163.05)</f>
        <v>8163.05</v>
      </c>
      <c r="D3670" s="3">
        <f>IFERROR(__xludf.DUMMYFUNCTION("""COMPUTED_VALUE"""),7958.25)</f>
        <v>7958.25</v>
      </c>
      <c r="E3670" s="3">
        <f>IFERROR(__xludf.DUMMYFUNCTION("""COMPUTED_VALUE"""),7965.35)</f>
        <v>7965.35</v>
      </c>
      <c r="F3670" s="3">
        <f>IFERROR(__xludf.DUMMYFUNCTION("""COMPUTED_VALUE"""),0.0)</f>
        <v>0</v>
      </c>
    </row>
    <row r="3671">
      <c r="A3671" s="7">
        <f>IFERROR(__xludf.DUMMYFUNCTION("""COMPUTED_VALUE"""),42167.64583333333)</f>
        <v>42167.64583</v>
      </c>
      <c r="B3671" s="3">
        <f>IFERROR(__xludf.DUMMYFUNCTION("""COMPUTED_VALUE"""),7959.85)</f>
        <v>7959.85</v>
      </c>
      <c r="C3671" s="3">
        <f>IFERROR(__xludf.DUMMYFUNCTION("""COMPUTED_VALUE"""),7995.6)</f>
        <v>7995.6</v>
      </c>
      <c r="D3671" s="3">
        <f>IFERROR(__xludf.DUMMYFUNCTION("""COMPUTED_VALUE"""),7940.3)</f>
        <v>7940.3</v>
      </c>
      <c r="E3671" s="3">
        <f>IFERROR(__xludf.DUMMYFUNCTION("""COMPUTED_VALUE"""),7982.9)</f>
        <v>7982.9</v>
      </c>
      <c r="F3671" s="3">
        <f>IFERROR(__xludf.DUMMYFUNCTION("""COMPUTED_VALUE"""),0.0)</f>
        <v>0</v>
      </c>
    </row>
    <row r="3672">
      <c r="A3672" s="7">
        <f>IFERROR(__xludf.DUMMYFUNCTION("""COMPUTED_VALUE"""),42170.64583333333)</f>
        <v>42170.64583</v>
      </c>
      <c r="B3672" s="3">
        <f>IFERROR(__xludf.DUMMYFUNCTION("""COMPUTED_VALUE"""),7986.6)</f>
        <v>7986.6</v>
      </c>
      <c r="C3672" s="3">
        <f>IFERROR(__xludf.DUMMYFUNCTION("""COMPUTED_VALUE"""),8057.7)</f>
        <v>8057.7</v>
      </c>
      <c r="D3672" s="3">
        <f>IFERROR(__xludf.DUMMYFUNCTION("""COMPUTED_VALUE"""),7944.85)</f>
        <v>7944.85</v>
      </c>
      <c r="E3672" s="3">
        <f>IFERROR(__xludf.DUMMYFUNCTION("""COMPUTED_VALUE"""),8013.9)</f>
        <v>8013.9</v>
      </c>
      <c r="F3672" s="3">
        <f>IFERROR(__xludf.DUMMYFUNCTION("""COMPUTED_VALUE"""),0.0)</f>
        <v>0</v>
      </c>
    </row>
    <row r="3673">
      <c r="A3673" s="7">
        <f>IFERROR(__xludf.DUMMYFUNCTION("""COMPUTED_VALUE"""),42171.64583333333)</f>
        <v>42171.64583</v>
      </c>
      <c r="B3673" s="3">
        <f>IFERROR(__xludf.DUMMYFUNCTION("""COMPUTED_VALUE"""),8004.2)</f>
        <v>8004.2</v>
      </c>
      <c r="C3673" s="3">
        <f>IFERROR(__xludf.DUMMYFUNCTION("""COMPUTED_VALUE"""),8061.85)</f>
        <v>8061.85</v>
      </c>
      <c r="D3673" s="3">
        <f>IFERROR(__xludf.DUMMYFUNCTION("""COMPUTED_VALUE"""),7952.35)</f>
        <v>7952.35</v>
      </c>
      <c r="E3673" s="3">
        <f>IFERROR(__xludf.DUMMYFUNCTION("""COMPUTED_VALUE"""),8047.3)</f>
        <v>8047.3</v>
      </c>
      <c r="F3673" s="3">
        <f>IFERROR(__xludf.DUMMYFUNCTION("""COMPUTED_VALUE"""),0.0)</f>
        <v>0</v>
      </c>
    </row>
    <row r="3674">
      <c r="A3674" s="7">
        <f>IFERROR(__xludf.DUMMYFUNCTION("""COMPUTED_VALUE"""),42172.64583333333)</f>
        <v>42172.64583</v>
      </c>
      <c r="B3674" s="3">
        <f>IFERROR(__xludf.DUMMYFUNCTION("""COMPUTED_VALUE"""),8084.2)</f>
        <v>8084.2</v>
      </c>
      <c r="C3674" s="3">
        <f>IFERROR(__xludf.DUMMYFUNCTION("""COMPUTED_VALUE"""),8136.85)</f>
        <v>8136.85</v>
      </c>
      <c r="D3674" s="3">
        <f>IFERROR(__xludf.DUMMYFUNCTION("""COMPUTED_VALUE"""),8048.95)</f>
        <v>8048.95</v>
      </c>
      <c r="E3674" s="3">
        <f>IFERROR(__xludf.DUMMYFUNCTION("""COMPUTED_VALUE"""),8091.55)</f>
        <v>8091.55</v>
      </c>
      <c r="F3674" s="3">
        <f>IFERROR(__xludf.DUMMYFUNCTION("""COMPUTED_VALUE"""),0.0)</f>
        <v>0</v>
      </c>
    </row>
    <row r="3675">
      <c r="A3675" s="7">
        <f>IFERROR(__xludf.DUMMYFUNCTION("""COMPUTED_VALUE"""),42173.64583333333)</f>
        <v>42173.64583</v>
      </c>
      <c r="B3675" s="3">
        <f>IFERROR(__xludf.DUMMYFUNCTION("""COMPUTED_VALUE"""),8113.7)</f>
        <v>8113.7</v>
      </c>
      <c r="C3675" s="3">
        <f>IFERROR(__xludf.DUMMYFUNCTION("""COMPUTED_VALUE"""),8186.9)</f>
        <v>8186.9</v>
      </c>
      <c r="D3675" s="3">
        <f>IFERROR(__xludf.DUMMYFUNCTION("""COMPUTED_VALUE"""),8101.8)</f>
        <v>8101.8</v>
      </c>
      <c r="E3675" s="3">
        <f>IFERROR(__xludf.DUMMYFUNCTION("""COMPUTED_VALUE"""),8174.6)</f>
        <v>8174.6</v>
      </c>
      <c r="F3675" s="3">
        <f>IFERROR(__xludf.DUMMYFUNCTION("""COMPUTED_VALUE"""),0.0)</f>
        <v>0</v>
      </c>
    </row>
    <row r="3676">
      <c r="A3676" s="7">
        <f>IFERROR(__xludf.DUMMYFUNCTION("""COMPUTED_VALUE"""),42174.64583333333)</f>
        <v>42174.64583</v>
      </c>
      <c r="B3676" s="3">
        <f>IFERROR(__xludf.DUMMYFUNCTION("""COMPUTED_VALUE"""),8201.15)</f>
        <v>8201.15</v>
      </c>
      <c r="C3676" s="3">
        <f>IFERROR(__xludf.DUMMYFUNCTION("""COMPUTED_VALUE"""),8250.8)</f>
        <v>8250.8</v>
      </c>
      <c r="D3676" s="3">
        <f>IFERROR(__xludf.DUMMYFUNCTION("""COMPUTED_VALUE"""),8195.65)</f>
        <v>8195.65</v>
      </c>
      <c r="E3676" s="3">
        <f>IFERROR(__xludf.DUMMYFUNCTION("""COMPUTED_VALUE"""),8224.95)</f>
        <v>8224.95</v>
      </c>
      <c r="F3676" s="3">
        <f>IFERROR(__xludf.DUMMYFUNCTION("""COMPUTED_VALUE"""),0.0)</f>
        <v>0</v>
      </c>
    </row>
    <row r="3677">
      <c r="A3677" s="7">
        <f>IFERROR(__xludf.DUMMYFUNCTION("""COMPUTED_VALUE"""),42177.64583333333)</f>
        <v>42177.64583</v>
      </c>
      <c r="B3677" s="3">
        <f>IFERROR(__xludf.DUMMYFUNCTION("""COMPUTED_VALUE"""),8259.3)</f>
        <v>8259.3</v>
      </c>
      <c r="C3677" s="3">
        <f>IFERROR(__xludf.DUMMYFUNCTION("""COMPUTED_VALUE"""),8369.45)</f>
        <v>8369.45</v>
      </c>
      <c r="D3677" s="3">
        <f>IFERROR(__xludf.DUMMYFUNCTION("""COMPUTED_VALUE"""),8257.4)</f>
        <v>8257.4</v>
      </c>
      <c r="E3677" s="3">
        <f>IFERROR(__xludf.DUMMYFUNCTION("""COMPUTED_VALUE"""),8353.1)</f>
        <v>8353.1</v>
      </c>
      <c r="F3677" s="3">
        <f>IFERROR(__xludf.DUMMYFUNCTION("""COMPUTED_VALUE"""),0.0)</f>
        <v>0</v>
      </c>
    </row>
    <row r="3678">
      <c r="A3678" s="7">
        <f>IFERROR(__xludf.DUMMYFUNCTION("""COMPUTED_VALUE"""),42178.64583333333)</f>
        <v>42178.64583</v>
      </c>
      <c r="B3678" s="3">
        <f>IFERROR(__xludf.DUMMYFUNCTION("""COMPUTED_VALUE"""),8377.45)</f>
        <v>8377.45</v>
      </c>
      <c r="C3678" s="3">
        <f>IFERROR(__xludf.DUMMYFUNCTION("""COMPUTED_VALUE"""),8398.45)</f>
        <v>8398.45</v>
      </c>
      <c r="D3678" s="3">
        <f>IFERROR(__xludf.DUMMYFUNCTION("""COMPUTED_VALUE"""),8334.95)</f>
        <v>8334.95</v>
      </c>
      <c r="E3678" s="3">
        <f>IFERROR(__xludf.DUMMYFUNCTION("""COMPUTED_VALUE"""),8381.55)</f>
        <v>8381.55</v>
      </c>
      <c r="F3678" s="3">
        <f>IFERROR(__xludf.DUMMYFUNCTION("""COMPUTED_VALUE"""),0.0)</f>
        <v>0</v>
      </c>
    </row>
    <row r="3679">
      <c r="A3679" s="7">
        <f>IFERROR(__xludf.DUMMYFUNCTION("""COMPUTED_VALUE"""),42179.64583333333)</f>
        <v>42179.64583</v>
      </c>
      <c r="B3679" s="3">
        <f>IFERROR(__xludf.DUMMYFUNCTION("""COMPUTED_VALUE"""),8399.4)</f>
        <v>8399.4</v>
      </c>
      <c r="C3679" s="3">
        <f>IFERROR(__xludf.DUMMYFUNCTION("""COMPUTED_VALUE"""),8421.35)</f>
        <v>8421.35</v>
      </c>
      <c r="D3679" s="3">
        <f>IFERROR(__xludf.DUMMYFUNCTION("""COMPUTED_VALUE"""),8338.9)</f>
        <v>8338.9</v>
      </c>
      <c r="E3679" s="3">
        <f>IFERROR(__xludf.DUMMYFUNCTION("""COMPUTED_VALUE"""),8360.85)</f>
        <v>8360.85</v>
      </c>
      <c r="F3679" s="3">
        <f>IFERROR(__xludf.DUMMYFUNCTION("""COMPUTED_VALUE"""),0.0)</f>
        <v>0</v>
      </c>
    </row>
    <row r="3680">
      <c r="A3680" s="7">
        <f>IFERROR(__xludf.DUMMYFUNCTION("""COMPUTED_VALUE"""),42180.64583333333)</f>
        <v>42180.64583</v>
      </c>
      <c r="B3680" s="3">
        <f>IFERROR(__xludf.DUMMYFUNCTION("""COMPUTED_VALUE"""),8336.25)</f>
        <v>8336.25</v>
      </c>
      <c r="C3680" s="3">
        <f>IFERROR(__xludf.DUMMYFUNCTION("""COMPUTED_VALUE"""),8423.15)</f>
        <v>8423.15</v>
      </c>
      <c r="D3680" s="3">
        <f>IFERROR(__xludf.DUMMYFUNCTION("""COMPUTED_VALUE"""),8329.5)</f>
        <v>8329.5</v>
      </c>
      <c r="E3680" s="3">
        <f>IFERROR(__xludf.DUMMYFUNCTION("""COMPUTED_VALUE"""),8398.0)</f>
        <v>8398</v>
      </c>
      <c r="F3680" s="3">
        <f>IFERROR(__xludf.DUMMYFUNCTION("""COMPUTED_VALUE"""),0.0)</f>
        <v>0</v>
      </c>
    </row>
    <row r="3681">
      <c r="A3681" s="7">
        <f>IFERROR(__xludf.DUMMYFUNCTION("""COMPUTED_VALUE"""),42181.64583333333)</f>
        <v>42181.64583</v>
      </c>
      <c r="B3681" s="3">
        <f>IFERROR(__xludf.DUMMYFUNCTION("""COMPUTED_VALUE"""),8393.95)</f>
        <v>8393.95</v>
      </c>
      <c r="C3681" s="3">
        <f>IFERROR(__xludf.DUMMYFUNCTION("""COMPUTED_VALUE"""),8408.55)</f>
        <v>8408.55</v>
      </c>
      <c r="D3681" s="3">
        <f>IFERROR(__xludf.DUMMYFUNCTION("""COMPUTED_VALUE"""),8339.7)</f>
        <v>8339.7</v>
      </c>
      <c r="E3681" s="3">
        <f>IFERROR(__xludf.DUMMYFUNCTION("""COMPUTED_VALUE"""),8381.1)</f>
        <v>8381.1</v>
      </c>
      <c r="F3681" s="3">
        <f>IFERROR(__xludf.DUMMYFUNCTION("""COMPUTED_VALUE"""),0.0)</f>
        <v>0</v>
      </c>
    </row>
    <row r="3682">
      <c r="A3682" s="7">
        <f>IFERROR(__xludf.DUMMYFUNCTION("""COMPUTED_VALUE"""),42184.64583333333)</f>
        <v>42184.64583</v>
      </c>
      <c r="B3682" s="3">
        <f>IFERROR(__xludf.DUMMYFUNCTION("""COMPUTED_VALUE"""),8247.05)</f>
        <v>8247.05</v>
      </c>
      <c r="C3682" s="3">
        <f>IFERROR(__xludf.DUMMYFUNCTION("""COMPUTED_VALUE"""),8329.45)</f>
        <v>8329.45</v>
      </c>
      <c r="D3682" s="3">
        <f>IFERROR(__xludf.DUMMYFUNCTION("""COMPUTED_VALUE"""),8195.65)</f>
        <v>8195.65</v>
      </c>
      <c r="E3682" s="3">
        <f>IFERROR(__xludf.DUMMYFUNCTION("""COMPUTED_VALUE"""),8318.4)</f>
        <v>8318.4</v>
      </c>
      <c r="F3682" s="3">
        <f>IFERROR(__xludf.DUMMYFUNCTION("""COMPUTED_VALUE"""),0.0)</f>
        <v>0</v>
      </c>
    </row>
    <row r="3683">
      <c r="A3683" s="7">
        <f>IFERROR(__xludf.DUMMYFUNCTION("""COMPUTED_VALUE"""),42185.64583333333)</f>
        <v>42185.64583</v>
      </c>
      <c r="B3683" s="3">
        <f>IFERROR(__xludf.DUMMYFUNCTION("""COMPUTED_VALUE"""),8316.35)</f>
        <v>8316.35</v>
      </c>
      <c r="C3683" s="3">
        <f>IFERROR(__xludf.DUMMYFUNCTION("""COMPUTED_VALUE"""),8378.0)</f>
        <v>8378</v>
      </c>
      <c r="D3683" s="3">
        <f>IFERROR(__xludf.DUMMYFUNCTION("""COMPUTED_VALUE"""),8298.95)</f>
        <v>8298.95</v>
      </c>
      <c r="E3683" s="3">
        <f>IFERROR(__xludf.DUMMYFUNCTION("""COMPUTED_VALUE"""),8368.5)</f>
        <v>8368.5</v>
      </c>
      <c r="F3683" s="3">
        <f>IFERROR(__xludf.DUMMYFUNCTION("""COMPUTED_VALUE"""),0.0)</f>
        <v>0</v>
      </c>
    </row>
    <row r="3684">
      <c r="A3684" s="7">
        <f>IFERROR(__xludf.DUMMYFUNCTION("""COMPUTED_VALUE"""),42186.64583333333)</f>
        <v>42186.64583</v>
      </c>
      <c r="B3684" s="3">
        <f>IFERROR(__xludf.DUMMYFUNCTION("""COMPUTED_VALUE"""),8376.25)</f>
        <v>8376.25</v>
      </c>
      <c r="C3684" s="3">
        <f>IFERROR(__xludf.DUMMYFUNCTION("""COMPUTED_VALUE"""),8481.6)</f>
        <v>8481.6</v>
      </c>
      <c r="D3684" s="3">
        <f>IFERROR(__xludf.DUMMYFUNCTION("""COMPUTED_VALUE"""),8370.15)</f>
        <v>8370.15</v>
      </c>
      <c r="E3684" s="3">
        <f>IFERROR(__xludf.DUMMYFUNCTION("""COMPUTED_VALUE"""),8453.05)</f>
        <v>8453.05</v>
      </c>
      <c r="F3684" s="3">
        <f>IFERROR(__xludf.DUMMYFUNCTION("""COMPUTED_VALUE"""),0.0)</f>
        <v>0</v>
      </c>
    </row>
    <row r="3685">
      <c r="A3685" s="7">
        <f>IFERROR(__xludf.DUMMYFUNCTION("""COMPUTED_VALUE"""),42187.64583333333)</f>
        <v>42187.64583</v>
      </c>
      <c r="B3685" s="3">
        <f>IFERROR(__xludf.DUMMYFUNCTION("""COMPUTED_VALUE"""),8471.95)</f>
        <v>8471.95</v>
      </c>
      <c r="C3685" s="3">
        <f>IFERROR(__xludf.DUMMYFUNCTION("""COMPUTED_VALUE"""),8479.25)</f>
        <v>8479.25</v>
      </c>
      <c r="D3685" s="3">
        <f>IFERROR(__xludf.DUMMYFUNCTION("""COMPUTED_VALUE"""),8433.2)</f>
        <v>8433.2</v>
      </c>
      <c r="E3685" s="3">
        <f>IFERROR(__xludf.DUMMYFUNCTION("""COMPUTED_VALUE"""),8444.9)</f>
        <v>8444.9</v>
      </c>
      <c r="F3685" s="3">
        <f>IFERROR(__xludf.DUMMYFUNCTION("""COMPUTED_VALUE"""),0.0)</f>
        <v>0</v>
      </c>
    </row>
    <row r="3686">
      <c r="A3686" s="7">
        <f>IFERROR(__xludf.DUMMYFUNCTION("""COMPUTED_VALUE"""),42188.64583333333)</f>
        <v>42188.64583</v>
      </c>
      <c r="B3686" s="3">
        <f>IFERROR(__xludf.DUMMYFUNCTION("""COMPUTED_VALUE"""),8440.1)</f>
        <v>8440.1</v>
      </c>
      <c r="C3686" s="3">
        <f>IFERROR(__xludf.DUMMYFUNCTION("""COMPUTED_VALUE"""),8497.75)</f>
        <v>8497.75</v>
      </c>
      <c r="D3686" s="3">
        <f>IFERROR(__xludf.DUMMYFUNCTION("""COMPUTED_VALUE"""),8424.15)</f>
        <v>8424.15</v>
      </c>
      <c r="E3686" s="3">
        <f>IFERROR(__xludf.DUMMYFUNCTION("""COMPUTED_VALUE"""),8484.9)</f>
        <v>8484.9</v>
      </c>
      <c r="F3686" s="3">
        <f>IFERROR(__xludf.DUMMYFUNCTION("""COMPUTED_VALUE"""),0.0)</f>
        <v>0</v>
      </c>
    </row>
    <row r="3687">
      <c r="A3687" s="7">
        <f>IFERROR(__xludf.DUMMYFUNCTION("""COMPUTED_VALUE"""),42191.64583333333)</f>
        <v>42191.64583</v>
      </c>
      <c r="B3687" s="3">
        <f>IFERROR(__xludf.DUMMYFUNCTION("""COMPUTED_VALUE"""),8386.15)</f>
        <v>8386.15</v>
      </c>
      <c r="C3687" s="3">
        <f>IFERROR(__xludf.DUMMYFUNCTION("""COMPUTED_VALUE"""),8533.15)</f>
        <v>8533.15</v>
      </c>
      <c r="D3687" s="3">
        <f>IFERROR(__xludf.DUMMYFUNCTION("""COMPUTED_VALUE"""),8386.15)</f>
        <v>8386.15</v>
      </c>
      <c r="E3687" s="3">
        <f>IFERROR(__xludf.DUMMYFUNCTION("""COMPUTED_VALUE"""),8522.15)</f>
        <v>8522.15</v>
      </c>
      <c r="F3687" s="3">
        <f>IFERROR(__xludf.DUMMYFUNCTION("""COMPUTED_VALUE"""),0.0)</f>
        <v>0</v>
      </c>
    </row>
    <row r="3688">
      <c r="A3688" s="7">
        <f>IFERROR(__xludf.DUMMYFUNCTION("""COMPUTED_VALUE"""),42192.64583333333)</f>
        <v>42192.64583</v>
      </c>
      <c r="B3688" s="3">
        <f>IFERROR(__xludf.DUMMYFUNCTION("""COMPUTED_VALUE"""),8525.5)</f>
        <v>8525.5</v>
      </c>
      <c r="C3688" s="3">
        <f>IFERROR(__xludf.DUMMYFUNCTION("""COMPUTED_VALUE"""),8561.35)</f>
        <v>8561.35</v>
      </c>
      <c r="D3688" s="3">
        <f>IFERROR(__xludf.DUMMYFUNCTION("""COMPUTED_VALUE"""),8483.85)</f>
        <v>8483.85</v>
      </c>
      <c r="E3688" s="3">
        <f>IFERROR(__xludf.DUMMYFUNCTION("""COMPUTED_VALUE"""),8510.8)</f>
        <v>8510.8</v>
      </c>
      <c r="F3688" s="3">
        <f>IFERROR(__xludf.DUMMYFUNCTION("""COMPUTED_VALUE"""),0.0)</f>
        <v>0</v>
      </c>
    </row>
    <row r="3689">
      <c r="A3689" s="7">
        <f>IFERROR(__xludf.DUMMYFUNCTION("""COMPUTED_VALUE"""),42193.64583333333)</f>
        <v>42193.64583</v>
      </c>
      <c r="B3689" s="3">
        <f>IFERROR(__xludf.DUMMYFUNCTION("""COMPUTED_VALUE"""),8439.2)</f>
        <v>8439.2</v>
      </c>
      <c r="C3689" s="3">
        <f>IFERROR(__xludf.DUMMYFUNCTION("""COMPUTED_VALUE"""),8457.5)</f>
        <v>8457.5</v>
      </c>
      <c r="D3689" s="3">
        <f>IFERROR(__xludf.DUMMYFUNCTION("""COMPUTED_VALUE"""),8341.4)</f>
        <v>8341.4</v>
      </c>
      <c r="E3689" s="3">
        <f>IFERROR(__xludf.DUMMYFUNCTION("""COMPUTED_VALUE"""),8363.05)</f>
        <v>8363.05</v>
      </c>
      <c r="F3689" s="3">
        <f>IFERROR(__xludf.DUMMYFUNCTION("""COMPUTED_VALUE"""),0.0)</f>
        <v>0</v>
      </c>
    </row>
    <row r="3690">
      <c r="A3690" s="7">
        <f>IFERROR(__xludf.DUMMYFUNCTION("""COMPUTED_VALUE"""),42194.64583333333)</f>
        <v>42194.64583</v>
      </c>
      <c r="B3690" s="3">
        <f>IFERROR(__xludf.DUMMYFUNCTION("""COMPUTED_VALUE"""),8364.85)</f>
        <v>8364.85</v>
      </c>
      <c r="C3690" s="3">
        <f>IFERROR(__xludf.DUMMYFUNCTION("""COMPUTED_VALUE"""),8400.3)</f>
        <v>8400.3</v>
      </c>
      <c r="D3690" s="3">
        <f>IFERROR(__xludf.DUMMYFUNCTION("""COMPUTED_VALUE"""),8323.0)</f>
        <v>8323</v>
      </c>
      <c r="E3690" s="3">
        <f>IFERROR(__xludf.DUMMYFUNCTION("""COMPUTED_VALUE"""),8328.55)</f>
        <v>8328.55</v>
      </c>
      <c r="F3690" s="3">
        <f>IFERROR(__xludf.DUMMYFUNCTION("""COMPUTED_VALUE"""),0.0)</f>
        <v>0</v>
      </c>
    </row>
    <row r="3691">
      <c r="A3691" s="7">
        <f>IFERROR(__xludf.DUMMYFUNCTION("""COMPUTED_VALUE"""),42195.64583333333)</f>
        <v>42195.64583</v>
      </c>
      <c r="B3691" s="3">
        <f>IFERROR(__xludf.DUMMYFUNCTION("""COMPUTED_VALUE"""),8365.7)</f>
        <v>8365.7</v>
      </c>
      <c r="C3691" s="3">
        <f>IFERROR(__xludf.DUMMYFUNCTION("""COMPUTED_VALUE"""),8377.1)</f>
        <v>8377.1</v>
      </c>
      <c r="D3691" s="3">
        <f>IFERROR(__xludf.DUMMYFUNCTION("""COMPUTED_VALUE"""),8315.4)</f>
        <v>8315.4</v>
      </c>
      <c r="E3691" s="3">
        <f>IFERROR(__xludf.DUMMYFUNCTION("""COMPUTED_VALUE"""),8360.55)</f>
        <v>8360.55</v>
      </c>
      <c r="F3691" s="3">
        <f>IFERROR(__xludf.DUMMYFUNCTION("""COMPUTED_VALUE"""),0.0)</f>
        <v>0</v>
      </c>
    </row>
    <row r="3692">
      <c r="A3692" s="7">
        <f>IFERROR(__xludf.DUMMYFUNCTION("""COMPUTED_VALUE"""),42198.64583333333)</f>
        <v>42198.64583</v>
      </c>
      <c r="B3692" s="3">
        <f>IFERROR(__xludf.DUMMYFUNCTION("""COMPUTED_VALUE"""),8397.25)</f>
        <v>8397.25</v>
      </c>
      <c r="C3692" s="3">
        <f>IFERROR(__xludf.DUMMYFUNCTION("""COMPUTED_VALUE"""),8471.65)</f>
        <v>8471.65</v>
      </c>
      <c r="D3692" s="3">
        <f>IFERROR(__xludf.DUMMYFUNCTION("""COMPUTED_VALUE"""),8355.4)</f>
        <v>8355.4</v>
      </c>
      <c r="E3692" s="3">
        <f>IFERROR(__xludf.DUMMYFUNCTION("""COMPUTED_VALUE"""),8459.65)</f>
        <v>8459.65</v>
      </c>
      <c r="F3692" s="3">
        <f>IFERROR(__xludf.DUMMYFUNCTION("""COMPUTED_VALUE"""),0.0)</f>
        <v>0</v>
      </c>
    </row>
    <row r="3693">
      <c r="A3693" s="7">
        <f>IFERROR(__xludf.DUMMYFUNCTION("""COMPUTED_VALUE"""),42199.64583333333)</f>
        <v>42199.64583</v>
      </c>
      <c r="B3693" s="3">
        <f>IFERROR(__xludf.DUMMYFUNCTION("""COMPUTED_VALUE"""),8470.6)</f>
        <v>8470.6</v>
      </c>
      <c r="C3693" s="3">
        <f>IFERROR(__xludf.DUMMYFUNCTION("""COMPUTED_VALUE"""),8480.25)</f>
        <v>8480.25</v>
      </c>
      <c r="D3693" s="3">
        <f>IFERROR(__xludf.DUMMYFUNCTION("""COMPUTED_VALUE"""),8424.1)</f>
        <v>8424.1</v>
      </c>
      <c r="E3693" s="3">
        <f>IFERROR(__xludf.DUMMYFUNCTION("""COMPUTED_VALUE"""),8454.1)</f>
        <v>8454.1</v>
      </c>
      <c r="F3693" s="3">
        <f>IFERROR(__xludf.DUMMYFUNCTION("""COMPUTED_VALUE"""),0.0)</f>
        <v>0</v>
      </c>
    </row>
    <row r="3694">
      <c r="A3694" s="7">
        <f>IFERROR(__xludf.DUMMYFUNCTION("""COMPUTED_VALUE"""),42200.64583333333)</f>
        <v>42200.64583</v>
      </c>
      <c r="B3694" s="3">
        <f>IFERROR(__xludf.DUMMYFUNCTION("""COMPUTED_VALUE"""),8463.4)</f>
        <v>8463.4</v>
      </c>
      <c r="C3694" s="3">
        <f>IFERROR(__xludf.DUMMYFUNCTION("""COMPUTED_VALUE"""),8531.4)</f>
        <v>8531.4</v>
      </c>
      <c r="D3694" s="3">
        <f>IFERROR(__xludf.DUMMYFUNCTION("""COMPUTED_VALUE"""),8462.95)</f>
        <v>8462.95</v>
      </c>
      <c r="E3694" s="3">
        <f>IFERROR(__xludf.DUMMYFUNCTION("""COMPUTED_VALUE"""),8523.8)</f>
        <v>8523.8</v>
      </c>
      <c r="F3694" s="3">
        <f>IFERROR(__xludf.DUMMYFUNCTION("""COMPUTED_VALUE"""),0.0)</f>
        <v>0</v>
      </c>
    </row>
    <row r="3695">
      <c r="A3695" s="7">
        <f>IFERROR(__xludf.DUMMYFUNCTION("""COMPUTED_VALUE"""),42201.64583333333)</f>
        <v>42201.64583</v>
      </c>
      <c r="B3695" s="3">
        <f>IFERROR(__xludf.DUMMYFUNCTION("""COMPUTED_VALUE"""),8546.15)</f>
        <v>8546.15</v>
      </c>
      <c r="C3695" s="3">
        <f>IFERROR(__xludf.DUMMYFUNCTION("""COMPUTED_VALUE"""),8616.1)</f>
        <v>8616.1</v>
      </c>
      <c r="D3695" s="3">
        <f>IFERROR(__xludf.DUMMYFUNCTION("""COMPUTED_VALUE"""),8542.9)</f>
        <v>8542.9</v>
      </c>
      <c r="E3695" s="3">
        <f>IFERROR(__xludf.DUMMYFUNCTION("""COMPUTED_VALUE"""),8608.05)</f>
        <v>8608.05</v>
      </c>
      <c r="F3695" s="3">
        <f>IFERROR(__xludf.DUMMYFUNCTION("""COMPUTED_VALUE"""),0.0)</f>
        <v>0</v>
      </c>
    </row>
    <row r="3696">
      <c r="A3696" s="7">
        <f>IFERROR(__xludf.DUMMYFUNCTION("""COMPUTED_VALUE"""),42202.64583333333)</f>
        <v>42202.64583</v>
      </c>
      <c r="B3696" s="3">
        <f>IFERROR(__xludf.DUMMYFUNCTION("""COMPUTED_VALUE"""),8623.65)</f>
        <v>8623.65</v>
      </c>
      <c r="C3696" s="3">
        <f>IFERROR(__xludf.DUMMYFUNCTION("""COMPUTED_VALUE"""),8642.95)</f>
        <v>8642.95</v>
      </c>
      <c r="D3696" s="3">
        <f>IFERROR(__xludf.DUMMYFUNCTION("""COMPUTED_VALUE"""),8593.15)</f>
        <v>8593.15</v>
      </c>
      <c r="E3696" s="3">
        <f>IFERROR(__xludf.DUMMYFUNCTION("""COMPUTED_VALUE"""),8609.85)</f>
        <v>8609.85</v>
      </c>
      <c r="F3696" s="3">
        <f>IFERROR(__xludf.DUMMYFUNCTION("""COMPUTED_VALUE"""),0.0)</f>
        <v>0</v>
      </c>
    </row>
    <row r="3697">
      <c r="A3697" s="7">
        <f>IFERROR(__xludf.DUMMYFUNCTION("""COMPUTED_VALUE"""),42205.64583333333)</f>
        <v>42205.64583</v>
      </c>
      <c r="B3697" s="3">
        <f>IFERROR(__xludf.DUMMYFUNCTION("""COMPUTED_VALUE"""),8623.9)</f>
        <v>8623.9</v>
      </c>
      <c r="C3697" s="3">
        <f>IFERROR(__xludf.DUMMYFUNCTION("""COMPUTED_VALUE"""),8624.1)</f>
        <v>8624.1</v>
      </c>
      <c r="D3697" s="3">
        <f>IFERROR(__xludf.DUMMYFUNCTION("""COMPUTED_VALUE"""),8559.0)</f>
        <v>8559</v>
      </c>
      <c r="E3697" s="3">
        <f>IFERROR(__xludf.DUMMYFUNCTION("""COMPUTED_VALUE"""),8603.45)</f>
        <v>8603.45</v>
      </c>
      <c r="F3697" s="3">
        <f>IFERROR(__xludf.DUMMYFUNCTION("""COMPUTED_VALUE"""),0.0)</f>
        <v>0</v>
      </c>
    </row>
    <row r="3698">
      <c r="A3698" s="7">
        <f>IFERROR(__xludf.DUMMYFUNCTION("""COMPUTED_VALUE"""),42206.64583333333)</f>
        <v>42206.64583</v>
      </c>
      <c r="B3698" s="3">
        <f>IFERROR(__xludf.DUMMYFUNCTION("""COMPUTED_VALUE"""),8601.5)</f>
        <v>8601.5</v>
      </c>
      <c r="C3698" s="3">
        <f>IFERROR(__xludf.DUMMYFUNCTION("""COMPUTED_VALUE"""),8646.75)</f>
        <v>8646.75</v>
      </c>
      <c r="D3698" s="3">
        <f>IFERROR(__xludf.DUMMYFUNCTION("""COMPUTED_VALUE"""),8517.9)</f>
        <v>8517.9</v>
      </c>
      <c r="E3698" s="3">
        <f>IFERROR(__xludf.DUMMYFUNCTION("""COMPUTED_VALUE"""),8529.45)</f>
        <v>8529.45</v>
      </c>
      <c r="F3698" s="3">
        <f>IFERROR(__xludf.DUMMYFUNCTION("""COMPUTED_VALUE"""),0.0)</f>
        <v>0</v>
      </c>
    </row>
    <row r="3699">
      <c r="A3699" s="7">
        <f>IFERROR(__xludf.DUMMYFUNCTION("""COMPUTED_VALUE"""),42207.64583333333)</f>
        <v>42207.64583</v>
      </c>
      <c r="B3699" s="3">
        <f>IFERROR(__xludf.DUMMYFUNCTION("""COMPUTED_VALUE"""),8512.25)</f>
        <v>8512.25</v>
      </c>
      <c r="C3699" s="3">
        <f>IFERROR(__xludf.DUMMYFUNCTION("""COMPUTED_VALUE"""),8643.9)</f>
        <v>8643.9</v>
      </c>
      <c r="D3699" s="3">
        <f>IFERROR(__xludf.DUMMYFUNCTION("""COMPUTED_VALUE"""),8498.65)</f>
        <v>8498.65</v>
      </c>
      <c r="E3699" s="3">
        <f>IFERROR(__xludf.DUMMYFUNCTION("""COMPUTED_VALUE"""),8633.5)</f>
        <v>8633.5</v>
      </c>
      <c r="F3699" s="3">
        <f>IFERROR(__xludf.DUMMYFUNCTION("""COMPUTED_VALUE"""),0.0)</f>
        <v>0</v>
      </c>
    </row>
    <row r="3700">
      <c r="A3700" s="7">
        <f>IFERROR(__xludf.DUMMYFUNCTION("""COMPUTED_VALUE"""),42208.64583333333)</f>
        <v>42208.64583</v>
      </c>
      <c r="B3700" s="3">
        <f>IFERROR(__xludf.DUMMYFUNCTION("""COMPUTED_VALUE"""),8643.95)</f>
        <v>8643.95</v>
      </c>
      <c r="C3700" s="3">
        <f>IFERROR(__xludf.DUMMYFUNCTION("""COMPUTED_VALUE"""),8654.75)</f>
        <v>8654.75</v>
      </c>
      <c r="D3700" s="3">
        <f>IFERROR(__xludf.DUMMYFUNCTION("""COMPUTED_VALUE"""),8573.8)</f>
        <v>8573.8</v>
      </c>
      <c r="E3700" s="3">
        <f>IFERROR(__xludf.DUMMYFUNCTION("""COMPUTED_VALUE"""),8589.8)</f>
        <v>8589.8</v>
      </c>
      <c r="F3700" s="3">
        <f>IFERROR(__xludf.DUMMYFUNCTION("""COMPUTED_VALUE"""),0.0)</f>
        <v>0</v>
      </c>
    </row>
    <row r="3701">
      <c r="A3701" s="7">
        <f>IFERROR(__xludf.DUMMYFUNCTION("""COMPUTED_VALUE"""),42209.64583333333)</f>
        <v>42209.64583</v>
      </c>
      <c r="B3701" s="3">
        <f>IFERROR(__xludf.DUMMYFUNCTION("""COMPUTED_VALUE"""),8588.15)</f>
        <v>8588.15</v>
      </c>
      <c r="C3701" s="3">
        <f>IFERROR(__xludf.DUMMYFUNCTION("""COMPUTED_VALUE"""),8589.15)</f>
        <v>8589.15</v>
      </c>
      <c r="D3701" s="3">
        <f>IFERROR(__xludf.DUMMYFUNCTION("""COMPUTED_VALUE"""),8513.5)</f>
        <v>8513.5</v>
      </c>
      <c r="E3701" s="3">
        <f>IFERROR(__xludf.DUMMYFUNCTION("""COMPUTED_VALUE"""),8521.55)</f>
        <v>8521.55</v>
      </c>
      <c r="F3701" s="3">
        <f>IFERROR(__xludf.DUMMYFUNCTION("""COMPUTED_VALUE"""),0.0)</f>
        <v>0</v>
      </c>
    </row>
    <row r="3702">
      <c r="A3702" s="7">
        <f>IFERROR(__xludf.DUMMYFUNCTION("""COMPUTED_VALUE"""),42212.64583333333)</f>
        <v>42212.64583</v>
      </c>
      <c r="B3702" s="3">
        <f>IFERROR(__xludf.DUMMYFUNCTION("""COMPUTED_VALUE"""),8492.1)</f>
        <v>8492.1</v>
      </c>
      <c r="C3702" s="3">
        <f>IFERROR(__xludf.DUMMYFUNCTION("""COMPUTED_VALUE"""),8492.2)</f>
        <v>8492.2</v>
      </c>
      <c r="D3702" s="3">
        <f>IFERROR(__xludf.DUMMYFUNCTION("""COMPUTED_VALUE"""),8351.55)</f>
        <v>8351.55</v>
      </c>
      <c r="E3702" s="3">
        <f>IFERROR(__xludf.DUMMYFUNCTION("""COMPUTED_VALUE"""),8361.0)</f>
        <v>8361</v>
      </c>
      <c r="F3702" s="3">
        <f>IFERROR(__xludf.DUMMYFUNCTION("""COMPUTED_VALUE"""),0.0)</f>
        <v>0</v>
      </c>
    </row>
    <row r="3703">
      <c r="A3703" s="7">
        <f>IFERROR(__xludf.DUMMYFUNCTION("""COMPUTED_VALUE"""),42213.64583333333)</f>
        <v>42213.64583</v>
      </c>
      <c r="B3703" s="3">
        <f>IFERROR(__xludf.DUMMYFUNCTION("""COMPUTED_VALUE"""),8371.1)</f>
        <v>8371.1</v>
      </c>
      <c r="C3703" s="3">
        <f>IFERROR(__xludf.DUMMYFUNCTION("""COMPUTED_VALUE"""),8397.4)</f>
        <v>8397.4</v>
      </c>
      <c r="D3703" s="3">
        <f>IFERROR(__xludf.DUMMYFUNCTION("""COMPUTED_VALUE"""),8321.75)</f>
        <v>8321.75</v>
      </c>
      <c r="E3703" s="3">
        <f>IFERROR(__xludf.DUMMYFUNCTION("""COMPUTED_VALUE"""),8337.0)</f>
        <v>8337</v>
      </c>
      <c r="F3703" s="3">
        <f>IFERROR(__xludf.DUMMYFUNCTION("""COMPUTED_VALUE"""),0.0)</f>
        <v>0</v>
      </c>
    </row>
    <row r="3704">
      <c r="A3704" s="7">
        <f>IFERROR(__xludf.DUMMYFUNCTION("""COMPUTED_VALUE"""),42214.64583333333)</f>
        <v>42214.64583</v>
      </c>
      <c r="B3704" s="3">
        <f>IFERROR(__xludf.DUMMYFUNCTION("""COMPUTED_VALUE"""),8365.6)</f>
        <v>8365.6</v>
      </c>
      <c r="C3704" s="3">
        <f>IFERROR(__xludf.DUMMYFUNCTION("""COMPUTED_VALUE"""),8381.5)</f>
        <v>8381.5</v>
      </c>
      <c r="D3704" s="3">
        <f>IFERROR(__xludf.DUMMYFUNCTION("""COMPUTED_VALUE"""),8338.45)</f>
        <v>8338.45</v>
      </c>
      <c r="E3704" s="3">
        <f>IFERROR(__xludf.DUMMYFUNCTION("""COMPUTED_VALUE"""),8375.05)</f>
        <v>8375.05</v>
      </c>
      <c r="F3704" s="3">
        <f>IFERROR(__xludf.DUMMYFUNCTION("""COMPUTED_VALUE"""),0.0)</f>
        <v>0</v>
      </c>
    </row>
    <row r="3705">
      <c r="A3705" s="7">
        <f>IFERROR(__xludf.DUMMYFUNCTION("""COMPUTED_VALUE"""),42215.64583333333)</f>
        <v>42215.64583</v>
      </c>
      <c r="B3705" s="3">
        <f>IFERROR(__xludf.DUMMYFUNCTION("""COMPUTED_VALUE"""),8417.0)</f>
        <v>8417</v>
      </c>
      <c r="C3705" s="3">
        <f>IFERROR(__xludf.DUMMYFUNCTION("""COMPUTED_VALUE"""),8458.9)</f>
        <v>8458.9</v>
      </c>
      <c r="D3705" s="3">
        <f>IFERROR(__xludf.DUMMYFUNCTION("""COMPUTED_VALUE"""),8408.3)</f>
        <v>8408.3</v>
      </c>
      <c r="E3705" s="3">
        <f>IFERROR(__xludf.DUMMYFUNCTION("""COMPUTED_VALUE"""),8421.8)</f>
        <v>8421.8</v>
      </c>
      <c r="F3705" s="3">
        <f>IFERROR(__xludf.DUMMYFUNCTION("""COMPUTED_VALUE"""),0.0)</f>
        <v>0</v>
      </c>
    </row>
    <row r="3706">
      <c r="A3706" s="7">
        <f>IFERROR(__xludf.DUMMYFUNCTION("""COMPUTED_VALUE"""),42216.64583333333)</f>
        <v>42216.64583</v>
      </c>
      <c r="B3706" s="3">
        <f>IFERROR(__xludf.DUMMYFUNCTION("""COMPUTED_VALUE"""),8456.1)</f>
        <v>8456.1</v>
      </c>
      <c r="C3706" s="3">
        <f>IFERROR(__xludf.DUMMYFUNCTION("""COMPUTED_VALUE"""),8548.95)</f>
        <v>8548.95</v>
      </c>
      <c r="D3706" s="3">
        <f>IFERROR(__xludf.DUMMYFUNCTION("""COMPUTED_VALUE"""),8448.0)</f>
        <v>8448</v>
      </c>
      <c r="E3706" s="3">
        <f>IFERROR(__xludf.DUMMYFUNCTION("""COMPUTED_VALUE"""),8532.85)</f>
        <v>8532.85</v>
      </c>
      <c r="F3706" s="3">
        <f>IFERROR(__xludf.DUMMYFUNCTION("""COMPUTED_VALUE"""),0.0)</f>
        <v>0</v>
      </c>
    </row>
    <row r="3707">
      <c r="A3707" s="7">
        <f>IFERROR(__xludf.DUMMYFUNCTION("""COMPUTED_VALUE"""),42219.64583333333)</f>
        <v>42219.64583</v>
      </c>
      <c r="B3707" s="3">
        <f>IFERROR(__xludf.DUMMYFUNCTION("""COMPUTED_VALUE"""),8510.65)</f>
        <v>8510.65</v>
      </c>
      <c r="C3707" s="3">
        <f>IFERROR(__xludf.DUMMYFUNCTION("""COMPUTED_VALUE"""),8563.95)</f>
        <v>8563.95</v>
      </c>
      <c r="D3707" s="3">
        <f>IFERROR(__xludf.DUMMYFUNCTION("""COMPUTED_VALUE"""),8508.1)</f>
        <v>8508.1</v>
      </c>
      <c r="E3707" s="3">
        <f>IFERROR(__xludf.DUMMYFUNCTION("""COMPUTED_VALUE"""),8543.05)</f>
        <v>8543.05</v>
      </c>
      <c r="F3707" s="3">
        <f>IFERROR(__xludf.DUMMYFUNCTION("""COMPUTED_VALUE"""),0.0)</f>
        <v>0</v>
      </c>
    </row>
    <row r="3708">
      <c r="A3708" s="7">
        <f>IFERROR(__xludf.DUMMYFUNCTION("""COMPUTED_VALUE"""),42220.64583333333)</f>
        <v>42220.64583</v>
      </c>
      <c r="B3708" s="3">
        <f>IFERROR(__xludf.DUMMYFUNCTION("""COMPUTED_VALUE"""),8564.1)</f>
        <v>8564.1</v>
      </c>
      <c r="C3708" s="3">
        <f>IFERROR(__xludf.DUMMYFUNCTION("""COMPUTED_VALUE"""),8565.15)</f>
        <v>8565.15</v>
      </c>
      <c r="D3708" s="3">
        <f>IFERROR(__xludf.DUMMYFUNCTION("""COMPUTED_VALUE"""),8448.25)</f>
        <v>8448.25</v>
      </c>
      <c r="E3708" s="3">
        <f>IFERROR(__xludf.DUMMYFUNCTION("""COMPUTED_VALUE"""),8516.9)</f>
        <v>8516.9</v>
      </c>
      <c r="F3708" s="3">
        <f>IFERROR(__xludf.DUMMYFUNCTION("""COMPUTED_VALUE"""),0.0)</f>
        <v>0</v>
      </c>
    </row>
    <row r="3709">
      <c r="A3709" s="7">
        <f>IFERROR(__xludf.DUMMYFUNCTION("""COMPUTED_VALUE"""),42221.64583333333)</f>
        <v>42221.64583</v>
      </c>
      <c r="B3709" s="3">
        <f>IFERROR(__xludf.DUMMYFUNCTION("""COMPUTED_VALUE"""),8547.45)</f>
        <v>8547.45</v>
      </c>
      <c r="C3709" s="3">
        <f>IFERROR(__xludf.DUMMYFUNCTION("""COMPUTED_VALUE"""),8591.85)</f>
        <v>8591.85</v>
      </c>
      <c r="D3709" s="3">
        <f>IFERROR(__xludf.DUMMYFUNCTION("""COMPUTED_VALUE"""),8545.85)</f>
        <v>8545.85</v>
      </c>
      <c r="E3709" s="3">
        <f>IFERROR(__xludf.DUMMYFUNCTION("""COMPUTED_VALUE"""),8567.95)</f>
        <v>8567.95</v>
      </c>
      <c r="F3709" s="3">
        <f>IFERROR(__xludf.DUMMYFUNCTION("""COMPUTED_VALUE"""),0.0)</f>
        <v>0</v>
      </c>
    </row>
    <row r="3710">
      <c r="A3710" s="7">
        <f>IFERROR(__xludf.DUMMYFUNCTION("""COMPUTED_VALUE"""),42222.64583333333)</f>
        <v>42222.64583</v>
      </c>
      <c r="B3710" s="3">
        <f>IFERROR(__xludf.DUMMYFUNCTION("""COMPUTED_VALUE"""),8585.8)</f>
        <v>8585.8</v>
      </c>
      <c r="C3710" s="3">
        <f>IFERROR(__xludf.DUMMYFUNCTION("""COMPUTED_VALUE"""),8606.3)</f>
        <v>8606.3</v>
      </c>
      <c r="D3710" s="3">
        <f>IFERROR(__xludf.DUMMYFUNCTION("""COMPUTED_VALUE"""),8551.5)</f>
        <v>8551.5</v>
      </c>
      <c r="E3710" s="3">
        <f>IFERROR(__xludf.DUMMYFUNCTION("""COMPUTED_VALUE"""),8588.65)</f>
        <v>8588.65</v>
      </c>
      <c r="F3710" s="3">
        <f>IFERROR(__xludf.DUMMYFUNCTION("""COMPUTED_VALUE"""),0.0)</f>
        <v>0</v>
      </c>
    </row>
    <row r="3711">
      <c r="A3711" s="7">
        <f>IFERROR(__xludf.DUMMYFUNCTION("""COMPUTED_VALUE"""),42223.64583333333)</f>
        <v>42223.64583</v>
      </c>
      <c r="B3711" s="3">
        <f>IFERROR(__xludf.DUMMYFUNCTION("""COMPUTED_VALUE"""),8580.8)</f>
        <v>8580.8</v>
      </c>
      <c r="C3711" s="3">
        <f>IFERROR(__xludf.DUMMYFUNCTION("""COMPUTED_VALUE"""),8595.95)</f>
        <v>8595.95</v>
      </c>
      <c r="D3711" s="3">
        <f>IFERROR(__xludf.DUMMYFUNCTION("""COMPUTED_VALUE"""),8552.7)</f>
        <v>8552.7</v>
      </c>
      <c r="E3711" s="3">
        <f>IFERROR(__xludf.DUMMYFUNCTION("""COMPUTED_VALUE"""),8564.6)</f>
        <v>8564.6</v>
      </c>
      <c r="F3711" s="3">
        <f>IFERROR(__xludf.DUMMYFUNCTION("""COMPUTED_VALUE"""),0.0)</f>
        <v>0</v>
      </c>
    </row>
    <row r="3712">
      <c r="A3712" s="7">
        <f>IFERROR(__xludf.DUMMYFUNCTION("""COMPUTED_VALUE"""),42226.64583333333)</f>
        <v>42226.64583</v>
      </c>
      <c r="B3712" s="3">
        <f>IFERROR(__xludf.DUMMYFUNCTION("""COMPUTED_VALUE"""),8577.0)</f>
        <v>8577</v>
      </c>
      <c r="C3712" s="3">
        <f>IFERROR(__xludf.DUMMYFUNCTION("""COMPUTED_VALUE"""),8621.55)</f>
        <v>8621.55</v>
      </c>
      <c r="D3712" s="3">
        <f>IFERROR(__xludf.DUMMYFUNCTION("""COMPUTED_VALUE"""),8497.8)</f>
        <v>8497.8</v>
      </c>
      <c r="E3712" s="3">
        <f>IFERROR(__xludf.DUMMYFUNCTION("""COMPUTED_VALUE"""),8525.6)</f>
        <v>8525.6</v>
      </c>
      <c r="F3712" s="3">
        <f>IFERROR(__xludf.DUMMYFUNCTION("""COMPUTED_VALUE"""),0.0)</f>
        <v>0</v>
      </c>
    </row>
    <row r="3713">
      <c r="A3713" s="7">
        <f>IFERROR(__xludf.DUMMYFUNCTION("""COMPUTED_VALUE"""),42227.64583333333)</f>
        <v>42227.64583</v>
      </c>
      <c r="B3713" s="3">
        <f>IFERROR(__xludf.DUMMYFUNCTION("""COMPUTED_VALUE"""),8548.45)</f>
        <v>8548.45</v>
      </c>
      <c r="C3713" s="3">
        <f>IFERROR(__xludf.DUMMYFUNCTION("""COMPUTED_VALUE"""),8556.25)</f>
        <v>8556.25</v>
      </c>
      <c r="D3713" s="3">
        <f>IFERROR(__xludf.DUMMYFUNCTION("""COMPUTED_VALUE"""),8441.3)</f>
        <v>8441.3</v>
      </c>
      <c r="E3713" s="3">
        <f>IFERROR(__xludf.DUMMYFUNCTION("""COMPUTED_VALUE"""),8462.35)</f>
        <v>8462.35</v>
      </c>
      <c r="F3713" s="3">
        <f>IFERROR(__xludf.DUMMYFUNCTION("""COMPUTED_VALUE"""),0.0)</f>
        <v>0</v>
      </c>
    </row>
    <row r="3714">
      <c r="A3714" s="7">
        <f>IFERROR(__xludf.DUMMYFUNCTION("""COMPUTED_VALUE"""),42228.64583333333)</f>
        <v>42228.64583</v>
      </c>
      <c r="B3714" s="3">
        <f>IFERROR(__xludf.DUMMYFUNCTION("""COMPUTED_VALUE"""),8445.7)</f>
        <v>8445.7</v>
      </c>
      <c r="C3714" s="3">
        <f>IFERROR(__xludf.DUMMYFUNCTION("""COMPUTED_VALUE"""),8446.95)</f>
        <v>8446.95</v>
      </c>
      <c r="D3714" s="3">
        <f>IFERROR(__xludf.DUMMYFUNCTION("""COMPUTED_VALUE"""),8337.95)</f>
        <v>8337.95</v>
      </c>
      <c r="E3714" s="3">
        <f>IFERROR(__xludf.DUMMYFUNCTION("""COMPUTED_VALUE"""),8349.45)</f>
        <v>8349.45</v>
      </c>
      <c r="F3714" s="3">
        <f>IFERROR(__xludf.DUMMYFUNCTION("""COMPUTED_VALUE"""),0.0)</f>
        <v>0</v>
      </c>
    </row>
    <row r="3715">
      <c r="A3715" s="7">
        <f>IFERROR(__xludf.DUMMYFUNCTION("""COMPUTED_VALUE"""),42229.64583333333)</f>
        <v>42229.64583</v>
      </c>
      <c r="B3715" s="3">
        <f>IFERROR(__xludf.DUMMYFUNCTION("""COMPUTED_VALUE"""),8384.45)</f>
        <v>8384.45</v>
      </c>
      <c r="C3715" s="3">
        <f>IFERROR(__xludf.DUMMYFUNCTION("""COMPUTED_VALUE"""),8429.5)</f>
        <v>8429.5</v>
      </c>
      <c r="D3715" s="3">
        <f>IFERROR(__xludf.DUMMYFUNCTION("""COMPUTED_VALUE"""),8339.75)</f>
        <v>8339.75</v>
      </c>
      <c r="E3715" s="3">
        <f>IFERROR(__xludf.DUMMYFUNCTION("""COMPUTED_VALUE"""),8355.85)</f>
        <v>8355.85</v>
      </c>
      <c r="F3715" s="3">
        <f>IFERROR(__xludf.DUMMYFUNCTION("""COMPUTED_VALUE"""),0.0)</f>
        <v>0</v>
      </c>
    </row>
    <row r="3716">
      <c r="A3716" s="7">
        <f>IFERROR(__xludf.DUMMYFUNCTION("""COMPUTED_VALUE"""),42230.64583333333)</f>
        <v>42230.64583</v>
      </c>
      <c r="B3716" s="3">
        <f>IFERROR(__xludf.DUMMYFUNCTION("""COMPUTED_VALUE"""),8402.35)</f>
        <v>8402.35</v>
      </c>
      <c r="C3716" s="3">
        <f>IFERROR(__xludf.DUMMYFUNCTION("""COMPUTED_VALUE"""),8530.1)</f>
        <v>8530.1</v>
      </c>
      <c r="D3716" s="3">
        <f>IFERROR(__xludf.DUMMYFUNCTION("""COMPUTED_VALUE"""),8381.2)</f>
        <v>8381.2</v>
      </c>
      <c r="E3716" s="3">
        <f>IFERROR(__xludf.DUMMYFUNCTION("""COMPUTED_VALUE"""),8518.55)</f>
        <v>8518.55</v>
      </c>
      <c r="F3716" s="3">
        <f>IFERROR(__xludf.DUMMYFUNCTION("""COMPUTED_VALUE"""),0.0)</f>
        <v>0</v>
      </c>
    </row>
    <row r="3717">
      <c r="A3717" s="7">
        <f>IFERROR(__xludf.DUMMYFUNCTION("""COMPUTED_VALUE"""),42233.64583333333)</f>
        <v>42233.64583</v>
      </c>
      <c r="B3717" s="3">
        <f>IFERROR(__xludf.DUMMYFUNCTION("""COMPUTED_VALUE"""),8530.5)</f>
        <v>8530.5</v>
      </c>
      <c r="C3717" s="3">
        <f>IFERROR(__xludf.DUMMYFUNCTION("""COMPUTED_VALUE"""),8530.6)</f>
        <v>8530.6</v>
      </c>
      <c r="D3717" s="3">
        <f>IFERROR(__xludf.DUMMYFUNCTION("""COMPUTED_VALUE"""),8428.05)</f>
        <v>8428.05</v>
      </c>
      <c r="E3717" s="3">
        <f>IFERROR(__xludf.DUMMYFUNCTION("""COMPUTED_VALUE"""),8477.3)</f>
        <v>8477.3</v>
      </c>
      <c r="F3717" s="3">
        <f>IFERROR(__xludf.DUMMYFUNCTION("""COMPUTED_VALUE"""),0.0)</f>
        <v>0</v>
      </c>
    </row>
    <row r="3718">
      <c r="A3718" s="7">
        <f>IFERROR(__xludf.DUMMYFUNCTION("""COMPUTED_VALUE"""),42234.64583333333)</f>
        <v>42234.64583</v>
      </c>
      <c r="B3718" s="3">
        <f>IFERROR(__xludf.DUMMYFUNCTION("""COMPUTED_VALUE"""),8505.85)</f>
        <v>8505.85</v>
      </c>
      <c r="C3718" s="3">
        <f>IFERROR(__xludf.DUMMYFUNCTION("""COMPUTED_VALUE"""),8525.75)</f>
        <v>8525.75</v>
      </c>
      <c r="D3718" s="3">
        <f>IFERROR(__xludf.DUMMYFUNCTION("""COMPUTED_VALUE"""),8433.6)</f>
        <v>8433.6</v>
      </c>
      <c r="E3718" s="3">
        <f>IFERROR(__xludf.DUMMYFUNCTION("""COMPUTED_VALUE"""),8466.55)</f>
        <v>8466.55</v>
      </c>
      <c r="F3718" s="3">
        <f>IFERROR(__xludf.DUMMYFUNCTION("""COMPUTED_VALUE"""),0.0)</f>
        <v>0</v>
      </c>
    </row>
    <row r="3719">
      <c r="A3719" s="7">
        <f>IFERROR(__xludf.DUMMYFUNCTION("""COMPUTED_VALUE"""),42235.64583333333)</f>
        <v>42235.64583</v>
      </c>
      <c r="B3719" s="3">
        <f>IFERROR(__xludf.DUMMYFUNCTION("""COMPUTED_VALUE"""),8468.05)</f>
        <v>8468.05</v>
      </c>
      <c r="C3719" s="3">
        <f>IFERROR(__xludf.DUMMYFUNCTION("""COMPUTED_VALUE"""),8520.45)</f>
        <v>8520.45</v>
      </c>
      <c r="D3719" s="3">
        <f>IFERROR(__xludf.DUMMYFUNCTION("""COMPUTED_VALUE"""),8425.95)</f>
        <v>8425.95</v>
      </c>
      <c r="E3719" s="3">
        <f>IFERROR(__xludf.DUMMYFUNCTION("""COMPUTED_VALUE"""),8495.15)</f>
        <v>8495.15</v>
      </c>
      <c r="F3719" s="3">
        <f>IFERROR(__xludf.DUMMYFUNCTION("""COMPUTED_VALUE"""),0.0)</f>
        <v>0</v>
      </c>
    </row>
    <row r="3720">
      <c r="A3720" s="7">
        <f>IFERROR(__xludf.DUMMYFUNCTION("""COMPUTED_VALUE"""),42236.64583333333)</f>
        <v>42236.64583</v>
      </c>
      <c r="B3720" s="3">
        <f>IFERROR(__xludf.DUMMYFUNCTION("""COMPUTED_VALUE"""),8471.05)</f>
        <v>8471.05</v>
      </c>
      <c r="C3720" s="3">
        <f>IFERROR(__xludf.DUMMYFUNCTION("""COMPUTED_VALUE"""),8501.35)</f>
        <v>8501.35</v>
      </c>
      <c r="D3720" s="3">
        <f>IFERROR(__xludf.DUMMYFUNCTION("""COMPUTED_VALUE"""),8359.75)</f>
        <v>8359.75</v>
      </c>
      <c r="E3720" s="3">
        <f>IFERROR(__xludf.DUMMYFUNCTION("""COMPUTED_VALUE"""),8372.75)</f>
        <v>8372.75</v>
      </c>
      <c r="F3720" s="3">
        <f>IFERROR(__xludf.DUMMYFUNCTION("""COMPUTED_VALUE"""),0.0)</f>
        <v>0</v>
      </c>
    </row>
    <row r="3721">
      <c r="A3721" s="7">
        <f>IFERROR(__xludf.DUMMYFUNCTION("""COMPUTED_VALUE"""),42237.64583333333)</f>
        <v>42237.64583</v>
      </c>
      <c r="B3721" s="3">
        <f>IFERROR(__xludf.DUMMYFUNCTION("""COMPUTED_VALUE"""),8305.4)</f>
        <v>8305.4</v>
      </c>
      <c r="C3721" s="3">
        <f>IFERROR(__xludf.DUMMYFUNCTION("""COMPUTED_VALUE"""),8322.2)</f>
        <v>8322.2</v>
      </c>
      <c r="D3721" s="3">
        <f>IFERROR(__xludf.DUMMYFUNCTION("""COMPUTED_VALUE"""),8225.05)</f>
        <v>8225.05</v>
      </c>
      <c r="E3721" s="3">
        <f>IFERROR(__xludf.DUMMYFUNCTION("""COMPUTED_VALUE"""),8299.95)</f>
        <v>8299.95</v>
      </c>
      <c r="F3721" s="3">
        <f>IFERROR(__xludf.DUMMYFUNCTION("""COMPUTED_VALUE"""),0.0)</f>
        <v>0</v>
      </c>
    </row>
    <row r="3722">
      <c r="A3722" s="7">
        <f>IFERROR(__xludf.DUMMYFUNCTION("""COMPUTED_VALUE"""),42240.64583333333)</f>
        <v>42240.64583</v>
      </c>
      <c r="B3722" s="3">
        <f>IFERROR(__xludf.DUMMYFUNCTION("""COMPUTED_VALUE"""),8055.95)</f>
        <v>8055.95</v>
      </c>
      <c r="C3722" s="3">
        <f>IFERROR(__xludf.DUMMYFUNCTION("""COMPUTED_VALUE"""),8060.05)</f>
        <v>8060.05</v>
      </c>
      <c r="D3722" s="3">
        <f>IFERROR(__xludf.DUMMYFUNCTION("""COMPUTED_VALUE"""),7769.4)</f>
        <v>7769.4</v>
      </c>
      <c r="E3722" s="3">
        <f>IFERROR(__xludf.DUMMYFUNCTION("""COMPUTED_VALUE"""),7809.0)</f>
        <v>7809</v>
      </c>
      <c r="F3722" s="3">
        <f>IFERROR(__xludf.DUMMYFUNCTION("""COMPUTED_VALUE"""),0.0)</f>
        <v>0</v>
      </c>
    </row>
    <row r="3723">
      <c r="A3723" s="7">
        <f>IFERROR(__xludf.DUMMYFUNCTION("""COMPUTED_VALUE"""),42241.64583333333)</f>
        <v>42241.64583</v>
      </c>
      <c r="B3723" s="3">
        <f>IFERROR(__xludf.DUMMYFUNCTION("""COMPUTED_VALUE"""),7895.4)</f>
        <v>7895.4</v>
      </c>
      <c r="C3723" s="3">
        <f>IFERROR(__xludf.DUMMYFUNCTION("""COMPUTED_VALUE"""),7925.4)</f>
        <v>7925.4</v>
      </c>
      <c r="D3723" s="3">
        <f>IFERROR(__xludf.DUMMYFUNCTION("""COMPUTED_VALUE"""),7667.25)</f>
        <v>7667.25</v>
      </c>
      <c r="E3723" s="3">
        <f>IFERROR(__xludf.DUMMYFUNCTION("""COMPUTED_VALUE"""),7880.7)</f>
        <v>7880.7</v>
      </c>
      <c r="F3723" s="3">
        <f>IFERROR(__xludf.DUMMYFUNCTION("""COMPUTED_VALUE"""),0.0)</f>
        <v>0</v>
      </c>
    </row>
    <row r="3724">
      <c r="A3724" s="7">
        <f>IFERROR(__xludf.DUMMYFUNCTION("""COMPUTED_VALUE"""),42242.64583333333)</f>
        <v>42242.64583</v>
      </c>
      <c r="B3724" s="3">
        <f>IFERROR(__xludf.DUMMYFUNCTION("""COMPUTED_VALUE"""),7865.25)</f>
        <v>7865.25</v>
      </c>
      <c r="C3724" s="3">
        <f>IFERROR(__xludf.DUMMYFUNCTION("""COMPUTED_VALUE"""),7930.05)</f>
        <v>7930.05</v>
      </c>
      <c r="D3724" s="3">
        <f>IFERROR(__xludf.DUMMYFUNCTION("""COMPUTED_VALUE"""),7777.1)</f>
        <v>7777.1</v>
      </c>
      <c r="E3724" s="3">
        <f>IFERROR(__xludf.DUMMYFUNCTION("""COMPUTED_VALUE"""),7791.85)</f>
        <v>7791.85</v>
      </c>
      <c r="F3724" s="3">
        <f>IFERROR(__xludf.DUMMYFUNCTION("""COMPUTED_VALUE"""),0.0)</f>
        <v>0</v>
      </c>
    </row>
    <row r="3725">
      <c r="A3725" s="7">
        <f>IFERROR(__xludf.DUMMYFUNCTION("""COMPUTED_VALUE"""),42243.64583333333)</f>
        <v>42243.64583</v>
      </c>
      <c r="B3725" s="3">
        <f>IFERROR(__xludf.DUMMYFUNCTION("""COMPUTED_VALUE"""),7921.6)</f>
        <v>7921.6</v>
      </c>
      <c r="C3725" s="3">
        <f>IFERROR(__xludf.DUMMYFUNCTION("""COMPUTED_VALUE"""),7963.6)</f>
        <v>7963.6</v>
      </c>
      <c r="D3725" s="3">
        <f>IFERROR(__xludf.DUMMYFUNCTION("""COMPUTED_VALUE"""),7862.3)</f>
        <v>7862.3</v>
      </c>
      <c r="E3725" s="3">
        <f>IFERROR(__xludf.DUMMYFUNCTION("""COMPUTED_VALUE"""),7948.95)</f>
        <v>7948.95</v>
      </c>
      <c r="F3725" s="3">
        <f>IFERROR(__xludf.DUMMYFUNCTION("""COMPUTED_VALUE"""),0.0)</f>
        <v>0</v>
      </c>
    </row>
    <row r="3726">
      <c r="A3726" s="7">
        <f>IFERROR(__xludf.DUMMYFUNCTION("""COMPUTED_VALUE"""),42244.64583333333)</f>
        <v>42244.64583</v>
      </c>
      <c r="B3726" s="3">
        <f>IFERROR(__xludf.DUMMYFUNCTION("""COMPUTED_VALUE"""),8053.7)</f>
        <v>8053.7</v>
      </c>
      <c r="C3726" s="3">
        <f>IFERROR(__xludf.DUMMYFUNCTION("""COMPUTED_VALUE"""),8091.8)</f>
        <v>8091.8</v>
      </c>
      <c r="D3726" s="3">
        <f>IFERROR(__xludf.DUMMYFUNCTION("""COMPUTED_VALUE"""),7961.65)</f>
        <v>7961.65</v>
      </c>
      <c r="E3726" s="3">
        <f>IFERROR(__xludf.DUMMYFUNCTION("""COMPUTED_VALUE"""),8001.95)</f>
        <v>8001.95</v>
      </c>
      <c r="F3726" s="3">
        <f>IFERROR(__xludf.DUMMYFUNCTION("""COMPUTED_VALUE"""),0.0)</f>
        <v>0</v>
      </c>
    </row>
    <row r="3727">
      <c r="A3727" s="7">
        <f>IFERROR(__xludf.DUMMYFUNCTION("""COMPUTED_VALUE"""),42247.64583333333)</f>
        <v>42247.64583</v>
      </c>
      <c r="B3727" s="3">
        <f>IFERROR(__xludf.DUMMYFUNCTION("""COMPUTED_VALUE"""),8009.25)</f>
        <v>8009.25</v>
      </c>
      <c r="C3727" s="3">
        <f>IFERROR(__xludf.DUMMYFUNCTION("""COMPUTED_VALUE"""),8043.6)</f>
        <v>8043.6</v>
      </c>
      <c r="D3727" s="3">
        <f>IFERROR(__xludf.DUMMYFUNCTION("""COMPUTED_VALUE"""),7947.95)</f>
        <v>7947.95</v>
      </c>
      <c r="E3727" s="3">
        <f>IFERROR(__xludf.DUMMYFUNCTION("""COMPUTED_VALUE"""),7971.3)</f>
        <v>7971.3</v>
      </c>
      <c r="F3727" s="3">
        <f>IFERROR(__xludf.DUMMYFUNCTION("""COMPUTED_VALUE"""),0.0)</f>
        <v>0</v>
      </c>
    </row>
    <row r="3728">
      <c r="A3728" s="7">
        <f>IFERROR(__xludf.DUMMYFUNCTION("""COMPUTED_VALUE"""),42248.64583333333)</f>
        <v>42248.64583</v>
      </c>
      <c r="B3728" s="3">
        <f>IFERROR(__xludf.DUMMYFUNCTION("""COMPUTED_VALUE"""),7907.95)</f>
        <v>7907.95</v>
      </c>
      <c r="C3728" s="3">
        <f>IFERROR(__xludf.DUMMYFUNCTION("""COMPUTED_VALUE"""),7929.1)</f>
        <v>7929.1</v>
      </c>
      <c r="D3728" s="3">
        <f>IFERROR(__xludf.DUMMYFUNCTION("""COMPUTED_VALUE"""),7746.5)</f>
        <v>7746.5</v>
      </c>
      <c r="E3728" s="3">
        <f>IFERROR(__xludf.DUMMYFUNCTION("""COMPUTED_VALUE"""),7785.85)</f>
        <v>7785.85</v>
      </c>
      <c r="F3728" s="3">
        <f>IFERROR(__xludf.DUMMYFUNCTION("""COMPUTED_VALUE"""),0.0)</f>
        <v>0</v>
      </c>
    </row>
    <row r="3729">
      <c r="A3729" s="7">
        <f>IFERROR(__xludf.DUMMYFUNCTION("""COMPUTED_VALUE"""),42249.64583333333)</f>
        <v>42249.64583</v>
      </c>
      <c r="B3729" s="3">
        <f>IFERROR(__xludf.DUMMYFUNCTION("""COMPUTED_VALUE"""),7856.65)</f>
        <v>7856.65</v>
      </c>
      <c r="C3729" s="3">
        <f>IFERROR(__xludf.DUMMYFUNCTION("""COMPUTED_VALUE"""),7862.55)</f>
        <v>7862.55</v>
      </c>
      <c r="D3729" s="3">
        <f>IFERROR(__xludf.DUMMYFUNCTION("""COMPUTED_VALUE"""),7699.25)</f>
        <v>7699.25</v>
      </c>
      <c r="E3729" s="3">
        <f>IFERROR(__xludf.DUMMYFUNCTION("""COMPUTED_VALUE"""),7717.0)</f>
        <v>7717</v>
      </c>
      <c r="F3729" s="3">
        <f>IFERROR(__xludf.DUMMYFUNCTION("""COMPUTED_VALUE"""),0.0)</f>
        <v>0</v>
      </c>
    </row>
    <row r="3730">
      <c r="A3730" s="7">
        <f>IFERROR(__xludf.DUMMYFUNCTION("""COMPUTED_VALUE"""),42250.64583333333)</f>
        <v>42250.64583</v>
      </c>
      <c r="B3730" s="3">
        <f>IFERROR(__xludf.DUMMYFUNCTION("""COMPUTED_VALUE"""),7774.45)</f>
        <v>7774.45</v>
      </c>
      <c r="C3730" s="3">
        <f>IFERROR(__xludf.DUMMYFUNCTION("""COMPUTED_VALUE"""),7845.6)</f>
        <v>7845.6</v>
      </c>
      <c r="D3730" s="3">
        <f>IFERROR(__xludf.DUMMYFUNCTION("""COMPUTED_VALUE"""),7754.05)</f>
        <v>7754.05</v>
      </c>
      <c r="E3730" s="3">
        <f>IFERROR(__xludf.DUMMYFUNCTION("""COMPUTED_VALUE"""),7823.0)</f>
        <v>7823</v>
      </c>
      <c r="F3730" s="3">
        <f>IFERROR(__xludf.DUMMYFUNCTION("""COMPUTED_VALUE"""),0.0)</f>
        <v>0</v>
      </c>
    </row>
    <row r="3731">
      <c r="A3731" s="7">
        <f>IFERROR(__xludf.DUMMYFUNCTION("""COMPUTED_VALUE"""),42251.64583333333)</f>
        <v>42251.64583</v>
      </c>
      <c r="B3731" s="3">
        <f>IFERROR(__xludf.DUMMYFUNCTION("""COMPUTED_VALUE"""),7803.4)</f>
        <v>7803.4</v>
      </c>
      <c r="C3731" s="3">
        <f>IFERROR(__xludf.DUMMYFUNCTION("""COMPUTED_VALUE"""),7804.9)</f>
        <v>7804.9</v>
      </c>
      <c r="D3731" s="3">
        <f>IFERROR(__xludf.DUMMYFUNCTION("""COMPUTED_VALUE"""),7626.85)</f>
        <v>7626.85</v>
      </c>
      <c r="E3731" s="3">
        <f>IFERROR(__xludf.DUMMYFUNCTION("""COMPUTED_VALUE"""),7655.05)</f>
        <v>7655.05</v>
      </c>
      <c r="F3731" s="3">
        <f>IFERROR(__xludf.DUMMYFUNCTION("""COMPUTED_VALUE"""),0.0)</f>
        <v>0</v>
      </c>
    </row>
    <row r="3732">
      <c r="A3732" s="7">
        <f>IFERROR(__xludf.DUMMYFUNCTION("""COMPUTED_VALUE"""),42254.64583333333)</f>
        <v>42254.64583</v>
      </c>
      <c r="B3732" s="3">
        <f>IFERROR(__xludf.DUMMYFUNCTION("""COMPUTED_VALUE"""),7685.85)</f>
        <v>7685.85</v>
      </c>
      <c r="C3732" s="3">
        <f>IFERROR(__xludf.DUMMYFUNCTION("""COMPUTED_VALUE"""),7705.05)</f>
        <v>7705.05</v>
      </c>
      <c r="D3732" s="3">
        <f>IFERROR(__xludf.DUMMYFUNCTION("""COMPUTED_VALUE"""),7545.9)</f>
        <v>7545.9</v>
      </c>
      <c r="E3732" s="3">
        <f>IFERROR(__xludf.DUMMYFUNCTION("""COMPUTED_VALUE"""),7558.8)</f>
        <v>7558.8</v>
      </c>
      <c r="F3732" s="3">
        <f>IFERROR(__xludf.DUMMYFUNCTION("""COMPUTED_VALUE"""),0.0)</f>
        <v>0</v>
      </c>
    </row>
    <row r="3733">
      <c r="A3733" s="7">
        <f>IFERROR(__xludf.DUMMYFUNCTION("""COMPUTED_VALUE"""),42255.64583333333)</f>
        <v>42255.64583</v>
      </c>
      <c r="B3733" s="3">
        <f>IFERROR(__xludf.DUMMYFUNCTION("""COMPUTED_VALUE"""),7587.7)</f>
        <v>7587.7</v>
      </c>
      <c r="C3733" s="3">
        <f>IFERROR(__xludf.DUMMYFUNCTION("""COMPUTED_VALUE"""),7720.9)</f>
        <v>7720.9</v>
      </c>
      <c r="D3733" s="3">
        <f>IFERROR(__xludf.DUMMYFUNCTION("""COMPUTED_VALUE"""),7539.5)</f>
        <v>7539.5</v>
      </c>
      <c r="E3733" s="3">
        <f>IFERROR(__xludf.DUMMYFUNCTION("""COMPUTED_VALUE"""),7688.25)</f>
        <v>7688.25</v>
      </c>
      <c r="F3733" s="3">
        <f>IFERROR(__xludf.DUMMYFUNCTION("""COMPUTED_VALUE"""),0.0)</f>
        <v>0</v>
      </c>
    </row>
    <row r="3734">
      <c r="A3734" s="7">
        <f>IFERROR(__xludf.DUMMYFUNCTION("""COMPUTED_VALUE"""),42256.64583333333)</f>
        <v>42256.64583</v>
      </c>
      <c r="B3734" s="3">
        <f>IFERROR(__xludf.DUMMYFUNCTION("""COMPUTED_VALUE"""),7805.85)</f>
        <v>7805.85</v>
      </c>
      <c r="C3734" s="3">
        <f>IFERROR(__xludf.DUMMYFUNCTION("""COMPUTED_VALUE"""),7846.05)</f>
        <v>7846.05</v>
      </c>
      <c r="D3734" s="3">
        <f>IFERROR(__xludf.DUMMYFUNCTION("""COMPUTED_VALUE"""),7764.55)</f>
        <v>7764.55</v>
      </c>
      <c r="E3734" s="3">
        <f>IFERROR(__xludf.DUMMYFUNCTION("""COMPUTED_VALUE"""),7818.6)</f>
        <v>7818.6</v>
      </c>
      <c r="F3734" s="3">
        <f>IFERROR(__xludf.DUMMYFUNCTION("""COMPUTED_VALUE"""),0.0)</f>
        <v>0</v>
      </c>
    </row>
    <row r="3735">
      <c r="A3735" s="7">
        <f>IFERROR(__xludf.DUMMYFUNCTION("""COMPUTED_VALUE"""),42257.64583333333)</f>
        <v>42257.64583</v>
      </c>
      <c r="B3735" s="3">
        <f>IFERROR(__xludf.DUMMYFUNCTION("""COMPUTED_VALUE"""),7729.05)</f>
        <v>7729.05</v>
      </c>
      <c r="C3735" s="3">
        <f>IFERROR(__xludf.DUMMYFUNCTION("""COMPUTED_VALUE"""),7819.85)</f>
        <v>7819.85</v>
      </c>
      <c r="D3735" s="3">
        <f>IFERROR(__xludf.DUMMYFUNCTION("""COMPUTED_VALUE"""),7678.5)</f>
        <v>7678.5</v>
      </c>
      <c r="E3735" s="3">
        <f>IFERROR(__xludf.DUMMYFUNCTION("""COMPUTED_VALUE"""),7788.1)</f>
        <v>7788.1</v>
      </c>
      <c r="F3735" s="3">
        <f>IFERROR(__xludf.DUMMYFUNCTION("""COMPUTED_VALUE"""),0.0)</f>
        <v>0</v>
      </c>
    </row>
    <row r="3736">
      <c r="A3736" s="7">
        <f>IFERROR(__xludf.DUMMYFUNCTION("""COMPUTED_VALUE"""),42258.64583333333)</f>
        <v>42258.64583</v>
      </c>
      <c r="B3736" s="3">
        <f>IFERROR(__xludf.DUMMYFUNCTION("""COMPUTED_VALUE"""),7833.8)</f>
        <v>7833.8</v>
      </c>
      <c r="C3736" s="3">
        <f>IFERROR(__xludf.DUMMYFUNCTION("""COMPUTED_VALUE"""),7864.85)</f>
        <v>7864.85</v>
      </c>
      <c r="D3736" s="3">
        <f>IFERROR(__xludf.DUMMYFUNCTION("""COMPUTED_VALUE"""),7759.9)</f>
        <v>7759.9</v>
      </c>
      <c r="E3736" s="3">
        <f>IFERROR(__xludf.DUMMYFUNCTION("""COMPUTED_VALUE"""),7789.3)</f>
        <v>7789.3</v>
      </c>
      <c r="F3736" s="3">
        <f>IFERROR(__xludf.DUMMYFUNCTION("""COMPUTED_VALUE"""),0.0)</f>
        <v>0</v>
      </c>
    </row>
    <row r="3737">
      <c r="A3737" s="7">
        <f>IFERROR(__xludf.DUMMYFUNCTION("""COMPUTED_VALUE"""),42261.64583333333)</f>
        <v>42261.64583</v>
      </c>
      <c r="B3737" s="3">
        <f>IFERROR(__xludf.DUMMYFUNCTION("""COMPUTED_VALUE"""),7811.1)</f>
        <v>7811.1</v>
      </c>
      <c r="C3737" s="3">
        <f>IFERROR(__xludf.DUMMYFUNCTION("""COMPUTED_VALUE"""),7879.95)</f>
        <v>7879.95</v>
      </c>
      <c r="D3737" s="3">
        <f>IFERROR(__xludf.DUMMYFUNCTION("""COMPUTED_VALUE"""),7761.85)</f>
        <v>7761.85</v>
      </c>
      <c r="E3737" s="3">
        <f>IFERROR(__xludf.DUMMYFUNCTION("""COMPUTED_VALUE"""),7872.25)</f>
        <v>7872.25</v>
      </c>
      <c r="F3737" s="3">
        <f>IFERROR(__xludf.DUMMYFUNCTION("""COMPUTED_VALUE"""),0.0)</f>
        <v>0</v>
      </c>
    </row>
    <row r="3738">
      <c r="A3738" s="7">
        <f>IFERROR(__xludf.DUMMYFUNCTION("""COMPUTED_VALUE"""),42262.64583333333)</f>
        <v>42262.64583</v>
      </c>
      <c r="B3738" s="3">
        <f>IFERROR(__xludf.DUMMYFUNCTION("""COMPUTED_VALUE"""),7867.35)</f>
        <v>7867.35</v>
      </c>
      <c r="C3738" s="3">
        <f>IFERROR(__xludf.DUMMYFUNCTION("""COMPUTED_VALUE"""),7880.0)</f>
        <v>7880</v>
      </c>
      <c r="D3738" s="3">
        <f>IFERROR(__xludf.DUMMYFUNCTION("""COMPUTED_VALUE"""),7799.75)</f>
        <v>7799.75</v>
      </c>
      <c r="E3738" s="3">
        <f>IFERROR(__xludf.DUMMYFUNCTION("""COMPUTED_VALUE"""),7829.1)</f>
        <v>7829.1</v>
      </c>
      <c r="F3738" s="3">
        <f>IFERROR(__xludf.DUMMYFUNCTION("""COMPUTED_VALUE"""),0.0)</f>
        <v>0</v>
      </c>
    </row>
    <row r="3739">
      <c r="A3739" s="7">
        <f>IFERROR(__xludf.DUMMYFUNCTION("""COMPUTED_VALUE"""),42263.64583333333)</f>
        <v>42263.64583</v>
      </c>
      <c r="B3739" s="3">
        <f>IFERROR(__xludf.DUMMYFUNCTION("""COMPUTED_VALUE"""),7886.85)</f>
        <v>7886.85</v>
      </c>
      <c r="C3739" s="3">
        <f>IFERROR(__xludf.DUMMYFUNCTION("""COMPUTED_VALUE"""),7913.9)</f>
        <v>7913.9</v>
      </c>
      <c r="D3739" s="3">
        <f>IFERROR(__xludf.DUMMYFUNCTION("""COMPUTED_VALUE"""),7853.3)</f>
        <v>7853.3</v>
      </c>
      <c r="E3739" s="3">
        <f>IFERROR(__xludf.DUMMYFUNCTION("""COMPUTED_VALUE"""),7899.15)</f>
        <v>7899.15</v>
      </c>
      <c r="F3739" s="3">
        <f>IFERROR(__xludf.DUMMYFUNCTION("""COMPUTED_VALUE"""),0.0)</f>
        <v>0</v>
      </c>
    </row>
    <row r="3740">
      <c r="A3740" s="7">
        <f>IFERROR(__xludf.DUMMYFUNCTION("""COMPUTED_VALUE"""),42265.64583333333)</f>
        <v>42265.64583</v>
      </c>
      <c r="B3740" s="3">
        <f>IFERROR(__xludf.DUMMYFUNCTION("""COMPUTED_VALUE"""),7967.45)</f>
        <v>7967.45</v>
      </c>
      <c r="C3740" s="3">
        <f>IFERROR(__xludf.DUMMYFUNCTION("""COMPUTED_VALUE"""),8055.0)</f>
        <v>8055</v>
      </c>
      <c r="D3740" s="3">
        <f>IFERROR(__xludf.DUMMYFUNCTION("""COMPUTED_VALUE"""),7955.85)</f>
        <v>7955.85</v>
      </c>
      <c r="E3740" s="3">
        <f>IFERROR(__xludf.DUMMYFUNCTION("""COMPUTED_VALUE"""),7981.9)</f>
        <v>7981.9</v>
      </c>
      <c r="F3740" s="3">
        <f>IFERROR(__xludf.DUMMYFUNCTION("""COMPUTED_VALUE"""),0.0)</f>
        <v>0</v>
      </c>
    </row>
    <row r="3741">
      <c r="A3741" s="7">
        <f>IFERROR(__xludf.DUMMYFUNCTION("""COMPUTED_VALUE"""),42268.64583333333)</f>
        <v>42268.64583</v>
      </c>
      <c r="B3741" s="3">
        <f>IFERROR(__xludf.DUMMYFUNCTION("""COMPUTED_VALUE"""),7911.5)</f>
        <v>7911.5</v>
      </c>
      <c r="C3741" s="3">
        <f>IFERROR(__xludf.DUMMYFUNCTION("""COMPUTED_VALUE"""),7987.9)</f>
        <v>7987.9</v>
      </c>
      <c r="D3741" s="3">
        <f>IFERROR(__xludf.DUMMYFUNCTION("""COMPUTED_VALUE"""),7908.35)</f>
        <v>7908.35</v>
      </c>
      <c r="E3741" s="3">
        <f>IFERROR(__xludf.DUMMYFUNCTION("""COMPUTED_VALUE"""),7977.1)</f>
        <v>7977.1</v>
      </c>
      <c r="F3741" s="3">
        <f>IFERROR(__xludf.DUMMYFUNCTION("""COMPUTED_VALUE"""),0.0)</f>
        <v>0</v>
      </c>
    </row>
    <row r="3742">
      <c r="A3742" s="7">
        <f>IFERROR(__xludf.DUMMYFUNCTION("""COMPUTED_VALUE"""),42269.64583333333)</f>
        <v>42269.64583</v>
      </c>
      <c r="B3742" s="3">
        <f>IFERROR(__xludf.DUMMYFUNCTION("""COMPUTED_VALUE"""),8014.8)</f>
        <v>8014.8</v>
      </c>
      <c r="C3742" s="3">
        <f>IFERROR(__xludf.DUMMYFUNCTION("""COMPUTED_VALUE"""),8021.6)</f>
        <v>8021.6</v>
      </c>
      <c r="D3742" s="3">
        <f>IFERROR(__xludf.DUMMYFUNCTION("""COMPUTED_VALUE"""),7787.75)</f>
        <v>7787.75</v>
      </c>
      <c r="E3742" s="3">
        <f>IFERROR(__xludf.DUMMYFUNCTION("""COMPUTED_VALUE"""),7812.0)</f>
        <v>7812</v>
      </c>
      <c r="F3742" s="3">
        <f>IFERROR(__xludf.DUMMYFUNCTION("""COMPUTED_VALUE"""),0.0)</f>
        <v>0</v>
      </c>
    </row>
    <row r="3743">
      <c r="A3743" s="7">
        <f>IFERROR(__xludf.DUMMYFUNCTION("""COMPUTED_VALUE"""),42270.64583333333)</f>
        <v>42270.64583</v>
      </c>
      <c r="B3743" s="3">
        <f>IFERROR(__xludf.DUMMYFUNCTION("""COMPUTED_VALUE"""),7737.35)</f>
        <v>7737.35</v>
      </c>
      <c r="C3743" s="3">
        <f>IFERROR(__xludf.DUMMYFUNCTION("""COMPUTED_VALUE"""),7882.9)</f>
        <v>7882.9</v>
      </c>
      <c r="D3743" s="3">
        <f>IFERROR(__xludf.DUMMYFUNCTION("""COMPUTED_VALUE"""),7723.25)</f>
        <v>7723.25</v>
      </c>
      <c r="E3743" s="3">
        <f>IFERROR(__xludf.DUMMYFUNCTION("""COMPUTED_VALUE"""),7845.95)</f>
        <v>7845.95</v>
      </c>
      <c r="F3743" s="3">
        <f>IFERROR(__xludf.DUMMYFUNCTION("""COMPUTED_VALUE"""),0.0)</f>
        <v>0</v>
      </c>
    </row>
    <row r="3744">
      <c r="A3744" s="7">
        <f>IFERROR(__xludf.DUMMYFUNCTION("""COMPUTED_VALUE"""),42271.64583333333)</f>
        <v>42271.64583</v>
      </c>
      <c r="B3744" s="3">
        <f>IFERROR(__xludf.DUMMYFUNCTION("""COMPUTED_VALUE"""),7838.4)</f>
        <v>7838.4</v>
      </c>
      <c r="C3744" s="3">
        <f>IFERROR(__xludf.DUMMYFUNCTION("""COMPUTED_VALUE"""),7894.5)</f>
        <v>7894.5</v>
      </c>
      <c r="D3744" s="3">
        <f>IFERROR(__xludf.DUMMYFUNCTION("""COMPUTED_VALUE"""),7804.1)</f>
        <v>7804.1</v>
      </c>
      <c r="E3744" s="3">
        <f>IFERROR(__xludf.DUMMYFUNCTION("""COMPUTED_VALUE"""),7868.5)</f>
        <v>7868.5</v>
      </c>
      <c r="F3744" s="3">
        <f>IFERROR(__xludf.DUMMYFUNCTION("""COMPUTED_VALUE"""),0.0)</f>
        <v>0</v>
      </c>
    </row>
    <row r="3745">
      <c r="A3745" s="7">
        <f>IFERROR(__xludf.DUMMYFUNCTION("""COMPUTED_VALUE"""),42275.64583333333)</f>
        <v>42275.64583</v>
      </c>
      <c r="B3745" s="3">
        <f>IFERROR(__xludf.DUMMYFUNCTION("""COMPUTED_VALUE"""),7892.8)</f>
        <v>7892.8</v>
      </c>
      <c r="C3745" s="3">
        <f>IFERROR(__xludf.DUMMYFUNCTION("""COMPUTED_VALUE"""),7893.95)</f>
        <v>7893.95</v>
      </c>
      <c r="D3745" s="3">
        <f>IFERROR(__xludf.DUMMYFUNCTION("""COMPUTED_VALUE"""),7787.95)</f>
        <v>7787.95</v>
      </c>
      <c r="E3745" s="3">
        <f>IFERROR(__xludf.DUMMYFUNCTION("""COMPUTED_VALUE"""),7795.7)</f>
        <v>7795.7</v>
      </c>
      <c r="F3745" s="3">
        <f>IFERROR(__xludf.DUMMYFUNCTION("""COMPUTED_VALUE"""),0.0)</f>
        <v>0</v>
      </c>
    </row>
    <row r="3746">
      <c r="A3746" s="7">
        <f>IFERROR(__xludf.DUMMYFUNCTION("""COMPUTED_VALUE"""),42276.64583333333)</f>
        <v>42276.64583</v>
      </c>
      <c r="B3746" s="3">
        <f>IFERROR(__xludf.DUMMYFUNCTION("""COMPUTED_VALUE"""),7725.7)</f>
        <v>7725.7</v>
      </c>
      <c r="C3746" s="3">
        <f>IFERROR(__xludf.DUMMYFUNCTION("""COMPUTED_VALUE"""),7926.55)</f>
        <v>7926.55</v>
      </c>
      <c r="D3746" s="3">
        <f>IFERROR(__xludf.DUMMYFUNCTION("""COMPUTED_VALUE"""),7691.2)</f>
        <v>7691.2</v>
      </c>
      <c r="E3746" s="3">
        <f>IFERROR(__xludf.DUMMYFUNCTION("""COMPUTED_VALUE"""),7843.3)</f>
        <v>7843.3</v>
      </c>
      <c r="F3746" s="3">
        <f>IFERROR(__xludf.DUMMYFUNCTION("""COMPUTED_VALUE"""),0.0)</f>
        <v>0</v>
      </c>
    </row>
    <row r="3747">
      <c r="A3747" s="7">
        <f>IFERROR(__xludf.DUMMYFUNCTION("""COMPUTED_VALUE"""),42277.64583333333)</f>
        <v>42277.64583</v>
      </c>
      <c r="B3747" s="3">
        <f>IFERROR(__xludf.DUMMYFUNCTION("""COMPUTED_VALUE"""),7924.25)</f>
        <v>7924.25</v>
      </c>
      <c r="C3747" s="3">
        <f>IFERROR(__xludf.DUMMYFUNCTION("""COMPUTED_VALUE"""),7957.7)</f>
        <v>7957.7</v>
      </c>
      <c r="D3747" s="3">
        <f>IFERROR(__xludf.DUMMYFUNCTION("""COMPUTED_VALUE"""),7874.5)</f>
        <v>7874.5</v>
      </c>
      <c r="E3747" s="3">
        <f>IFERROR(__xludf.DUMMYFUNCTION("""COMPUTED_VALUE"""),7948.9)</f>
        <v>7948.9</v>
      </c>
      <c r="F3747" s="3">
        <f>IFERROR(__xludf.DUMMYFUNCTION("""COMPUTED_VALUE"""),0.0)</f>
        <v>0</v>
      </c>
    </row>
    <row r="3748">
      <c r="A3748" s="7">
        <f>IFERROR(__xludf.DUMMYFUNCTION("""COMPUTED_VALUE"""),42278.64583333333)</f>
        <v>42278.64583</v>
      </c>
      <c r="B3748" s="3">
        <f>IFERROR(__xludf.DUMMYFUNCTION("""COMPUTED_VALUE"""),7992.05)</f>
        <v>7992.05</v>
      </c>
      <c r="C3748" s="3">
        <f>IFERROR(__xludf.DUMMYFUNCTION("""COMPUTED_VALUE"""),8008.25)</f>
        <v>8008.25</v>
      </c>
      <c r="D3748" s="3">
        <f>IFERROR(__xludf.DUMMYFUNCTION("""COMPUTED_VALUE"""),7930.65)</f>
        <v>7930.65</v>
      </c>
      <c r="E3748" s="3">
        <f>IFERROR(__xludf.DUMMYFUNCTION("""COMPUTED_VALUE"""),7950.9)</f>
        <v>7950.9</v>
      </c>
      <c r="F3748" s="3">
        <f>IFERROR(__xludf.DUMMYFUNCTION("""COMPUTED_VALUE"""),0.0)</f>
        <v>0</v>
      </c>
    </row>
    <row r="3749">
      <c r="A3749" s="7">
        <f>IFERROR(__xludf.DUMMYFUNCTION("""COMPUTED_VALUE"""),42282.64583333333)</f>
        <v>42282.64583</v>
      </c>
      <c r="B3749" s="3">
        <f>IFERROR(__xludf.DUMMYFUNCTION("""COMPUTED_VALUE"""),8005.1)</f>
        <v>8005.1</v>
      </c>
      <c r="C3749" s="3">
        <f>IFERROR(__xludf.DUMMYFUNCTION("""COMPUTED_VALUE"""),8128.9)</f>
        <v>8128.9</v>
      </c>
      <c r="D3749" s="3">
        <f>IFERROR(__xludf.DUMMYFUNCTION("""COMPUTED_VALUE"""),8005.1)</f>
        <v>8005.1</v>
      </c>
      <c r="E3749" s="3">
        <f>IFERROR(__xludf.DUMMYFUNCTION("""COMPUTED_VALUE"""),8119.3)</f>
        <v>8119.3</v>
      </c>
      <c r="F3749" s="3">
        <f>IFERROR(__xludf.DUMMYFUNCTION("""COMPUTED_VALUE"""),0.0)</f>
        <v>0</v>
      </c>
    </row>
    <row r="3750">
      <c r="A3750" s="7">
        <f>IFERROR(__xludf.DUMMYFUNCTION("""COMPUTED_VALUE"""),42283.64583333333)</f>
        <v>42283.64583</v>
      </c>
      <c r="B3750" s="3">
        <f>IFERROR(__xludf.DUMMYFUNCTION("""COMPUTED_VALUE"""),8180.45)</f>
        <v>8180.45</v>
      </c>
      <c r="C3750" s="3">
        <f>IFERROR(__xludf.DUMMYFUNCTION("""COMPUTED_VALUE"""),8180.95)</f>
        <v>8180.95</v>
      </c>
      <c r="D3750" s="3">
        <f>IFERROR(__xludf.DUMMYFUNCTION("""COMPUTED_VALUE"""),8096.5)</f>
        <v>8096.5</v>
      </c>
      <c r="E3750" s="3">
        <f>IFERROR(__xludf.DUMMYFUNCTION("""COMPUTED_VALUE"""),8152.9)</f>
        <v>8152.9</v>
      </c>
      <c r="F3750" s="3">
        <f>IFERROR(__xludf.DUMMYFUNCTION("""COMPUTED_VALUE"""),0.0)</f>
        <v>0</v>
      </c>
    </row>
    <row r="3751">
      <c r="A3751" s="7">
        <f>IFERROR(__xludf.DUMMYFUNCTION("""COMPUTED_VALUE"""),42284.64583333333)</f>
        <v>42284.64583</v>
      </c>
      <c r="B3751" s="3">
        <f>IFERROR(__xludf.DUMMYFUNCTION("""COMPUTED_VALUE"""),8146.2)</f>
        <v>8146.2</v>
      </c>
      <c r="C3751" s="3">
        <f>IFERROR(__xludf.DUMMYFUNCTION("""COMPUTED_VALUE"""),8188.9)</f>
        <v>8188.9</v>
      </c>
      <c r="D3751" s="3">
        <f>IFERROR(__xludf.DUMMYFUNCTION("""COMPUTED_VALUE"""),8132.9)</f>
        <v>8132.9</v>
      </c>
      <c r="E3751" s="3">
        <f>IFERROR(__xludf.DUMMYFUNCTION("""COMPUTED_VALUE"""),8177.4)</f>
        <v>8177.4</v>
      </c>
      <c r="F3751" s="3">
        <f>IFERROR(__xludf.DUMMYFUNCTION("""COMPUTED_VALUE"""),0.0)</f>
        <v>0</v>
      </c>
    </row>
    <row r="3752">
      <c r="A3752" s="7">
        <f>IFERROR(__xludf.DUMMYFUNCTION("""COMPUTED_VALUE"""),42285.64583333333)</f>
        <v>42285.64583</v>
      </c>
      <c r="B3752" s="3">
        <f>IFERROR(__xludf.DUMMYFUNCTION("""COMPUTED_VALUE"""),8196.75)</f>
        <v>8196.75</v>
      </c>
      <c r="C3752" s="3">
        <f>IFERROR(__xludf.DUMMYFUNCTION("""COMPUTED_VALUE"""),8196.75)</f>
        <v>8196.75</v>
      </c>
      <c r="D3752" s="3">
        <f>IFERROR(__xludf.DUMMYFUNCTION("""COMPUTED_VALUE"""),8105.85)</f>
        <v>8105.85</v>
      </c>
      <c r="E3752" s="3">
        <f>IFERROR(__xludf.DUMMYFUNCTION("""COMPUTED_VALUE"""),8129.35)</f>
        <v>8129.35</v>
      </c>
      <c r="F3752" s="3">
        <f>IFERROR(__xludf.DUMMYFUNCTION("""COMPUTED_VALUE"""),0.0)</f>
        <v>0</v>
      </c>
    </row>
    <row r="3753">
      <c r="A3753" s="7">
        <f>IFERROR(__xludf.DUMMYFUNCTION("""COMPUTED_VALUE"""),42286.64583333333)</f>
        <v>42286.64583</v>
      </c>
      <c r="B3753" s="3">
        <f>IFERROR(__xludf.DUMMYFUNCTION("""COMPUTED_VALUE"""),8186.35)</f>
        <v>8186.35</v>
      </c>
      <c r="C3753" s="3">
        <f>IFERROR(__xludf.DUMMYFUNCTION("""COMPUTED_VALUE"""),8232.2)</f>
        <v>8232.2</v>
      </c>
      <c r="D3753" s="3">
        <f>IFERROR(__xludf.DUMMYFUNCTION("""COMPUTED_VALUE"""),8139.65)</f>
        <v>8139.65</v>
      </c>
      <c r="E3753" s="3">
        <f>IFERROR(__xludf.DUMMYFUNCTION("""COMPUTED_VALUE"""),8189.7)</f>
        <v>8189.7</v>
      </c>
      <c r="F3753" s="3">
        <f>IFERROR(__xludf.DUMMYFUNCTION("""COMPUTED_VALUE"""),0.0)</f>
        <v>0</v>
      </c>
    </row>
    <row r="3754">
      <c r="A3754" s="7">
        <f>IFERROR(__xludf.DUMMYFUNCTION("""COMPUTED_VALUE"""),42289.64583333333)</f>
        <v>42289.64583</v>
      </c>
      <c r="B3754" s="3">
        <f>IFERROR(__xludf.DUMMYFUNCTION("""COMPUTED_VALUE"""),8231.5)</f>
        <v>8231.5</v>
      </c>
      <c r="C3754" s="3">
        <f>IFERROR(__xludf.DUMMYFUNCTION("""COMPUTED_VALUE"""),8244.5)</f>
        <v>8244.5</v>
      </c>
      <c r="D3754" s="3">
        <f>IFERROR(__xludf.DUMMYFUNCTION("""COMPUTED_VALUE"""),8128.2)</f>
        <v>8128.2</v>
      </c>
      <c r="E3754" s="3">
        <f>IFERROR(__xludf.DUMMYFUNCTION("""COMPUTED_VALUE"""),8143.6)</f>
        <v>8143.6</v>
      </c>
      <c r="F3754" s="3">
        <f>IFERROR(__xludf.DUMMYFUNCTION("""COMPUTED_VALUE"""),0.0)</f>
        <v>0</v>
      </c>
    </row>
    <row r="3755">
      <c r="A3755" s="7">
        <f>IFERROR(__xludf.DUMMYFUNCTION("""COMPUTED_VALUE"""),42290.64583333333)</f>
        <v>42290.64583</v>
      </c>
      <c r="B3755" s="3">
        <f>IFERROR(__xludf.DUMMYFUNCTION("""COMPUTED_VALUE"""),8121.95)</f>
        <v>8121.95</v>
      </c>
      <c r="C3755" s="3">
        <f>IFERROR(__xludf.DUMMYFUNCTION("""COMPUTED_VALUE"""),8150.25)</f>
        <v>8150.25</v>
      </c>
      <c r="D3755" s="3">
        <f>IFERROR(__xludf.DUMMYFUNCTION("""COMPUTED_VALUE"""),8088.6)</f>
        <v>8088.6</v>
      </c>
      <c r="E3755" s="3">
        <f>IFERROR(__xludf.DUMMYFUNCTION("""COMPUTED_VALUE"""),8131.7)</f>
        <v>8131.7</v>
      </c>
      <c r="F3755" s="3">
        <f>IFERROR(__xludf.DUMMYFUNCTION("""COMPUTED_VALUE"""),0.0)</f>
        <v>0</v>
      </c>
    </row>
    <row r="3756">
      <c r="A3756" s="7">
        <f>IFERROR(__xludf.DUMMYFUNCTION("""COMPUTED_VALUE"""),42291.64583333333)</f>
        <v>42291.64583</v>
      </c>
      <c r="B3756" s="3">
        <f>IFERROR(__xludf.DUMMYFUNCTION("""COMPUTED_VALUE"""),8102.4)</f>
        <v>8102.4</v>
      </c>
      <c r="C3756" s="3">
        <f>IFERROR(__xludf.DUMMYFUNCTION("""COMPUTED_VALUE"""),8139.3)</f>
        <v>8139.3</v>
      </c>
      <c r="D3756" s="3">
        <f>IFERROR(__xludf.DUMMYFUNCTION("""COMPUTED_VALUE"""),8096.35)</f>
        <v>8096.35</v>
      </c>
      <c r="E3756" s="3">
        <f>IFERROR(__xludf.DUMMYFUNCTION("""COMPUTED_VALUE"""),8107.9)</f>
        <v>8107.9</v>
      </c>
      <c r="F3756" s="3">
        <f>IFERROR(__xludf.DUMMYFUNCTION("""COMPUTED_VALUE"""),0.0)</f>
        <v>0</v>
      </c>
    </row>
    <row r="3757">
      <c r="A3757" s="7">
        <f>IFERROR(__xludf.DUMMYFUNCTION("""COMPUTED_VALUE"""),42292.64583333333)</f>
        <v>42292.64583</v>
      </c>
      <c r="B3757" s="3">
        <f>IFERROR(__xludf.DUMMYFUNCTION("""COMPUTED_VALUE"""),8134.35)</f>
        <v>8134.35</v>
      </c>
      <c r="C3757" s="3">
        <f>IFERROR(__xludf.DUMMYFUNCTION("""COMPUTED_VALUE"""),8190.55)</f>
        <v>8190.55</v>
      </c>
      <c r="D3757" s="3">
        <f>IFERROR(__xludf.DUMMYFUNCTION("""COMPUTED_VALUE"""),8129.8)</f>
        <v>8129.8</v>
      </c>
      <c r="E3757" s="3">
        <f>IFERROR(__xludf.DUMMYFUNCTION("""COMPUTED_VALUE"""),8179.5)</f>
        <v>8179.5</v>
      </c>
      <c r="F3757" s="3">
        <f>IFERROR(__xludf.DUMMYFUNCTION("""COMPUTED_VALUE"""),0.0)</f>
        <v>0</v>
      </c>
    </row>
    <row r="3758">
      <c r="A3758" s="7">
        <f>IFERROR(__xludf.DUMMYFUNCTION("""COMPUTED_VALUE"""),42293.64583333333)</f>
        <v>42293.64583</v>
      </c>
      <c r="B3758" s="3">
        <f>IFERROR(__xludf.DUMMYFUNCTION("""COMPUTED_VALUE"""),8193.65)</f>
        <v>8193.65</v>
      </c>
      <c r="C3758" s="3">
        <f>IFERROR(__xludf.DUMMYFUNCTION("""COMPUTED_VALUE"""),8246.4)</f>
        <v>8246.4</v>
      </c>
      <c r="D3758" s="3">
        <f>IFERROR(__xludf.DUMMYFUNCTION("""COMPUTED_VALUE"""),8147.65)</f>
        <v>8147.65</v>
      </c>
      <c r="E3758" s="3">
        <f>IFERROR(__xludf.DUMMYFUNCTION("""COMPUTED_VALUE"""),8238.15)</f>
        <v>8238.15</v>
      </c>
      <c r="F3758" s="3">
        <f>IFERROR(__xludf.DUMMYFUNCTION("""COMPUTED_VALUE"""),0.0)</f>
        <v>0</v>
      </c>
    </row>
    <row r="3759">
      <c r="A3759" s="7">
        <f>IFERROR(__xludf.DUMMYFUNCTION("""COMPUTED_VALUE"""),42296.64583333333)</f>
        <v>42296.64583</v>
      </c>
      <c r="B3759" s="3">
        <f>IFERROR(__xludf.DUMMYFUNCTION("""COMPUTED_VALUE"""),8262.55)</f>
        <v>8262.55</v>
      </c>
      <c r="C3759" s="3">
        <f>IFERROR(__xludf.DUMMYFUNCTION("""COMPUTED_VALUE"""),8283.05)</f>
        <v>8283.05</v>
      </c>
      <c r="D3759" s="3">
        <f>IFERROR(__xludf.DUMMYFUNCTION("""COMPUTED_VALUE"""),8239.2)</f>
        <v>8239.2</v>
      </c>
      <c r="E3759" s="3">
        <f>IFERROR(__xludf.DUMMYFUNCTION("""COMPUTED_VALUE"""),8275.05)</f>
        <v>8275.05</v>
      </c>
      <c r="F3759" s="3">
        <f>IFERROR(__xludf.DUMMYFUNCTION("""COMPUTED_VALUE"""),0.0)</f>
        <v>0</v>
      </c>
    </row>
    <row r="3760">
      <c r="A3760" s="7">
        <f>IFERROR(__xludf.DUMMYFUNCTION("""COMPUTED_VALUE"""),42297.64583333333)</f>
        <v>42297.64583</v>
      </c>
      <c r="B3760" s="3">
        <f>IFERROR(__xludf.DUMMYFUNCTION("""COMPUTED_VALUE"""),8280.3)</f>
        <v>8280.3</v>
      </c>
      <c r="C3760" s="3">
        <f>IFERROR(__xludf.DUMMYFUNCTION("""COMPUTED_VALUE"""),8294.05)</f>
        <v>8294.05</v>
      </c>
      <c r="D3760" s="3">
        <f>IFERROR(__xludf.DUMMYFUNCTION("""COMPUTED_VALUE"""),8229.2)</f>
        <v>8229.2</v>
      </c>
      <c r="E3760" s="3">
        <f>IFERROR(__xludf.DUMMYFUNCTION("""COMPUTED_VALUE"""),8261.65)</f>
        <v>8261.65</v>
      </c>
      <c r="F3760" s="3">
        <f>IFERROR(__xludf.DUMMYFUNCTION("""COMPUTED_VALUE"""),0.0)</f>
        <v>0</v>
      </c>
    </row>
    <row r="3761">
      <c r="A3761" s="7">
        <f>IFERROR(__xludf.DUMMYFUNCTION("""COMPUTED_VALUE"""),42298.64583333333)</f>
        <v>42298.64583</v>
      </c>
      <c r="B3761" s="3">
        <f>IFERROR(__xludf.DUMMYFUNCTION("""COMPUTED_VALUE"""),8258.35)</f>
        <v>8258.35</v>
      </c>
      <c r="C3761" s="3">
        <f>IFERROR(__xludf.DUMMYFUNCTION("""COMPUTED_VALUE"""),8294.4)</f>
        <v>8294.4</v>
      </c>
      <c r="D3761" s="3">
        <f>IFERROR(__xludf.DUMMYFUNCTION("""COMPUTED_VALUE"""),8217.15)</f>
        <v>8217.15</v>
      </c>
      <c r="E3761" s="3">
        <f>IFERROR(__xludf.DUMMYFUNCTION("""COMPUTED_VALUE"""),8251.7)</f>
        <v>8251.7</v>
      </c>
      <c r="F3761" s="3">
        <f>IFERROR(__xludf.DUMMYFUNCTION("""COMPUTED_VALUE"""),0.0)</f>
        <v>0</v>
      </c>
    </row>
    <row r="3762">
      <c r="A3762" s="7">
        <f>IFERROR(__xludf.DUMMYFUNCTION("""COMPUTED_VALUE"""),42300.64583333333)</f>
        <v>42300.64583</v>
      </c>
      <c r="B3762" s="3">
        <f>IFERROR(__xludf.DUMMYFUNCTION("""COMPUTED_VALUE"""),8308.25)</f>
        <v>8308.25</v>
      </c>
      <c r="C3762" s="3">
        <f>IFERROR(__xludf.DUMMYFUNCTION("""COMPUTED_VALUE"""),8328.1)</f>
        <v>8328.1</v>
      </c>
      <c r="D3762" s="3">
        <f>IFERROR(__xludf.DUMMYFUNCTION("""COMPUTED_VALUE"""),8280.75)</f>
        <v>8280.75</v>
      </c>
      <c r="E3762" s="3">
        <f>IFERROR(__xludf.DUMMYFUNCTION("""COMPUTED_VALUE"""),8295.45)</f>
        <v>8295.45</v>
      </c>
      <c r="F3762" s="3">
        <f>IFERROR(__xludf.DUMMYFUNCTION("""COMPUTED_VALUE"""),0.0)</f>
        <v>0</v>
      </c>
    </row>
    <row r="3763">
      <c r="A3763" s="7">
        <f>IFERROR(__xludf.DUMMYFUNCTION("""COMPUTED_VALUE"""),42303.64583333333)</f>
        <v>42303.64583</v>
      </c>
      <c r="B3763" s="3">
        <f>IFERROR(__xludf.DUMMYFUNCTION("""COMPUTED_VALUE"""),8333.65)</f>
        <v>8333.65</v>
      </c>
      <c r="C3763" s="3">
        <f>IFERROR(__xludf.DUMMYFUNCTION("""COMPUTED_VALUE"""),8336.3)</f>
        <v>8336.3</v>
      </c>
      <c r="D3763" s="3">
        <f>IFERROR(__xludf.DUMMYFUNCTION("""COMPUTED_VALUE"""),8252.05)</f>
        <v>8252.05</v>
      </c>
      <c r="E3763" s="3">
        <f>IFERROR(__xludf.DUMMYFUNCTION("""COMPUTED_VALUE"""),8260.55)</f>
        <v>8260.55</v>
      </c>
      <c r="F3763" s="3">
        <f>IFERROR(__xludf.DUMMYFUNCTION("""COMPUTED_VALUE"""),0.0)</f>
        <v>0</v>
      </c>
    </row>
    <row r="3764">
      <c r="A3764" s="7">
        <f>IFERROR(__xludf.DUMMYFUNCTION("""COMPUTED_VALUE"""),42304.64583333333)</f>
        <v>42304.64583</v>
      </c>
      <c r="B3764" s="3">
        <f>IFERROR(__xludf.DUMMYFUNCTION("""COMPUTED_VALUE"""),8230.35)</f>
        <v>8230.35</v>
      </c>
      <c r="C3764" s="3">
        <f>IFERROR(__xludf.DUMMYFUNCTION("""COMPUTED_VALUE"""),8241.95)</f>
        <v>8241.95</v>
      </c>
      <c r="D3764" s="3">
        <f>IFERROR(__xludf.DUMMYFUNCTION("""COMPUTED_VALUE"""),8217.05)</f>
        <v>8217.05</v>
      </c>
      <c r="E3764" s="3">
        <f>IFERROR(__xludf.DUMMYFUNCTION("""COMPUTED_VALUE"""),8232.9)</f>
        <v>8232.9</v>
      </c>
      <c r="F3764" s="3">
        <f>IFERROR(__xludf.DUMMYFUNCTION("""COMPUTED_VALUE"""),0.0)</f>
        <v>0</v>
      </c>
    </row>
    <row r="3765">
      <c r="A3765" s="7">
        <f>IFERROR(__xludf.DUMMYFUNCTION("""COMPUTED_VALUE"""),42305.64583333333)</f>
        <v>42305.64583</v>
      </c>
      <c r="B3765" s="3">
        <f>IFERROR(__xludf.DUMMYFUNCTION("""COMPUTED_VALUE"""),8188.9)</f>
        <v>8188.9</v>
      </c>
      <c r="C3765" s="3">
        <f>IFERROR(__xludf.DUMMYFUNCTION("""COMPUTED_VALUE"""),8209.1)</f>
        <v>8209.1</v>
      </c>
      <c r="D3765" s="3">
        <f>IFERROR(__xludf.DUMMYFUNCTION("""COMPUTED_VALUE"""),8131.8)</f>
        <v>8131.8</v>
      </c>
      <c r="E3765" s="3">
        <f>IFERROR(__xludf.DUMMYFUNCTION("""COMPUTED_VALUE"""),8171.2)</f>
        <v>8171.2</v>
      </c>
      <c r="F3765" s="3">
        <f>IFERROR(__xludf.DUMMYFUNCTION("""COMPUTED_VALUE"""),0.0)</f>
        <v>0</v>
      </c>
    </row>
    <row r="3766">
      <c r="A3766" s="7">
        <f>IFERROR(__xludf.DUMMYFUNCTION("""COMPUTED_VALUE"""),42306.64583333333)</f>
        <v>42306.64583</v>
      </c>
      <c r="B3766" s="3">
        <f>IFERROR(__xludf.DUMMYFUNCTION("""COMPUTED_VALUE"""),8175.45)</f>
        <v>8175.45</v>
      </c>
      <c r="C3766" s="3">
        <f>IFERROR(__xludf.DUMMYFUNCTION("""COMPUTED_VALUE"""),8179.6)</f>
        <v>8179.6</v>
      </c>
      <c r="D3766" s="3">
        <f>IFERROR(__xludf.DUMMYFUNCTION("""COMPUTED_VALUE"""),8098.0)</f>
        <v>8098</v>
      </c>
      <c r="E3766" s="3">
        <f>IFERROR(__xludf.DUMMYFUNCTION("""COMPUTED_VALUE"""),8111.75)</f>
        <v>8111.75</v>
      </c>
      <c r="F3766" s="3">
        <f>IFERROR(__xludf.DUMMYFUNCTION("""COMPUTED_VALUE"""),0.0)</f>
        <v>0</v>
      </c>
    </row>
    <row r="3767">
      <c r="A3767" s="7">
        <f>IFERROR(__xludf.DUMMYFUNCTION("""COMPUTED_VALUE"""),42307.64583333333)</f>
        <v>42307.64583</v>
      </c>
      <c r="B3767" s="3">
        <f>IFERROR(__xludf.DUMMYFUNCTION("""COMPUTED_VALUE"""),8123.55)</f>
        <v>8123.55</v>
      </c>
      <c r="C3767" s="3">
        <f>IFERROR(__xludf.DUMMYFUNCTION("""COMPUTED_VALUE"""),8146.1)</f>
        <v>8146.1</v>
      </c>
      <c r="D3767" s="3">
        <f>IFERROR(__xludf.DUMMYFUNCTION("""COMPUTED_VALUE"""),8044.4)</f>
        <v>8044.4</v>
      </c>
      <c r="E3767" s="3">
        <f>IFERROR(__xludf.DUMMYFUNCTION("""COMPUTED_VALUE"""),8065.8)</f>
        <v>8065.8</v>
      </c>
      <c r="F3767" s="3">
        <f>IFERROR(__xludf.DUMMYFUNCTION("""COMPUTED_VALUE"""),0.0)</f>
        <v>0</v>
      </c>
    </row>
    <row r="3768">
      <c r="A3768" s="7">
        <f>IFERROR(__xludf.DUMMYFUNCTION("""COMPUTED_VALUE"""),42310.64583333333)</f>
        <v>42310.64583</v>
      </c>
      <c r="B3768" s="3">
        <f>IFERROR(__xludf.DUMMYFUNCTION("""COMPUTED_VALUE"""),8054.55)</f>
        <v>8054.55</v>
      </c>
      <c r="C3768" s="3">
        <f>IFERROR(__xludf.DUMMYFUNCTION("""COMPUTED_VALUE"""),8060.7)</f>
        <v>8060.7</v>
      </c>
      <c r="D3768" s="3">
        <f>IFERROR(__xludf.DUMMYFUNCTION("""COMPUTED_VALUE"""),7995.6)</f>
        <v>7995.6</v>
      </c>
      <c r="E3768" s="3">
        <f>IFERROR(__xludf.DUMMYFUNCTION("""COMPUTED_VALUE"""),8050.8)</f>
        <v>8050.8</v>
      </c>
      <c r="F3768" s="3">
        <f>IFERROR(__xludf.DUMMYFUNCTION("""COMPUTED_VALUE"""),0.0)</f>
        <v>0</v>
      </c>
    </row>
    <row r="3769">
      <c r="A3769" s="7">
        <f>IFERROR(__xludf.DUMMYFUNCTION("""COMPUTED_VALUE"""),42311.64583333333)</f>
        <v>42311.64583</v>
      </c>
      <c r="B3769" s="3">
        <f>IFERROR(__xludf.DUMMYFUNCTION("""COMPUTED_VALUE"""),8086.35)</f>
        <v>8086.35</v>
      </c>
      <c r="C3769" s="3">
        <f>IFERROR(__xludf.DUMMYFUNCTION("""COMPUTED_VALUE"""),8100.35)</f>
        <v>8100.35</v>
      </c>
      <c r="D3769" s="3">
        <f>IFERROR(__xludf.DUMMYFUNCTION("""COMPUTED_VALUE"""),8031.75)</f>
        <v>8031.75</v>
      </c>
      <c r="E3769" s="3">
        <f>IFERROR(__xludf.DUMMYFUNCTION("""COMPUTED_VALUE"""),8060.7)</f>
        <v>8060.7</v>
      </c>
      <c r="F3769" s="3">
        <f>IFERROR(__xludf.DUMMYFUNCTION("""COMPUTED_VALUE"""),0.0)</f>
        <v>0</v>
      </c>
    </row>
    <row r="3770">
      <c r="A3770" s="7">
        <f>IFERROR(__xludf.DUMMYFUNCTION("""COMPUTED_VALUE"""),42312.64583333333)</f>
        <v>42312.64583</v>
      </c>
      <c r="B3770" s="3">
        <f>IFERROR(__xludf.DUMMYFUNCTION("""COMPUTED_VALUE"""),8104.9)</f>
        <v>8104.9</v>
      </c>
      <c r="C3770" s="3">
        <f>IFERROR(__xludf.DUMMYFUNCTION("""COMPUTED_VALUE"""),8116.1)</f>
        <v>8116.1</v>
      </c>
      <c r="D3770" s="3">
        <f>IFERROR(__xludf.DUMMYFUNCTION("""COMPUTED_VALUE"""),8027.3)</f>
        <v>8027.3</v>
      </c>
      <c r="E3770" s="3">
        <f>IFERROR(__xludf.DUMMYFUNCTION("""COMPUTED_VALUE"""),8040.2)</f>
        <v>8040.2</v>
      </c>
      <c r="F3770" s="3">
        <f>IFERROR(__xludf.DUMMYFUNCTION("""COMPUTED_VALUE"""),0.0)</f>
        <v>0</v>
      </c>
    </row>
    <row r="3771">
      <c r="A3771" s="7">
        <f>IFERROR(__xludf.DUMMYFUNCTION("""COMPUTED_VALUE"""),42313.64583333333)</f>
        <v>42313.64583</v>
      </c>
      <c r="B3771" s="3">
        <f>IFERROR(__xludf.DUMMYFUNCTION("""COMPUTED_VALUE"""),8030.35)</f>
        <v>8030.35</v>
      </c>
      <c r="C3771" s="3">
        <f>IFERROR(__xludf.DUMMYFUNCTION("""COMPUTED_VALUE"""),8031.2)</f>
        <v>8031.2</v>
      </c>
      <c r="D3771" s="3">
        <f>IFERROR(__xludf.DUMMYFUNCTION("""COMPUTED_VALUE"""),7944.1)</f>
        <v>7944.1</v>
      </c>
      <c r="E3771" s="3">
        <f>IFERROR(__xludf.DUMMYFUNCTION("""COMPUTED_VALUE"""),7955.45)</f>
        <v>7955.45</v>
      </c>
      <c r="F3771" s="3">
        <f>IFERROR(__xludf.DUMMYFUNCTION("""COMPUTED_VALUE"""),0.0)</f>
        <v>0</v>
      </c>
    </row>
    <row r="3772">
      <c r="A3772" s="7">
        <f>IFERROR(__xludf.DUMMYFUNCTION("""COMPUTED_VALUE"""),42314.64583333333)</f>
        <v>42314.64583</v>
      </c>
      <c r="B3772" s="3">
        <f>IFERROR(__xludf.DUMMYFUNCTION("""COMPUTED_VALUE"""),7956.55)</f>
        <v>7956.55</v>
      </c>
      <c r="C3772" s="3">
        <f>IFERROR(__xludf.DUMMYFUNCTION("""COMPUTED_VALUE"""),8002.65)</f>
        <v>8002.65</v>
      </c>
      <c r="D3772" s="3">
        <f>IFERROR(__xludf.DUMMYFUNCTION("""COMPUTED_VALUE"""),7926.15)</f>
        <v>7926.15</v>
      </c>
      <c r="E3772" s="3">
        <f>IFERROR(__xludf.DUMMYFUNCTION("""COMPUTED_VALUE"""),7954.3)</f>
        <v>7954.3</v>
      </c>
      <c r="F3772" s="3">
        <f>IFERROR(__xludf.DUMMYFUNCTION("""COMPUTED_VALUE"""),0.0)</f>
        <v>0</v>
      </c>
    </row>
    <row r="3773">
      <c r="A3773" s="7">
        <f>IFERROR(__xludf.DUMMYFUNCTION("""COMPUTED_VALUE"""),42317.64583333333)</f>
        <v>42317.64583</v>
      </c>
      <c r="B3773" s="3">
        <f>IFERROR(__xludf.DUMMYFUNCTION("""COMPUTED_VALUE"""),7788.25)</f>
        <v>7788.25</v>
      </c>
      <c r="C3773" s="3">
        <f>IFERROR(__xludf.DUMMYFUNCTION("""COMPUTED_VALUE"""),7937.75)</f>
        <v>7937.75</v>
      </c>
      <c r="D3773" s="3">
        <f>IFERROR(__xludf.DUMMYFUNCTION("""COMPUTED_VALUE"""),7771.7)</f>
        <v>7771.7</v>
      </c>
      <c r="E3773" s="3">
        <f>IFERROR(__xludf.DUMMYFUNCTION("""COMPUTED_VALUE"""),7915.2)</f>
        <v>7915.2</v>
      </c>
      <c r="F3773" s="3">
        <f>IFERROR(__xludf.DUMMYFUNCTION("""COMPUTED_VALUE"""),0.0)</f>
        <v>0</v>
      </c>
    </row>
    <row r="3774">
      <c r="A3774" s="7">
        <f>IFERROR(__xludf.DUMMYFUNCTION("""COMPUTED_VALUE"""),42318.64583333333)</f>
        <v>42318.64583</v>
      </c>
      <c r="B3774" s="3">
        <f>IFERROR(__xludf.DUMMYFUNCTION("""COMPUTED_VALUE"""),7877.6)</f>
        <v>7877.6</v>
      </c>
      <c r="C3774" s="3">
        <f>IFERROR(__xludf.DUMMYFUNCTION("""COMPUTED_VALUE"""),7885.1)</f>
        <v>7885.1</v>
      </c>
      <c r="D3774" s="3">
        <f>IFERROR(__xludf.DUMMYFUNCTION("""COMPUTED_VALUE"""),7772.85)</f>
        <v>7772.85</v>
      </c>
      <c r="E3774" s="3">
        <f>IFERROR(__xludf.DUMMYFUNCTION("""COMPUTED_VALUE"""),7783.35)</f>
        <v>7783.35</v>
      </c>
      <c r="F3774" s="3">
        <f>IFERROR(__xludf.DUMMYFUNCTION("""COMPUTED_VALUE"""),0.0)</f>
        <v>0</v>
      </c>
    </row>
    <row r="3775">
      <c r="A3775" s="7">
        <f>IFERROR(__xludf.DUMMYFUNCTION("""COMPUTED_VALUE"""),42321.64583333333)</f>
        <v>42321.64583</v>
      </c>
      <c r="B3775" s="3">
        <f>IFERROR(__xludf.DUMMYFUNCTION("""COMPUTED_VALUE"""),7762.45)</f>
        <v>7762.45</v>
      </c>
      <c r="C3775" s="3">
        <f>IFERROR(__xludf.DUMMYFUNCTION("""COMPUTED_VALUE"""),7775.1)</f>
        <v>7775.1</v>
      </c>
      <c r="D3775" s="3">
        <f>IFERROR(__xludf.DUMMYFUNCTION("""COMPUTED_VALUE"""),7730.9)</f>
        <v>7730.9</v>
      </c>
      <c r="E3775" s="3">
        <f>IFERROR(__xludf.DUMMYFUNCTION("""COMPUTED_VALUE"""),7762.25)</f>
        <v>7762.25</v>
      </c>
      <c r="F3775" s="3">
        <f>IFERROR(__xludf.DUMMYFUNCTION("""COMPUTED_VALUE"""),0.0)</f>
        <v>0</v>
      </c>
    </row>
    <row r="3776">
      <c r="A3776" s="7">
        <f>IFERROR(__xludf.DUMMYFUNCTION("""COMPUTED_VALUE"""),42324.64583333333)</f>
        <v>42324.64583</v>
      </c>
      <c r="B3776" s="3">
        <f>IFERROR(__xludf.DUMMYFUNCTION("""COMPUTED_VALUE"""),7732.95)</f>
        <v>7732.95</v>
      </c>
      <c r="C3776" s="3">
        <f>IFERROR(__xludf.DUMMYFUNCTION("""COMPUTED_VALUE"""),7838.85)</f>
        <v>7838.85</v>
      </c>
      <c r="D3776" s="3">
        <f>IFERROR(__xludf.DUMMYFUNCTION("""COMPUTED_VALUE"""),7714.15)</f>
        <v>7714.15</v>
      </c>
      <c r="E3776" s="3">
        <f>IFERROR(__xludf.DUMMYFUNCTION("""COMPUTED_VALUE"""),7806.6)</f>
        <v>7806.6</v>
      </c>
      <c r="F3776" s="3">
        <f>IFERROR(__xludf.DUMMYFUNCTION("""COMPUTED_VALUE"""),0.0)</f>
        <v>0</v>
      </c>
    </row>
    <row r="3777">
      <c r="A3777" s="7">
        <f>IFERROR(__xludf.DUMMYFUNCTION("""COMPUTED_VALUE"""),42325.64583333333)</f>
        <v>42325.64583</v>
      </c>
      <c r="B3777" s="3">
        <f>IFERROR(__xludf.DUMMYFUNCTION("""COMPUTED_VALUE"""),7848.75)</f>
        <v>7848.75</v>
      </c>
      <c r="C3777" s="3">
        <f>IFERROR(__xludf.DUMMYFUNCTION("""COMPUTED_VALUE"""),7860.45)</f>
        <v>7860.45</v>
      </c>
      <c r="D3777" s="3">
        <f>IFERROR(__xludf.DUMMYFUNCTION("""COMPUTED_VALUE"""),7793.0)</f>
        <v>7793</v>
      </c>
      <c r="E3777" s="3">
        <f>IFERROR(__xludf.DUMMYFUNCTION("""COMPUTED_VALUE"""),7837.55)</f>
        <v>7837.55</v>
      </c>
      <c r="F3777" s="3">
        <f>IFERROR(__xludf.DUMMYFUNCTION("""COMPUTED_VALUE"""),0.0)</f>
        <v>0</v>
      </c>
    </row>
    <row r="3778">
      <c r="A3778" s="7">
        <f>IFERROR(__xludf.DUMMYFUNCTION("""COMPUTED_VALUE"""),42326.64583333333)</f>
        <v>42326.64583</v>
      </c>
      <c r="B3778" s="3">
        <f>IFERROR(__xludf.DUMMYFUNCTION("""COMPUTED_VALUE"""),7823.15)</f>
        <v>7823.15</v>
      </c>
      <c r="C3778" s="3">
        <f>IFERROR(__xludf.DUMMYFUNCTION("""COMPUTED_VALUE"""),7843.4)</f>
        <v>7843.4</v>
      </c>
      <c r="D3778" s="3">
        <f>IFERROR(__xludf.DUMMYFUNCTION("""COMPUTED_VALUE"""),7725.05)</f>
        <v>7725.05</v>
      </c>
      <c r="E3778" s="3">
        <f>IFERROR(__xludf.DUMMYFUNCTION("""COMPUTED_VALUE"""),7731.8)</f>
        <v>7731.8</v>
      </c>
      <c r="F3778" s="3">
        <f>IFERROR(__xludf.DUMMYFUNCTION("""COMPUTED_VALUE"""),0.0)</f>
        <v>0</v>
      </c>
    </row>
    <row r="3779">
      <c r="A3779" s="7">
        <f>IFERROR(__xludf.DUMMYFUNCTION("""COMPUTED_VALUE"""),42327.64583333333)</f>
        <v>42327.64583</v>
      </c>
      <c r="B3779" s="3">
        <f>IFERROR(__xludf.DUMMYFUNCTION("""COMPUTED_VALUE"""),7788.5)</f>
        <v>7788.5</v>
      </c>
      <c r="C3779" s="3">
        <f>IFERROR(__xludf.DUMMYFUNCTION("""COMPUTED_VALUE"""),7854.9)</f>
        <v>7854.9</v>
      </c>
      <c r="D3779" s="3">
        <f>IFERROR(__xludf.DUMMYFUNCTION("""COMPUTED_VALUE"""),7765.45)</f>
        <v>7765.45</v>
      </c>
      <c r="E3779" s="3">
        <f>IFERROR(__xludf.DUMMYFUNCTION("""COMPUTED_VALUE"""),7842.75)</f>
        <v>7842.75</v>
      </c>
      <c r="F3779" s="3">
        <f>IFERROR(__xludf.DUMMYFUNCTION("""COMPUTED_VALUE"""),0.0)</f>
        <v>0</v>
      </c>
    </row>
    <row r="3780">
      <c r="A3780" s="7">
        <f>IFERROR(__xludf.DUMMYFUNCTION("""COMPUTED_VALUE"""),42328.64583333333)</f>
        <v>42328.64583</v>
      </c>
      <c r="B3780" s="3">
        <f>IFERROR(__xludf.DUMMYFUNCTION("""COMPUTED_VALUE"""),7841.9)</f>
        <v>7841.9</v>
      </c>
      <c r="C3780" s="3">
        <f>IFERROR(__xludf.DUMMYFUNCTION("""COMPUTED_VALUE"""),7906.95)</f>
        <v>7906.95</v>
      </c>
      <c r="D3780" s="3">
        <f>IFERROR(__xludf.DUMMYFUNCTION("""COMPUTED_VALUE"""),7817.8)</f>
        <v>7817.8</v>
      </c>
      <c r="E3780" s="3">
        <f>IFERROR(__xludf.DUMMYFUNCTION("""COMPUTED_VALUE"""),7856.55)</f>
        <v>7856.55</v>
      </c>
      <c r="F3780" s="3">
        <f>IFERROR(__xludf.DUMMYFUNCTION("""COMPUTED_VALUE"""),0.0)</f>
        <v>0</v>
      </c>
    </row>
    <row r="3781">
      <c r="A3781" s="7">
        <f>IFERROR(__xludf.DUMMYFUNCTION("""COMPUTED_VALUE"""),42331.64583333333)</f>
        <v>42331.64583</v>
      </c>
      <c r="B3781" s="3">
        <f>IFERROR(__xludf.DUMMYFUNCTION("""COMPUTED_VALUE"""),7869.5)</f>
        <v>7869.5</v>
      </c>
      <c r="C3781" s="3">
        <f>IFERROR(__xludf.DUMMYFUNCTION("""COMPUTED_VALUE"""),7877.5)</f>
        <v>7877.5</v>
      </c>
      <c r="D3781" s="3">
        <f>IFERROR(__xludf.DUMMYFUNCTION("""COMPUTED_VALUE"""),7825.2)</f>
        <v>7825.2</v>
      </c>
      <c r="E3781" s="3">
        <f>IFERROR(__xludf.DUMMYFUNCTION("""COMPUTED_VALUE"""),7849.25)</f>
        <v>7849.25</v>
      </c>
      <c r="F3781" s="3">
        <f>IFERROR(__xludf.DUMMYFUNCTION("""COMPUTED_VALUE"""),0.0)</f>
        <v>0</v>
      </c>
    </row>
    <row r="3782">
      <c r="A3782" s="7">
        <f>IFERROR(__xludf.DUMMYFUNCTION("""COMPUTED_VALUE"""),42332.64583333333)</f>
        <v>42332.64583</v>
      </c>
      <c r="B3782" s="3">
        <f>IFERROR(__xludf.DUMMYFUNCTION("""COMPUTED_VALUE"""),7837.0)</f>
        <v>7837</v>
      </c>
      <c r="C3782" s="3">
        <f>IFERROR(__xludf.DUMMYFUNCTION("""COMPUTED_VALUE"""),7870.35)</f>
        <v>7870.35</v>
      </c>
      <c r="D3782" s="3">
        <f>IFERROR(__xludf.DUMMYFUNCTION("""COMPUTED_VALUE"""),7812.65)</f>
        <v>7812.65</v>
      </c>
      <c r="E3782" s="3">
        <f>IFERROR(__xludf.DUMMYFUNCTION("""COMPUTED_VALUE"""),7831.6)</f>
        <v>7831.6</v>
      </c>
      <c r="F3782" s="3">
        <f>IFERROR(__xludf.DUMMYFUNCTION("""COMPUTED_VALUE"""),0.0)</f>
        <v>0</v>
      </c>
    </row>
    <row r="3783">
      <c r="A3783" s="7">
        <f>IFERROR(__xludf.DUMMYFUNCTION("""COMPUTED_VALUE"""),42334.64583333333)</f>
        <v>42334.64583</v>
      </c>
      <c r="B3783" s="3">
        <f>IFERROR(__xludf.DUMMYFUNCTION("""COMPUTED_VALUE"""),7837.15)</f>
        <v>7837.15</v>
      </c>
      <c r="C3783" s="3">
        <f>IFERROR(__xludf.DUMMYFUNCTION("""COMPUTED_VALUE"""),7897.1)</f>
        <v>7897.1</v>
      </c>
      <c r="D3783" s="3">
        <f>IFERROR(__xludf.DUMMYFUNCTION("""COMPUTED_VALUE"""),7832.0)</f>
        <v>7832</v>
      </c>
      <c r="E3783" s="3">
        <f>IFERROR(__xludf.DUMMYFUNCTION("""COMPUTED_VALUE"""),7883.8)</f>
        <v>7883.8</v>
      </c>
      <c r="F3783" s="3">
        <f>IFERROR(__xludf.DUMMYFUNCTION("""COMPUTED_VALUE"""),0.0)</f>
        <v>0</v>
      </c>
    </row>
    <row r="3784">
      <c r="A3784" s="7">
        <f>IFERROR(__xludf.DUMMYFUNCTION("""COMPUTED_VALUE"""),42335.64583333333)</f>
        <v>42335.64583</v>
      </c>
      <c r="B3784" s="3">
        <f>IFERROR(__xludf.DUMMYFUNCTION("""COMPUTED_VALUE"""),7910.6)</f>
        <v>7910.6</v>
      </c>
      <c r="C3784" s="3">
        <f>IFERROR(__xludf.DUMMYFUNCTION("""COMPUTED_VALUE"""),7959.3)</f>
        <v>7959.3</v>
      </c>
      <c r="D3784" s="3">
        <f>IFERROR(__xludf.DUMMYFUNCTION("""COMPUTED_VALUE"""),7879.45)</f>
        <v>7879.45</v>
      </c>
      <c r="E3784" s="3">
        <f>IFERROR(__xludf.DUMMYFUNCTION("""COMPUTED_VALUE"""),7942.7)</f>
        <v>7942.7</v>
      </c>
      <c r="F3784" s="3">
        <f>IFERROR(__xludf.DUMMYFUNCTION("""COMPUTED_VALUE"""),0.0)</f>
        <v>0</v>
      </c>
    </row>
    <row r="3785">
      <c r="A3785" s="7">
        <f>IFERROR(__xludf.DUMMYFUNCTION("""COMPUTED_VALUE"""),42338.64583333333)</f>
        <v>42338.64583</v>
      </c>
      <c r="B3785" s="3">
        <f>IFERROR(__xludf.DUMMYFUNCTION("""COMPUTED_VALUE"""),7936.25)</f>
        <v>7936.25</v>
      </c>
      <c r="C3785" s="3">
        <f>IFERROR(__xludf.DUMMYFUNCTION("""COMPUTED_VALUE"""),7966.0)</f>
        <v>7966</v>
      </c>
      <c r="D3785" s="3">
        <f>IFERROR(__xludf.DUMMYFUNCTION("""COMPUTED_VALUE"""),7922.8)</f>
        <v>7922.8</v>
      </c>
      <c r="E3785" s="3">
        <f>IFERROR(__xludf.DUMMYFUNCTION("""COMPUTED_VALUE"""),7935.25)</f>
        <v>7935.25</v>
      </c>
      <c r="F3785" s="3">
        <f>IFERROR(__xludf.DUMMYFUNCTION("""COMPUTED_VALUE"""),0.0)</f>
        <v>0</v>
      </c>
    </row>
    <row r="3786">
      <c r="A3786" s="7">
        <f>IFERROR(__xludf.DUMMYFUNCTION("""COMPUTED_VALUE"""),42339.64583333333)</f>
        <v>42339.64583</v>
      </c>
      <c r="B3786" s="3">
        <f>IFERROR(__xludf.DUMMYFUNCTION("""COMPUTED_VALUE"""),7958.15)</f>
        <v>7958.15</v>
      </c>
      <c r="C3786" s="3">
        <f>IFERROR(__xludf.DUMMYFUNCTION("""COMPUTED_VALUE"""),7972.15)</f>
        <v>7972.15</v>
      </c>
      <c r="D3786" s="3">
        <f>IFERROR(__xludf.DUMMYFUNCTION("""COMPUTED_VALUE"""),7934.15)</f>
        <v>7934.15</v>
      </c>
      <c r="E3786" s="3">
        <f>IFERROR(__xludf.DUMMYFUNCTION("""COMPUTED_VALUE"""),7954.9)</f>
        <v>7954.9</v>
      </c>
      <c r="F3786" s="3">
        <f>IFERROR(__xludf.DUMMYFUNCTION("""COMPUTED_VALUE"""),0.0)</f>
        <v>0</v>
      </c>
    </row>
    <row r="3787">
      <c r="A3787" s="7">
        <f>IFERROR(__xludf.DUMMYFUNCTION("""COMPUTED_VALUE"""),42340.64583333333)</f>
        <v>42340.64583</v>
      </c>
      <c r="B3787" s="3">
        <f>IFERROR(__xludf.DUMMYFUNCTION("""COMPUTED_VALUE"""),7976.7)</f>
        <v>7976.7</v>
      </c>
      <c r="C3787" s="3">
        <f>IFERROR(__xludf.DUMMYFUNCTION("""COMPUTED_VALUE"""),7979.3)</f>
        <v>7979.3</v>
      </c>
      <c r="D3787" s="3">
        <f>IFERROR(__xludf.DUMMYFUNCTION("""COMPUTED_VALUE"""),7910.8)</f>
        <v>7910.8</v>
      </c>
      <c r="E3787" s="3">
        <f>IFERROR(__xludf.DUMMYFUNCTION("""COMPUTED_VALUE"""),7931.35)</f>
        <v>7931.35</v>
      </c>
      <c r="F3787" s="3">
        <f>IFERROR(__xludf.DUMMYFUNCTION("""COMPUTED_VALUE"""),0.0)</f>
        <v>0</v>
      </c>
    </row>
    <row r="3788">
      <c r="A3788" s="7">
        <f>IFERROR(__xludf.DUMMYFUNCTION("""COMPUTED_VALUE"""),42341.64583333333)</f>
        <v>42341.64583</v>
      </c>
      <c r="B3788" s="3">
        <f>IFERROR(__xludf.DUMMYFUNCTION("""COMPUTED_VALUE"""),7902.3)</f>
        <v>7902.3</v>
      </c>
      <c r="C3788" s="3">
        <f>IFERROR(__xludf.DUMMYFUNCTION("""COMPUTED_VALUE"""),7912.3)</f>
        <v>7912.3</v>
      </c>
      <c r="D3788" s="3">
        <f>IFERROR(__xludf.DUMMYFUNCTION("""COMPUTED_VALUE"""),7853.3)</f>
        <v>7853.3</v>
      </c>
      <c r="E3788" s="3">
        <f>IFERROR(__xludf.DUMMYFUNCTION("""COMPUTED_VALUE"""),7864.15)</f>
        <v>7864.15</v>
      </c>
      <c r="F3788" s="3">
        <f>IFERROR(__xludf.DUMMYFUNCTION("""COMPUTED_VALUE"""),0.0)</f>
        <v>0</v>
      </c>
    </row>
    <row r="3789">
      <c r="A3789" s="7">
        <f>IFERROR(__xludf.DUMMYFUNCTION("""COMPUTED_VALUE"""),42342.64583333333)</f>
        <v>42342.64583</v>
      </c>
      <c r="B3789" s="3">
        <f>IFERROR(__xludf.DUMMYFUNCTION("""COMPUTED_VALUE"""),7817.6)</f>
        <v>7817.6</v>
      </c>
      <c r="C3789" s="3">
        <f>IFERROR(__xludf.DUMMYFUNCTION("""COMPUTED_VALUE"""),7821.4)</f>
        <v>7821.4</v>
      </c>
      <c r="D3789" s="3">
        <f>IFERROR(__xludf.DUMMYFUNCTION("""COMPUTED_VALUE"""),7775.7)</f>
        <v>7775.7</v>
      </c>
      <c r="E3789" s="3">
        <f>IFERROR(__xludf.DUMMYFUNCTION("""COMPUTED_VALUE"""),7781.9)</f>
        <v>7781.9</v>
      </c>
      <c r="F3789" s="3">
        <f>IFERROR(__xludf.DUMMYFUNCTION("""COMPUTED_VALUE"""),0.0)</f>
        <v>0</v>
      </c>
    </row>
    <row r="3790">
      <c r="A3790" s="7">
        <f>IFERROR(__xludf.DUMMYFUNCTION("""COMPUTED_VALUE"""),42345.64583333333)</f>
        <v>42345.64583</v>
      </c>
      <c r="B3790" s="3">
        <f>IFERROR(__xludf.DUMMYFUNCTION("""COMPUTED_VALUE"""),7816.55)</f>
        <v>7816.55</v>
      </c>
      <c r="C3790" s="3">
        <f>IFERROR(__xludf.DUMMYFUNCTION("""COMPUTED_VALUE"""),7825.4)</f>
        <v>7825.4</v>
      </c>
      <c r="D3790" s="3">
        <f>IFERROR(__xludf.DUMMYFUNCTION("""COMPUTED_VALUE"""),7746.05)</f>
        <v>7746.05</v>
      </c>
      <c r="E3790" s="3">
        <f>IFERROR(__xludf.DUMMYFUNCTION("""COMPUTED_VALUE"""),7765.4)</f>
        <v>7765.4</v>
      </c>
      <c r="F3790" s="3">
        <f>IFERROR(__xludf.DUMMYFUNCTION("""COMPUTED_VALUE"""),0.0)</f>
        <v>0</v>
      </c>
    </row>
    <row r="3791">
      <c r="A3791" s="7">
        <f>IFERROR(__xludf.DUMMYFUNCTION("""COMPUTED_VALUE"""),42346.64583333333)</f>
        <v>42346.64583</v>
      </c>
      <c r="B3791" s="3">
        <f>IFERROR(__xludf.DUMMYFUNCTION("""COMPUTED_VALUE"""),7738.5)</f>
        <v>7738.5</v>
      </c>
      <c r="C3791" s="3">
        <f>IFERROR(__xludf.DUMMYFUNCTION("""COMPUTED_VALUE"""),7771.25)</f>
        <v>7771.25</v>
      </c>
      <c r="D3791" s="3">
        <f>IFERROR(__xludf.DUMMYFUNCTION("""COMPUTED_VALUE"""),7685.45)</f>
        <v>7685.45</v>
      </c>
      <c r="E3791" s="3">
        <f>IFERROR(__xludf.DUMMYFUNCTION("""COMPUTED_VALUE"""),7701.7)</f>
        <v>7701.7</v>
      </c>
      <c r="F3791" s="3">
        <f>IFERROR(__xludf.DUMMYFUNCTION("""COMPUTED_VALUE"""),0.0)</f>
        <v>0</v>
      </c>
    </row>
    <row r="3792">
      <c r="A3792" s="7">
        <f>IFERROR(__xludf.DUMMYFUNCTION("""COMPUTED_VALUE"""),42347.64583333333)</f>
        <v>42347.64583</v>
      </c>
      <c r="B3792" s="3">
        <f>IFERROR(__xludf.DUMMYFUNCTION("""COMPUTED_VALUE"""),7695.5)</f>
        <v>7695.5</v>
      </c>
      <c r="C3792" s="3">
        <f>IFERROR(__xludf.DUMMYFUNCTION("""COMPUTED_VALUE"""),7702.85)</f>
        <v>7702.85</v>
      </c>
      <c r="D3792" s="3">
        <f>IFERROR(__xludf.DUMMYFUNCTION("""COMPUTED_VALUE"""),7606.9)</f>
        <v>7606.9</v>
      </c>
      <c r="E3792" s="3">
        <f>IFERROR(__xludf.DUMMYFUNCTION("""COMPUTED_VALUE"""),7612.5)</f>
        <v>7612.5</v>
      </c>
      <c r="F3792" s="3">
        <f>IFERROR(__xludf.DUMMYFUNCTION("""COMPUTED_VALUE"""),0.0)</f>
        <v>0</v>
      </c>
    </row>
    <row r="3793">
      <c r="A3793" s="7">
        <f>IFERROR(__xludf.DUMMYFUNCTION("""COMPUTED_VALUE"""),42348.64583333333)</f>
        <v>42348.64583</v>
      </c>
      <c r="B3793" s="3">
        <f>IFERROR(__xludf.DUMMYFUNCTION("""COMPUTED_VALUE"""),7643.3)</f>
        <v>7643.3</v>
      </c>
      <c r="C3793" s="3">
        <f>IFERROR(__xludf.DUMMYFUNCTION("""COMPUTED_VALUE"""),7691.95)</f>
        <v>7691.95</v>
      </c>
      <c r="D3793" s="3">
        <f>IFERROR(__xludf.DUMMYFUNCTION("""COMPUTED_VALUE"""),7610.0)</f>
        <v>7610</v>
      </c>
      <c r="E3793" s="3">
        <f>IFERROR(__xludf.DUMMYFUNCTION("""COMPUTED_VALUE"""),7683.3)</f>
        <v>7683.3</v>
      </c>
      <c r="F3793" s="3">
        <f>IFERROR(__xludf.DUMMYFUNCTION("""COMPUTED_VALUE"""),0.0)</f>
        <v>0</v>
      </c>
    </row>
    <row r="3794">
      <c r="A3794" s="7">
        <f>IFERROR(__xludf.DUMMYFUNCTION("""COMPUTED_VALUE"""),42349.64583333333)</f>
        <v>42349.64583</v>
      </c>
      <c r="B3794" s="3">
        <f>IFERROR(__xludf.DUMMYFUNCTION("""COMPUTED_VALUE"""),7699.6)</f>
        <v>7699.6</v>
      </c>
      <c r="C3794" s="3">
        <f>IFERROR(__xludf.DUMMYFUNCTION("""COMPUTED_VALUE"""),7703.05)</f>
        <v>7703.05</v>
      </c>
      <c r="D3794" s="3">
        <f>IFERROR(__xludf.DUMMYFUNCTION("""COMPUTED_VALUE"""),7575.3)</f>
        <v>7575.3</v>
      </c>
      <c r="E3794" s="3">
        <f>IFERROR(__xludf.DUMMYFUNCTION("""COMPUTED_VALUE"""),7610.45)</f>
        <v>7610.45</v>
      </c>
      <c r="F3794" s="3">
        <f>IFERROR(__xludf.DUMMYFUNCTION("""COMPUTED_VALUE"""),0.0)</f>
        <v>0</v>
      </c>
    </row>
    <row r="3795">
      <c r="A3795" s="7">
        <f>IFERROR(__xludf.DUMMYFUNCTION("""COMPUTED_VALUE"""),42352.64583333333)</f>
        <v>42352.64583</v>
      </c>
      <c r="B3795" s="3">
        <f>IFERROR(__xludf.DUMMYFUNCTION("""COMPUTED_VALUE"""),7558.2)</f>
        <v>7558.2</v>
      </c>
      <c r="C3795" s="3">
        <f>IFERROR(__xludf.DUMMYFUNCTION("""COMPUTED_VALUE"""),7663.95)</f>
        <v>7663.95</v>
      </c>
      <c r="D3795" s="3">
        <f>IFERROR(__xludf.DUMMYFUNCTION("""COMPUTED_VALUE"""),7551.05)</f>
        <v>7551.05</v>
      </c>
      <c r="E3795" s="3">
        <f>IFERROR(__xludf.DUMMYFUNCTION("""COMPUTED_VALUE"""),7650.05)</f>
        <v>7650.05</v>
      </c>
      <c r="F3795" s="3">
        <f>IFERROR(__xludf.DUMMYFUNCTION("""COMPUTED_VALUE"""),0.0)</f>
        <v>0</v>
      </c>
    </row>
    <row r="3796">
      <c r="A3796" s="7">
        <f>IFERROR(__xludf.DUMMYFUNCTION("""COMPUTED_VALUE"""),42353.64583333333)</f>
        <v>42353.64583</v>
      </c>
      <c r="B3796" s="3">
        <f>IFERROR(__xludf.DUMMYFUNCTION("""COMPUTED_VALUE"""),7659.15)</f>
        <v>7659.15</v>
      </c>
      <c r="C3796" s="3">
        <f>IFERROR(__xludf.DUMMYFUNCTION("""COMPUTED_VALUE"""),7705.0)</f>
        <v>7705</v>
      </c>
      <c r="D3796" s="3">
        <f>IFERROR(__xludf.DUMMYFUNCTION("""COMPUTED_VALUE"""),7625.1)</f>
        <v>7625.1</v>
      </c>
      <c r="E3796" s="3">
        <f>IFERROR(__xludf.DUMMYFUNCTION("""COMPUTED_VALUE"""),7700.9)</f>
        <v>7700.9</v>
      </c>
      <c r="F3796" s="3">
        <f>IFERROR(__xludf.DUMMYFUNCTION("""COMPUTED_VALUE"""),0.0)</f>
        <v>0</v>
      </c>
    </row>
    <row r="3797">
      <c r="A3797" s="7">
        <f>IFERROR(__xludf.DUMMYFUNCTION("""COMPUTED_VALUE"""),42354.64583333333)</f>
        <v>42354.64583</v>
      </c>
      <c r="B3797" s="3">
        <f>IFERROR(__xludf.DUMMYFUNCTION("""COMPUTED_VALUE"""),7725.25)</f>
        <v>7725.25</v>
      </c>
      <c r="C3797" s="3">
        <f>IFERROR(__xludf.DUMMYFUNCTION("""COMPUTED_VALUE"""),7776.6)</f>
        <v>7776.6</v>
      </c>
      <c r="D3797" s="3">
        <f>IFERROR(__xludf.DUMMYFUNCTION("""COMPUTED_VALUE"""),7715.75)</f>
        <v>7715.75</v>
      </c>
      <c r="E3797" s="3">
        <f>IFERROR(__xludf.DUMMYFUNCTION("""COMPUTED_VALUE"""),7750.9)</f>
        <v>7750.9</v>
      </c>
      <c r="F3797" s="3">
        <f>IFERROR(__xludf.DUMMYFUNCTION("""COMPUTED_VALUE"""),0.0)</f>
        <v>0</v>
      </c>
    </row>
    <row r="3798">
      <c r="A3798" s="7">
        <f>IFERROR(__xludf.DUMMYFUNCTION("""COMPUTED_VALUE"""),42355.64583333333)</f>
        <v>42355.64583</v>
      </c>
      <c r="B3798" s="3">
        <f>IFERROR(__xludf.DUMMYFUNCTION("""COMPUTED_VALUE"""),7783.05)</f>
        <v>7783.05</v>
      </c>
      <c r="C3798" s="3">
        <f>IFERROR(__xludf.DUMMYFUNCTION("""COMPUTED_VALUE"""),7852.9)</f>
        <v>7852.9</v>
      </c>
      <c r="D3798" s="3">
        <f>IFERROR(__xludf.DUMMYFUNCTION("""COMPUTED_VALUE"""),7737.55)</f>
        <v>7737.55</v>
      </c>
      <c r="E3798" s="3">
        <f>IFERROR(__xludf.DUMMYFUNCTION("""COMPUTED_VALUE"""),7844.35)</f>
        <v>7844.35</v>
      </c>
      <c r="F3798" s="3">
        <f>IFERROR(__xludf.DUMMYFUNCTION("""COMPUTED_VALUE"""),0.0)</f>
        <v>0</v>
      </c>
    </row>
    <row r="3799">
      <c r="A3799" s="7">
        <f>IFERROR(__xludf.DUMMYFUNCTION("""COMPUTED_VALUE"""),42356.64583333333)</f>
        <v>42356.64583</v>
      </c>
      <c r="B3799" s="3">
        <f>IFERROR(__xludf.DUMMYFUNCTION("""COMPUTED_VALUE"""),7828.9)</f>
        <v>7828.9</v>
      </c>
      <c r="C3799" s="3">
        <f>IFERROR(__xludf.DUMMYFUNCTION("""COMPUTED_VALUE"""),7836.15)</f>
        <v>7836.15</v>
      </c>
      <c r="D3799" s="3">
        <f>IFERROR(__xludf.DUMMYFUNCTION("""COMPUTED_VALUE"""),7753.35)</f>
        <v>7753.35</v>
      </c>
      <c r="E3799" s="3">
        <f>IFERROR(__xludf.DUMMYFUNCTION("""COMPUTED_VALUE"""),7761.95)</f>
        <v>7761.95</v>
      </c>
      <c r="F3799" s="3">
        <f>IFERROR(__xludf.DUMMYFUNCTION("""COMPUTED_VALUE"""),0.0)</f>
        <v>0</v>
      </c>
    </row>
    <row r="3800">
      <c r="A3800" s="7">
        <f>IFERROR(__xludf.DUMMYFUNCTION("""COMPUTED_VALUE"""),42359.64583333333)</f>
        <v>42359.64583</v>
      </c>
      <c r="B3800" s="3">
        <f>IFERROR(__xludf.DUMMYFUNCTION("""COMPUTED_VALUE"""),7745.65)</f>
        <v>7745.65</v>
      </c>
      <c r="C3800" s="3">
        <f>IFERROR(__xludf.DUMMYFUNCTION("""COMPUTED_VALUE"""),7840.75)</f>
        <v>7840.75</v>
      </c>
      <c r="D3800" s="3">
        <f>IFERROR(__xludf.DUMMYFUNCTION("""COMPUTED_VALUE"""),7733.45)</f>
        <v>7733.45</v>
      </c>
      <c r="E3800" s="3">
        <f>IFERROR(__xludf.DUMMYFUNCTION("""COMPUTED_VALUE"""),7834.45)</f>
        <v>7834.45</v>
      </c>
      <c r="F3800" s="3">
        <f>IFERROR(__xludf.DUMMYFUNCTION("""COMPUTED_VALUE"""),0.0)</f>
        <v>0</v>
      </c>
    </row>
    <row r="3801">
      <c r="A3801" s="7">
        <f>IFERROR(__xludf.DUMMYFUNCTION("""COMPUTED_VALUE"""),42360.64583333333)</f>
        <v>42360.64583</v>
      </c>
      <c r="B3801" s="3">
        <f>IFERROR(__xludf.DUMMYFUNCTION("""COMPUTED_VALUE"""),7829.4)</f>
        <v>7829.4</v>
      </c>
      <c r="C3801" s="3">
        <f>IFERROR(__xludf.DUMMYFUNCTION("""COMPUTED_VALUE"""),7846.3)</f>
        <v>7846.3</v>
      </c>
      <c r="D3801" s="3">
        <f>IFERROR(__xludf.DUMMYFUNCTION("""COMPUTED_VALUE"""),7776.85)</f>
        <v>7776.85</v>
      </c>
      <c r="E3801" s="3">
        <f>IFERROR(__xludf.DUMMYFUNCTION("""COMPUTED_VALUE"""),7786.1)</f>
        <v>7786.1</v>
      </c>
      <c r="F3801" s="3">
        <f>IFERROR(__xludf.DUMMYFUNCTION("""COMPUTED_VALUE"""),0.0)</f>
        <v>0</v>
      </c>
    </row>
    <row r="3802">
      <c r="A3802" s="7">
        <f>IFERROR(__xludf.DUMMYFUNCTION("""COMPUTED_VALUE"""),42361.64583333333)</f>
        <v>42361.64583</v>
      </c>
      <c r="B3802" s="3">
        <f>IFERROR(__xludf.DUMMYFUNCTION("""COMPUTED_VALUE"""),7830.45)</f>
        <v>7830.45</v>
      </c>
      <c r="C3802" s="3">
        <f>IFERROR(__xludf.DUMMYFUNCTION("""COMPUTED_VALUE"""),7871.45)</f>
        <v>7871.45</v>
      </c>
      <c r="D3802" s="3">
        <f>IFERROR(__xludf.DUMMYFUNCTION("""COMPUTED_VALUE"""),7826.1)</f>
        <v>7826.1</v>
      </c>
      <c r="E3802" s="3">
        <f>IFERROR(__xludf.DUMMYFUNCTION("""COMPUTED_VALUE"""),7865.95)</f>
        <v>7865.95</v>
      </c>
      <c r="F3802" s="3">
        <f>IFERROR(__xludf.DUMMYFUNCTION("""COMPUTED_VALUE"""),0.0)</f>
        <v>0</v>
      </c>
    </row>
    <row r="3803">
      <c r="A3803" s="7">
        <f>IFERROR(__xludf.DUMMYFUNCTION("""COMPUTED_VALUE"""),42362.64583333333)</f>
        <v>42362.64583</v>
      </c>
      <c r="B3803" s="3">
        <f>IFERROR(__xludf.DUMMYFUNCTION("""COMPUTED_VALUE"""),7888.75)</f>
        <v>7888.75</v>
      </c>
      <c r="C3803" s="3">
        <f>IFERROR(__xludf.DUMMYFUNCTION("""COMPUTED_VALUE"""),7888.75)</f>
        <v>7888.75</v>
      </c>
      <c r="D3803" s="3">
        <f>IFERROR(__xludf.DUMMYFUNCTION("""COMPUTED_VALUE"""),7835.5)</f>
        <v>7835.5</v>
      </c>
      <c r="E3803" s="3">
        <f>IFERROR(__xludf.DUMMYFUNCTION("""COMPUTED_VALUE"""),7861.05)</f>
        <v>7861.05</v>
      </c>
      <c r="F3803" s="3">
        <f>IFERROR(__xludf.DUMMYFUNCTION("""COMPUTED_VALUE"""),0.0)</f>
        <v>0</v>
      </c>
    </row>
    <row r="3804">
      <c r="A3804" s="7">
        <f>IFERROR(__xludf.DUMMYFUNCTION("""COMPUTED_VALUE"""),42366.64583333333)</f>
        <v>42366.64583</v>
      </c>
      <c r="B3804" s="3">
        <f>IFERROR(__xludf.DUMMYFUNCTION("""COMPUTED_VALUE"""),7863.2)</f>
        <v>7863.2</v>
      </c>
      <c r="C3804" s="3">
        <f>IFERROR(__xludf.DUMMYFUNCTION("""COMPUTED_VALUE"""),7937.2)</f>
        <v>7937.2</v>
      </c>
      <c r="D3804" s="3">
        <f>IFERROR(__xludf.DUMMYFUNCTION("""COMPUTED_VALUE"""),7863.0)</f>
        <v>7863</v>
      </c>
      <c r="E3804" s="3">
        <f>IFERROR(__xludf.DUMMYFUNCTION("""COMPUTED_VALUE"""),7925.15)</f>
        <v>7925.15</v>
      </c>
      <c r="F3804" s="3">
        <f>IFERROR(__xludf.DUMMYFUNCTION("""COMPUTED_VALUE"""),0.0)</f>
        <v>0</v>
      </c>
    </row>
    <row r="3805">
      <c r="A3805" s="7">
        <f>IFERROR(__xludf.DUMMYFUNCTION("""COMPUTED_VALUE"""),42367.64583333333)</f>
        <v>42367.64583</v>
      </c>
      <c r="B3805" s="3">
        <f>IFERROR(__xludf.DUMMYFUNCTION("""COMPUTED_VALUE"""),7929.2)</f>
        <v>7929.2</v>
      </c>
      <c r="C3805" s="3">
        <f>IFERROR(__xludf.DUMMYFUNCTION("""COMPUTED_VALUE"""),7942.15)</f>
        <v>7942.15</v>
      </c>
      <c r="D3805" s="3">
        <f>IFERROR(__xludf.DUMMYFUNCTION("""COMPUTED_VALUE"""),7902.75)</f>
        <v>7902.75</v>
      </c>
      <c r="E3805" s="3">
        <f>IFERROR(__xludf.DUMMYFUNCTION("""COMPUTED_VALUE"""),7928.95)</f>
        <v>7928.95</v>
      </c>
      <c r="F3805" s="3">
        <f>IFERROR(__xludf.DUMMYFUNCTION("""COMPUTED_VALUE"""),0.0)</f>
        <v>0</v>
      </c>
    </row>
    <row r="3806">
      <c r="A3806" s="7">
        <f>IFERROR(__xludf.DUMMYFUNCTION("""COMPUTED_VALUE"""),42368.64583333333)</f>
        <v>42368.64583</v>
      </c>
      <c r="B3806" s="3">
        <f>IFERROR(__xludf.DUMMYFUNCTION("""COMPUTED_VALUE"""),7938.6)</f>
        <v>7938.6</v>
      </c>
      <c r="C3806" s="3">
        <f>IFERROR(__xludf.DUMMYFUNCTION("""COMPUTED_VALUE"""),7944.75)</f>
        <v>7944.75</v>
      </c>
      <c r="D3806" s="3">
        <f>IFERROR(__xludf.DUMMYFUNCTION("""COMPUTED_VALUE"""),7889.85)</f>
        <v>7889.85</v>
      </c>
      <c r="E3806" s="3">
        <f>IFERROR(__xludf.DUMMYFUNCTION("""COMPUTED_VALUE"""),7896.25)</f>
        <v>7896.25</v>
      </c>
      <c r="F3806" s="3">
        <f>IFERROR(__xludf.DUMMYFUNCTION("""COMPUTED_VALUE"""),0.0)</f>
        <v>0</v>
      </c>
    </row>
    <row r="3807">
      <c r="A3807" s="7">
        <f>IFERROR(__xludf.DUMMYFUNCTION("""COMPUTED_VALUE"""),42369.64583333333)</f>
        <v>42369.64583</v>
      </c>
      <c r="B3807" s="3">
        <f>IFERROR(__xludf.DUMMYFUNCTION("""COMPUTED_VALUE"""),7897.8)</f>
        <v>7897.8</v>
      </c>
      <c r="C3807" s="3">
        <f>IFERROR(__xludf.DUMMYFUNCTION("""COMPUTED_VALUE"""),7955.55)</f>
        <v>7955.55</v>
      </c>
      <c r="D3807" s="3">
        <f>IFERROR(__xludf.DUMMYFUNCTION("""COMPUTED_VALUE"""),7891.15)</f>
        <v>7891.15</v>
      </c>
      <c r="E3807" s="3">
        <f>IFERROR(__xludf.DUMMYFUNCTION("""COMPUTED_VALUE"""),7946.35)</f>
        <v>7946.35</v>
      </c>
      <c r="F3807" s="3">
        <f>IFERROR(__xludf.DUMMYFUNCTION("""COMPUTED_VALUE"""),0.0)</f>
        <v>0</v>
      </c>
    </row>
    <row r="3808">
      <c r="A3808" s="7">
        <f>IFERROR(__xludf.DUMMYFUNCTION("""COMPUTED_VALUE"""),42370.64583333333)</f>
        <v>42370.64583</v>
      </c>
      <c r="B3808" s="3">
        <f>IFERROR(__xludf.DUMMYFUNCTION("""COMPUTED_VALUE"""),7938.45)</f>
        <v>7938.45</v>
      </c>
      <c r="C3808" s="3">
        <f>IFERROR(__xludf.DUMMYFUNCTION("""COMPUTED_VALUE"""),7972.55)</f>
        <v>7972.55</v>
      </c>
      <c r="D3808" s="3">
        <f>IFERROR(__xludf.DUMMYFUNCTION("""COMPUTED_VALUE"""),7909.8)</f>
        <v>7909.8</v>
      </c>
      <c r="E3808" s="3">
        <f>IFERROR(__xludf.DUMMYFUNCTION("""COMPUTED_VALUE"""),7963.2)</f>
        <v>7963.2</v>
      </c>
      <c r="F3808" s="3">
        <f>IFERROR(__xludf.DUMMYFUNCTION("""COMPUTED_VALUE"""),0.0)</f>
        <v>0</v>
      </c>
    </row>
    <row r="3809">
      <c r="A3809" s="7">
        <f>IFERROR(__xludf.DUMMYFUNCTION("""COMPUTED_VALUE"""),42373.64583333333)</f>
        <v>42373.64583</v>
      </c>
      <c r="B3809" s="3">
        <f>IFERROR(__xludf.DUMMYFUNCTION("""COMPUTED_VALUE"""),7924.55)</f>
        <v>7924.55</v>
      </c>
      <c r="C3809" s="3">
        <f>IFERROR(__xludf.DUMMYFUNCTION("""COMPUTED_VALUE"""),7937.55)</f>
        <v>7937.55</v>
      </c>
      <c r="D3809" s="3">
        <f>IFERROR(__xludf.DUMMYFUNCTION("""COMPUTED_VALUE"""),7781.1)</f>
        <v>7781.1</v>
      </c>
      <c r="E3809" s="3">
        <f>IFERROR(__xludf.DUMMYFUNCTION("""COMPUTED_VALUE"""),7791.3)</f>
        <v>7791.3</v>
      </c>
      <c r="F3809" s="3">
        <f>IFERROR(__xludf.DUMMYFUNCTION("""COMPUTED_VALUE"""),0.0)</f>
        <v>0</v>
      </c>
    </row>
    <row r="3810">
      <c r="A3810" s="7">
        <f>IFERROR(__xludf.DUMMYFUNCTION("""COMPUTED_VALUE"""),42374.64583333333)</f>
        <v>42374.64583</v>
      </c>
      <c r="B3810" s="3">
        <f>IFERROR(__xludf.DUMMYFUNCTION("""COMPUTED_VALUE"""),7828.4)</f>
        <v>7828.4</v>
      </c>
      <c r="C3810" s="3">
        <f>IFERROR(__xludf.DUMMYFUNCTION("""COMPUTED_VALUE"""),7831.2)</f>
        <v>7831.2</v>
      </c>
      <c r="D3810" s="3">
        <f>IFERROR(__xludf.DUMMYFUNCTION("""COMPUTED_VALUE"""),7763.25)</f>
        <v>7763.25</v>
      </c>
      <c r="E3810" s="3">
        <f>IFERROR(__xludf.DUMMYFUNCTION("""COMPUTED_VALUE"""),7784.65)</f>
        <v>7784.65</v>
      </c>
      <c r="F3810" s="3">
        <f>IFERROR(__xludf.DUMMYFUNCTION("""COMPUTED_VALUE"""),0.0)</f>
        <v>0</v>
      </c>
    </row>
    <row r="3811">
      <c r="A3811" s="7">
        <f>IFERROR(__xludf.DUMMYFUNCTION("""COMPUTED_VALUE"""),42375.64583333333)</f>
        <v>42375.64583</v>
      </c>
      <c r="B3811" s="3">
        <f>IFERROR(__xludf.DUMMYFUNCTION("""COMPUTED_VALUE"""),7788.05)</f>
        <v>7788.05</v>
      </c>
      <c r="C3811" s="3">
        <f>IFERROR(__xludf.DUMMYFUNCTION("""COMPUTED_VALUE"""),7800.95)</f>
        <v>7800.95</v>
      </c>
      <c r="D3811" s="3">
        <f>IFERROR(__xludf.DUMMYFUNCTION("""COMPUTED_VALUE"""),7721.2)</f>
        <v>7721.2</v>
      </c>
      <c r="E3811" s="3">
        <f>IFERROR(__xludf.DUMMYFUNCTION("""COMPUTED_VALUE"""),7741.0)</f>
        <v>7741</v>
      </c>
      <c r="F3811" s="3">
        <f>IFERROR(__xludf.DUMMYFUNCTION("""COMPUTED_VALUE"""),0.0)</f>
        <v>0</v>
      </c>
    </row>
    <row r="3812">
      <c r="A3812" s="7">
        <f>IFERROR(__xludf.DUMMYFUNCTION("""COMPUTED_VALUE"""),42376.64583333333)</f>
        <v>42376.64583</v>
      </c>
      <c r="B3812" s="3">
        <f>IFERROR(__xludf.DUMMYFUNCTION("""COMPUTED_VALUE"""),7673.35)</f>
        <v>7673.35</v>
      </c>
      <c r="C3812" s="3">
        <f>IFERROR(__xludf.DUMMYFUNCTION("""COMPUTED_VALUE"""),7674.95)</f>
        <v>7674.95</v>
      </c>
      <c r="D3812" s="3">
        <f>IFERROR(__xludf.DUMMYFUNCTION("""COMPUTED_VALUE"""),7556.6)</f>
        <v>7556.6</v>
      </c>
      <c r="E3812" s="3">
        <f>IFERROR(__xludf.DUMMYFUNCTION("""COMPUTED_VALUE"""),7568.3)</f>
        <v>7568.3</v>
      </c>
      <c r="F3812" s="3">
        <f>IFERROR(__xludf.DUMMYFUNCTION("""COMPUTED_VALUE"""),0.0)</f>
        <v>0</v>
      </c>
    </row>
    <row r="3813">
      <c r="A3813" s="7">
        <f>IFERROR(__xludf.DUMMYFUNCTION("""COMPUTED_VALUE"""),42377.64583333333)</f>
        <v>42377.64583</v>
      </c>
      <c r="B3813" s="3">
        <f>IFERROR(__xludf.DUMMYFUNCTION("""COMPUTED_VALUE"""),7611.65)</f>
        <v>7611.65</v>
      </c>
      <c r="C3813" s="3">
        <f>IFERROR(__xludf.DUMMYFUNCTION("""COMPUTED_VALUE"""),7634.1)</f>
        <v>7634.1</v>
      </c>
      <c r="D3813" s="3">
        <f>IFERROR(__xludf.DUMMYFUNCTION("""COMPUTED_VALUE"""),7581.05)</f>
        <v>7581.05</v>
      </c>
      <c r="E3813" s="3">
        <f>IFERROR(__xludf.DUMMYFUNCTION("""COMPUTED_VALUE"""),7601.35)</f>
        <v>7601.35</v>
      </c>
      <c r="F3813" s="3">
        <f>IFERROR(__xludf.DUMMYFUNCTION("""COMPUTED_VALUE"""),0.0)</f>
        <v>0</v>
      </c>
    </row>
    <row r="3814">
      <c r="A3814" s="7">
        <f>IFERROR(__xludf.DUMMYFUNCTION("""COMPUTED_VALUE"""),42380.64583333333)</f>
        <v>42380.64583</v>
      </c>
      <c r="B3814" s="3">
        <f>IFERROR(__xludf.DUMMYFUNCTION("""COMPUTED_VALUE"""),7527.45)</f>
        <v>7527.45</v>
      </c>
      <c r="C3814" s="3">
        <f>IFERROR(__xludf.DUMMYFUNCTION("""COMPUTED_VALUE"""),7605.1)</f>
        <v>7605.1</v>
      </c>
      <c r="D3814" s="3">
        <f>IFERROR(__xludf.DUMMYFUNCTION("""COMPUTED_VALUE"""),7494.35)</f>
        <v>7494.35</v>
      </c>
      <c r="E3814" s="3">
        <f>IFERROR(__xludf.DUMMYFUNCTION("""COMPUTED_VALUE"""),7563.85)</f>
        <v>7563.85</v>
      </c>
      <c r="F3814" s="3">
        <f>IFERROR(__xludf.DUMMYFUNCTION("""COMPUTED_VALUE"""),0.0)</f>
        <v>0</v>
      </c>
    </row>
    <row r="3815">
      <c r="A3815" s="7">
        <f>IFERROR(__xludf.DUMMYFUNCTION("""COMPUTED_VALUE"""),42381.64583333333)</f>
        <v>42381.64583</v>
      </c>
      <c r="B3815" s="3">
        <f>IFERROR(__xludf.DUMMYFUNCTION("""COMPUTED_VALUE"""),7587.2)</f>
        <v>7587.2</v>
      </c>
      <c r="C3815" s="3">
        <f>IFERROR(__xludf.DUMMYFUNCTION("""COMPUTED_VALUE"""),7588.3)</f>
        <v>7588.3</v>
      </c>
      <c r="D3815" s="3">
        <f>IFERROR(__xludf.DUMMYFUNCTION("""COMPUTED_VALUE"""),7487.8)</f>
        <v>7487.8</v>
      </c>
      <c r="E3815" s="3">
        <f>IFERROR(__xludf.DUMMYFUNCTION("""COMPUTED_VALUE"""),7510.3)</f>
        <v>7510.3</v>
      </c>
      <c r="F3815" s="3">
        <f>IFERROR(__xludf.DUMMYFUNCTION("""COMPUTED_VALUE"""),0.0)</f>
        <v>0</v>
      </c>
    </row>
    <row r="3816">
      <c r="A3816" s="7">
        <f>IFERROR(__xludf.DUMMYFUNCTION("""COMPUTED_VALUE"""),42382.64583333333)</f>
        <v>42382.64583</v>
      </c>
      <c r="B3816" s="3">
        <f>IFERROR(__xludf.DUMMYFUNCTION("""COMPUTED_VALUE"""),7557.9)</f>
        <v>7557.9</v>
      </c>
      <c r="C3816" s="3">
        <f>IFERROR(__xludf.DUMMYFUNCTION("""COMPUTED_VALUE"""),7590.95)</f>
        <v>7590.95</v>
      </c>
      <c r="D3816" s="3">
        <f>IFERROR(__xludf.DUMMYFUNCTION("""COMPUTED_VALUE"""),7425.8)</f>
        <v>7425.8</v>
      </c>
      <c r="E3816" s="3">
        <f>IFERROR(__xludf.DUMMYFUNCTION("""COMPUTED_VALUE"""),7562.4)</f>
        <v>7562.4</v>
      </c>
      <c r="F3816" s="3">
        <f>IFERROR(__xludf.DUMMYFUNCTION("""COMPUTED_VALUE"""),0.0)</f>
        <v>0</v>
      </c>
    </row>
    <row r="3817">
      <c r="A3817" s="7">
        <f>IFERROR(__xludf.DUMMYFUNCTION("""COMPUTED_VALUE"""),42383.64583333333)</f>
        <v>42383.64583</v>
      </c>
      <c r="B3817" s="3">
        <f>IFERROR(__xludf.DUMMYFUNCTION("""COMPUTED_VALUE"""),7467.4)</f>
        <v>7467.4</v>
      </c>
      <c r="C3817" s="3">
        <f>IFERROR(__xludf.DUMMYFUNCTION("""COMPUTED_VALUE"""),7604.8)</f>
        <v>7604.8</v>
      </c>
      <c r="D3817" s="3">
        <f>IFERROR(__xludf.DUMMYFUNCTION("""COMPUTED_VALUE"""),7443.8)</f>
        <v>7443.8</v>
      </c>
      <c r="E3817" s="3">
        <f>IFERROR(__xludf.DUMMYFUNCTION("""COMPUTED_VALUE"""),7536.8)</f>
        <v>7536.8</v>
      </c>
      <c r="F3817" s="3">
        <f>IFERROR(__xludf.DUMMYFUNCTION("""COMPUTED_VALUE"""),0.0)</f>
        <v>0</v>
      </c>
    </row>
    <row r="3818">
      <c r="A3818" s="7">
        <f>IFERROR(__xludf.DUMMYFUNCTION("""COMPUTED_VALUE"""),42384.64583333333)</f>
        <v>42384.64583</v>
      </c>
      <c r="B3818" s="3">
        <f>IFERROR(__xludf.DUMMYFUNCTION("""COMPUTED_VALUE"""),7561.65)</f>
        <v>7561.65</v>
      </c>
      <c r="C3818" s="3">
        <f>IFERROR(__xludf.DUMMYFUNCTION("""COMPUTED_VALUE"""),7566.5)</f>
        <v>7566.5</v>
      </c>
      <c r="D3818" s="3">
        <f>IFERROR(__xludf.DUMMYFUNCTION("""COMPUTED_VALUE"""),7427.3)</f>
        <v>7427.3</v>
      </c>
      <c r="E3818" s="3">
        <f>IFERROR(__xludf.DUMMYFUNCTION("""COMPUTED_VALUE"""),7437.8)</f>
        <v>7437.8</v>
      </c>
      <c r="F3818" s="3">
        <f>IFERROR(__xludf.DUMMYFUNCTION("""COMPUTED_VALUE"""),0.0)</f>
        <v>0</v>
      </c>
    </row>
    <row r="3819">
      <c r="A3819" s="7">
        <f>IFERROR(__xludf.DUMMYFUNCTION("""COMPUTED_VALUE"""),42387.64583333333)</f>
        <v>42387.64583</v>
      </c>
      <c r="B3819" s="3">
        <f>IFERROR(__xludf.DUMMYFUNCTION("""COMPUTED_VALUE"""),7420.35)</f>
        <v>7420.35</v>
      </c>
      <c r="C3819" s="3">
        <f>IFERROR(__xludf.DUMMYFUNCTION("""COMPUTED_VALUE"""),7463.65)</f>
        <v>7463.65</v>
      </c>
      <c r="D3819" s="3">
        <f>IFERROR(__xludf.DUMMYFUNCTION("""COMPUTED_VALUE"""),7336.4)</f>
        <v>7336.4</v>
      </c>
      <c r="E3819" s="3">
        <f>IFERROR(__xludf.DUMMYFUNCTION("""COMPUTED_VALUE"""),7351.0)</f>
        <v>7351</v>
      </c>
      <c r="F3819" s="3">
        <f>IFERROR(__xludf.DUMMYFUNCTION("""COMPUTED_VALUE"""),0.0)</f>
        <v>0</v>
      </c>
    </row>
    <row r="3820">
      <c r="A3820" s="7">
        <f>IFERROR(__xludf.DUMMYFUNCTION("""COMPUTED_VALUE"""),42388.64583333333)</f>
        <v>42388.64583</v>
      </c>
      <c r="B3820" s="3">
        <f>IFERROR(__xludf.DUMMYFUNCTION("""COMPUTED_VALUE"""),7381.8)</f>
        <v>7381.8</v>
      </c>
      <c r="C3820" s="3">
        <f>IFERROR(__xludf.DUMMYFUNCTION("""COMPUTED_VALUE"""),7462.75)</f>
        <v>7462.75</v>
      </c>
      <c r="D3820" s="3">
        <f>IFERROR(__xludf.DUMMYFUNCTION("""COMPUTED_VALUE"""),7364.15)</f>
        <v>7364.15</v>
      </c>
      <c r="E3820" s="3">
        <f>IFERROR(__xludf.DUMMYFUNCTION("""COMPUTED_VALUE"""),7435.1)</f>
        <v>7435.1</v>
      </c>
      <c r="F3820" s="3">
        <f>IFERROR(__xludf.DUMMYFUNCTION("""COMPUTED_VALUE"""),0.0)</f>
        <v>0</v>
      </c>
    </row>
    <row r="3821">
      <c r="A3821" s="7">
        <f>IFERROR(__xludf.DUMMYFUNCTION("""COMPUTED_VALUE"""),42389.64583333333)</f>
        <v>42389.64583</v>
      </c>
      <c r="B3821" s="3">
        <f>IFERROR(__xludf.DUMMYFUNCTION("""COMPUTED_VALUE"""),7357.0)</f>
        <v>7357</v>
      </c>
      <c r="C3821" s="3">
        <f>IFERROR(__xludf.DUMMYFUNCTION("""COMPUTED_VALUE"""),7470.9)</f>
        <v>7470.9</v>
      </c>
      <c r="D3821" s="3">
        <f>IFERROR(__xludf.DUMMYFUNCTION("""COMPUTED_VALUE"""),7241.5)</f>
        <v>7241.5</v>
      </c>
      <c r="E3821" s="3">
        <f>IFERROR(__xludf.DUMMYFUNCTION("""COMPUTED_VALUE"""),7309.3)</f>
        <v>7309.3</v>
      </c>
      <c r="F3821" s="3">
        <f>IFERROR(__xludf.DUMMYFUNCTION("""COMPUTED_VALUE"""),0.0)</f>
        <v>0</v>
      </c>
    </row>
    <row r="3822">
      <c r="A3822" s="7">
        <f>IFERROR(__xludf.DUMMYFUNCTION("""COMPUTED_VALUE"""),42390.64583333333)</f>
        <v>42390.64583</v>
      </c>
      <c r="B3822" s="3">
        <f>IFERROR(__xludf.DUMMYFUNCTION("""COMPUTED_VALUE"""),7376.65)</f>
        <v>7376.65</v>
      </c>
      <c r="C3822" s="3">
        <f>IFERROR(__xludf.DUMMYFUNCTION("""COMPUTED_VALUE"""),7398.7)</f>
        <v>7398.7</v>
      </c>
      <c r="D3822" s="3">
        <f>IFERROR(__xludf.DUMMYFUNCTION("""COMPUTED_VALUE"""),7250.0)</f>
        <v>7250</v>
      </c>
      <c r="E3822" s="3">
        <f>IFERROR(__xludf.DUMMYFUNCTION("""COMPUTED_VALUE"""),7276.8)</f>
        <v>7276.8</v>
      </c>
      <c r="F3822" s="3">
        <f>IFERROR(__xludf.DUMMYFUNCTION("""COMPUTED_VALUE"""),0.0)</f>
        <v>0</v>
      </c>
    </row>
    <row r="3823">
      <c r="A3823" s="7">
        <f>IFERROR(__xludf.DUMMYFUNCTION("""COMPUTED_VALUE"""),42391.64583333333)</f>
        <v>42391.64583</v>
      </c>
      <c r="B3823" s="3">
        <f>IFERROR(__xludf.DUMMYFUNCTION("""COMPUTED_VALUE"""),7355.7)</f>
        <v>7355.7</v>
      </c>
      <c r="C3823" s="3">
        <f>IFERROR(__xludf.DUMMYFUNCTION("""COMPUTED_VALUE"""),7433.4)</f>
        <v>7433.4</v>
      </c>
      <c r="D3823" s="3">
        <f>IFERROR(__xludf.DUMMYFUNCTION("""COMPUTED_VALUE"""),7327.6)</f>
        <v>7327.6</v>
      </c>
      <c r="E3823" s="3">
        <f>IFERROR(__xludf.DUMMYFUNCTION("""COMPUTED_VALUE"""),7422.45)</f>
        <v>7422.45</v>
      </c>
      <c r="F3823" s="3">
        <f>IFERROR(__xludf.DUMMYFUNCTION("""COMPUTED_VALUE"""),0.0)</f>
        <v>0</v>
      </c>
    </row>
    <row r="3824">
      <c r="A3824" s="7">
        <f>IFERROR(__xludf.DUMMYFUNCTION("""COMPUTED_VALUE"""),42394.64583333333)</f>
        <v>42394.64583</v>
      </c>
      <c r="B3824" s="3">
        <f>IFERROR(__xludf.DUMMYFUNCTION("""COMPUTED_VALUE"""),7468.75)</f>
        <v>7468.75</v>
      </c>
      <c r="C3824" s="3">
        <f>IFERROR(__xludf.DUMMYFUNCTION("""COMPUTED_VALUE"""),7487.15)</f>
        <v>7487.15</v>
      </c>
      <c r="D3824" s="3">
        <f>IFERROR(__xludf.DUMMYFUNCTION("""COMPUTED_VALUE"""),7421.2)</f>
        <v>7421.2</v>
      </c>
      <c r="E3824" s="3">
        <f>IFERROR(__xludf.DUMMYFUNCTION("""COMPUTED_VALUE"""),7436.15)</f>
        <v>7436.15</v>
      </c>
      <c r="F3824" s="3">
        <f>IFERROR(__xludf.DUMMYFUNCTION("""COMPUTED_VALUE"""),0.0)</f>
        <v>0</v>
      </c>
    </row>
    <row r="3825">
      <c r="A3825" s="7">
        <f>IFERROR(__xludf.DUMMYFUNCTION("""COMPUTED_VALUE"""),42396.64583333333)</f>
        <v>42396.64583</v>
      </c>
      <c r="B3825" s="3">
        <f>IFERROR(__xludf.DUMMYFUNCTION("""COMPUTED_VALUE"""),7469.6)</f>
        <v>7469.6</v>
      </c>
      <c r="C3825" s="3">
        <f>IFERROR(__xludf.DUMMYFUNCTION("""COMPUTED_VALUE"""),7477.9)</f>
        <v>7477.9</v>
      </c>
      <c r="D3825" s="3">
        <f>IFERROR(__xludf.DUMMYFUNCTION("""COMPUTED_VALUE"""),7419.7)</f>
        <v>7419.7</v>
      </c>
      <c r="E3825" s="3">
        <f>IFERROR(__xludf.DUMMYFUNCTION("""COMPUTED_VALUE"""),7437.75)</f>
        <v>7437.75</v>
      </c>
      <c r="F3825" s="3">
        <f>IFERROR(__xludf.DUMMYFUNCTION("""COMPUTED_VALUE"""),0.0)</f>
        <v>0</v>
      </c>
    </row>
    <row r="3826">
      <c r="A3826" s="7">
        <f>IFERROR(__xludf.DUMMYFUNCTION("""COMPUTED_VALUE"""),42397.64583333333)</f>
        <v>42397.64583</v>
      </c>
      <c r="B3826" s="3">
        <f>IFERROR(__xludf.DUMMYFUNCTION("""COMPUTED_VALUE"""),7426.5)</f>
        <v>7426.5</v>
      </c>
      <c r="C3826" s="3">
        <f>IFERROR(__xludf.DUMMYFUNCTION("""COMPUTED_VALUE"""),7468.85)</f>
        <v>7468.85</v>
      </c>
      <c r="D3826" s="3">
        <f>IFERROR(__xludf.DUMMYFUNCTION("""COMPUTED_VALUE"""),7409.6)</f>
        <v>7409.6</v>
      </c>
      <c r="E3826" s="3">
        <f>IFERROR(__xludf.DUMMYFUNCTION("""COMPUTED_VALUE"""),7424.65)</f>
        <v>7424.65</v>
      </c>
      <c r="F3826" s="3">
        <f>IFERROR(__xludf.DUMMYFUNCTION("""COMPUTED_VALUE"""),0.0)</f>
        <v>0</v>
      </c>
    </row>
    <row r="3827">
      <c r="A3827" s="7">
        <f>IFERROR(__xludf.DUMMYFUNCTION("""COMPUTED_VALUE"""),42398.64583333333)</f>
        <v>42398.64583</v>
      </c>
      <c r="B3827" s="3">
        <f>IFERROR(__xludf.DUMMYFUNCTION("""COMPUTED_VALUE"""),7413.35)</f>
        <v>7413.35</v>
      </c>
      <c r="C3827" s="3">
        <f>IFERROR(__xludf.DUMMYFUNCTION("""COMPUTED_VALUE"""),7575.65)</f>
        <v>7575.65</v>
      </c>
      <c r="D3827" s="3">
        <f>IFERROR(__xludf.DUMMYFUNCTION("""COMPUTED_VALUE"""),7402.8)</f>
        <v>7402.8</v>
      </c>
      <c r="E3827" s="3">
        <f>IFERROR(__xludf.DUMMYFUNCTION("""COMPUTED_VALUE"""),7563.55)</f>
        <v>7563.55</v>
      </c>
      <c r="F3827" s="3">
        <f>IFERROR(__xludf.DUMMYFUNCTION("""COMPUTED_VALUE"""),0.0)</f>
        <v>0</v>
      </c>
    </row>
    <row r="3828">
      <c r="A3828" s="7">
        <f>IFERROR(__xludf.DUMMYFUNCTION("""COMPUTED_VALUE"""),42401.64583333333)</f>
        <v>42401.64583</v>
      </c>
      <c r="B3828" s="3">
        <f>IFERROR(__xludf.DUMMYFUNCTION("""COMPUTED_VALUE"""),7589.5)</f>
        <v>7589.5</v>
      </c>
      <c r="C3828" s="3">
        <f>IFERROR(__xludf.DUMMYFUNCTION("""COMPUTED_VALUE"""),7600.45)</f>
        <v>7600.45</v>
      </c>
      <c r="D3828" s="3">
        <f>IFERROR(__xludf.DUMMYFUNCTION("""COMPUTED_VALUE"""),7541.25)</f>
        <v>7541.25</v>
      </c>
      <c r="E3828" s="3">
        <f>IFERROR(__xludf.DUMMYFUNCTION("""COMPUTED_VALUE"""),7555.95)</f>
        <v>7555.95</v>
      </c>
      <c r="F3828" s="3">
        <f>IFERROR(__xludf.DUMMYFUNCTION("""COMPUTED_VALUE"""),0.0)</f>
        <v>0</v>
      </c>
    </row>
    <row r="3829">
      <c r="A3829" s="7">
        <f>IFERROR(__xludf.DUMMYFUNCTION("""COMPUTED_VALUE"""),42402.64583333333)</f>
        <v>42402.64583</v>
      </c>
      <c r="B3829" s="3">
        <f>IFERROR(__xludf.DUMMYFUNCTION("""COMPUTED_VALUE"""),7566.65)</f>
        <v>7566.65</v>
      </c>
      <c r="C3829" s="3">
        <f>IFERROR(__xludf.DUMMYFUNCTION("""COMPUTED_VALUE"""),7576.3)</f>
        <v>7576.3</v>
      </c>
      <c r="D3829" s="3">
        <f>IFERROR(__xludf.DUMMYFUNCTION("""COMPUTED_VALUE"""),7428.05)</f>
        <v>7428.05</v>
      </c>
      <c r="E3829" s="3">
        <f>IFERROR(__xludf.DUMMYFUNCTION("""COMPUTED_VALUE"""),7455.55)</f>
        <v>7455.55</v>
      </c>
      <c r="F3829" s="3">
        <f>IFERROR(__xludf.DUMMYFUNCTION("""COMPUTED_VALUE"""),0.0)</f>
        <v>0</v>
      </c>
    </row>
    <row r="3830">
      <c r="A3830" s="7">
        <f>IFERROR(__xludf.DUMMYFUNCTION("""COMPUTED_VALUE"""),42403.64583333333)</f>
        <v>42403.64583</v>
      </c>
      <c r="B3830" s="3">
        <f>IFERROR(__xludf.DUMMYFUNCTION("""COMPUTED_VALUE"""),7392.45)</f>
        <v>7392.45</v>
      </c>
      <c r="C3830" s="3">
        <f>IFERROR(__xludf.DUMMYFUNCTION("""COMPUTED_VALUE"""),7419.4)</f>
        <v>7419.4</v>
      </c>
      <c r="D3830" s="3">
        <f>IFERROR(__xludf.DUMMYFUNCTION("""COMPUTED_VALUE"""),7350.3)</f>
        <v>7350.3</v>
      </c>
      <c r="E3830" s="3">
        <f>IFERROR(__xludf.DUMMYFUNCTION("""COMPUTED_VALUE"""),7361.8)</f>
        <v>7361.8</v>
      </c>
      <c r="F3830" s="3">
        <f>IFERROR(__xludf.DUMMYFUNCTION("""COMPUTED_VALUE"""),0.0)</f>
        <v>0</v>
      </c>
    </row>
    <row r="3831">
      <c r="A3831" s="7">
        <f>IFERROR(__xludf.DUMMYFUNCTION("""COMPUTED_VALUE"""),42404.64583333333)</f>
        <v>42404.64583</v>
      </c>
      <c r="B3831" s="3">
        <f>IFERROR(__xludf.DUMMYFUNCTION("""COMPUTED_VALUE"""),7411.45)</f>
        <v>7411.45</v>
      </c>
      <c r="C3831" s="3">
        <f>IFERROR(__xludf.DUMMYFUNCTION("""COMPUTED_VALUE"""),7457.05)</f>
        <v>7457.05</v>
      </c>
      <c r="D3831" s="3">
        <f>IFERROR(__xludf.DUMMYFUNCTION("""COMPUTED_VALUE"""),7365.95)</f>
        <v>7365.95</v>
      </c>
      <c r="E3831" s="3">
        <f>IFERROR(__xludf.DUMMYFUNCTION("""COMPUTED_VALUE"""),7404.0)</f>
        <v>7404</v>
      </c>
      <c r="F3831" s="3">
        <f>IFERROR(__xludf.DUMMYFUNCTION("""COMPUTED_VALUE"""),0.0)</f>
        <v>0</v>
      </c>
    </row>
    <row r="3832">
      <c r="A3832" s="7">
        <f>IFERROR(__xludf.DUMMYFUNCTION("""COMPUTED_VALUE"""),42405.64583333333)</f>
        <v>42405.64583</v>
      </c>
      <c r="B3832" s="3">
        <f>IFERROR(__xludf.DUMMYFUNCTION("""COMPUTED_VALUE"""),7418.25)</f>
        <v>7418.25</v>
      </c>
      <c r="C3832" s="3">
        <f>IFERROR(__xludf.DUMMYFUNCTION("""COMPUTED_VALUE"""),7503.15)</f>
        <v>7503.15</v>
      </c>
      <c r="D3832" s="3">
        <f>IFERROR(__xludf.DUMMYFUNCTION("""COMPUTED_VALUE"""),7406.65)</f>
        <v>7406.65</v>
      </c>
      <c r="E3832" s="3">
        <f>IFERROR(__xludf.DUMMYFUNCTION("""COMPUTED_VALUE"""),7489.1)</f>
        <v>7489.1</v>
      </c>
      <c r="F3832" s="3">
        <f>IFERROR(__xludf.DUMMYFUNCTION("""COMPUTED_VALUE"""),0.0)</f>
        <v>0</v>
      </c>
    </row>
    <row r="3833">
      <c r="A3833" s="7">
        <f>IFERROR(__xludf.DUMMYFUNCTION("""COMPUTED_VALUE"""),42408.64583333333)</f>
        <v>42408.64583</v>
      </c>
      <c r="B3833" s="3">
        <f>IFERROR(__xludf.DUMMYFUNCTION("""COMPUTED_VALUE"""),7489.7)</f>
        <v>7489.7</v>
      </c>
      <c r="C3833" s="3">
        <f>IFERROR(__xludf.DUMMYFUNCTION("""COMPUTED_VALUE"""),7512.55)</f>
        <v>7512.55</v>
      </c>
      <c r="D3833" s="3">
        <f>IFERROR(__xludf.DUMMYFUNCTION("""COMPUTED_VALUE"""),7363.2)</f>
        <v>7363.2</v>
      </c>
      <c r="E3833" s="3">
        <f>IFERROR(__xludf.DUMMYFUNCTION("""COMPUTED_VALUE"""),7387.25)</f>
        <v>7387.25</v>
      </c>
      <c r="F3833" s="3">
        <f>IFERROR(__xludf.DUMMYFUNCTION("""COMPUTED_VALUE"""),0.0)</f>
        <v>0</v>
      </c>
    </row>
    <row r="3834">
      <c r="A3834" s="7">
        <f>IFERROR(__xludf.DUMMYFUNCTION("""COMPUTED_VALUE"""),42409.64583333333)</f>
        <v>42409.64583</v>
      </c>
      <c r="B3834" s="3">
        <f>IFERROR(__xludf.DUMMYFUNCTION("""COMPUTED_VALUE"""),7303.95)</f>
        <v>7303.95</v>
      </c>
      <c r="C3834" s="3">
        <f>IFERROR(__xludf.DUMMYFUNCTION("""COMPUTED_VALUE"""),7323.45)</f>
        <v>7323.45</v>
      </c>
      <c r="D3834" s="3">
        <f>IFERROR(__xludf.DUMMYFUNCTION("""COMPUTED_VALUE"""),7275.15)</f>
        <v>7275.15</v>
      </c>
      <c r="E3834" s="3">
        <f>IFERROR(__xludf.DUMMYFUNCTION("""COMPUTED_VALUE"""),7298.2)</f>
        <v>7298.2</v>
      </c>
      <c r="F3834" s="3">
        <f>IFERROR(__xludf.DUMMYFUNCTION("""COMPUTED_VALUE"""),0.0)</f>
        <v>0</v>
      </c>
    </row>
    <row r="3835">
      <c r="A3835" s="7">
        <f>IFERROR(__xludf.DUMMYFUNCTION("""COMPUTED_VALUE"""),42410.64583333333)</f>
        <v>42410.64583</v>
      </c>
      <c r="B3835" s="3">
        <f>IFERROR(__xludf.DUMMYFUNCTION("""COMPUTED_VALUE"""),7264.3)</f>
        <v>7264.3</v>
      </c>
      <c r="C3835" s="3">
        <f>IFERROR(__xludf.DUMMYFUNCTION("""COMPUTED_VALUE"""),7271.85)</f>
        <v>7271.85</v>
      </c>
      <c r="D3835" s="3">
        <f>IFERROR(__xludf.DUMMYFUNCTION("""COMPUTED_VALUE"""),7177.75)</f>
        <v>7177.75</v>
      </c>
      <c r="E3835" s="3">
        <f>IFERROR(__xludf.DUMMYFUNCTION("""COMPUTED_VALUE"""),7215.7)</f>
        <v>7215.7</v>
      </c>
      <c r="F3835" s="3">
        <f>IFERROR(__xludf.DUMMYFUNCTION("""COMPUTED_VALUE"""),0.0)</f>
        <v>0</v>
      </c>
    </row>
    <row r="3836">
      <c r="A3836" s="7">
        <f>IFERROR(__xludf.DUMMYFUNCTION("""COMPUTED_VALUE"""),42411.64583333333)</f>
        <v>42411.64583</v>
      </c>
      <c r="B3836" s="3">
        <f>IFERROR(__xludf.DUMMYFUNCTION("""COMPUTED_VALUE"""),7203.6)</f>
        <v>7203.6</v>
      </c>
      <c r="C3836" s="3">
        <f>IFERROR(__xludf.DUMMYFUNCTION("""COMPUTED_VALUE"""),7208.65)</f>
        <v>7208.65</v>
      </c>
      <c r="D3836" s="3">
        <f>IFERROR(__xludf.DUMMYFUNCTION("""COMPUTED_VALUE"""),6959.95)</f>
        <v>6959.95</v>
      </c>
      <c r="E3836" s="3">
        <f>IFERROR(__xludf.DUMMYFUNCTION("""COMPUTED_VALUE"""),6976.35)</f>
        <v>6976.35</v>
      </c>
      <c r="F3836" s="3">
        <f>IFERROR(__xludf.DUMMYFUNCTION("""COMPUTED_VALUE"""),0.0)</f>
        <v>0</v>
      </c>
    </row>
    <row r="3837">
      <c r="A3837" s="7">
        <f>IFERROR(__xludf.DUMMYFUNCTION("""COMPUTED_VALUE"""),42412.64583333333)</f>
        <v>42412.64583</v>
      </c>
      <c r="B3837" s="3">
        <f>IFERROR(__xludf.DUMMYFUNCTION("""COMPUTED_VALUE"""),7023.65)</f>
        <v>7023.65</v>
      </c>
      <c r="C3837" s="3">
        <f>IFERROR(__xludf.DUMMYFUNCTION("""COMPUTED_VALUE"""),7034.8)</f>
        <v>7034.8</v>
      </c>
      <c r="D3837" s="3">
        <f>IFERROR(__xludf.DUMMYFUNCTION("""COMPUTED_VALUE"""),6869.0)</f>
        <v>6869</v>
      </c>
      <c r="E3837" s="3">
        <f>IFERROR(__xludf.DUMMYFUNCTION("""COMPUTED_VALUE"""),6980.95)</f>
        <v>6980.95</v>
      </c>
      <c r="F3837" s="3">
        <f>IFERROR(__xludf.DUMMYFUNCTION("""COMPUTED_VALUE"""),0.0)</f>
        <v>0</v>
      </c>
    </row>
    <row r="3838">
      <c r="A3838" s="7">
        <f>IFERROR(__xludf.DUMMYFUNCTION("""COMPUTED_VALUE"""),42415.64583333333)</f>
        <v>42415.64583</v>
      </c>
      <c r="B3838" s="3">
        <f>IFERROR(__xludf.DUMMYFUNCTION("""COMPUTED_VALUE"""),7057.35)</f>
        <v>7057.35</v>
      </c>
      <c r="C3838" s="3">
        <f>IFERROR(__xludf.DUMMYFUNCTION("""COMPUTED_VALUE"""),7182.8)</f>
        <v>7182.8</v>
      </c>
      <c r="D3838" s="3">
        <f>IFERROR(__xludf.DUMMYFUNCTION("""COMPUTED_VALUE"""),7056.8)</f>
        <v>7056.8</v>
      </c>
      <c r="E3838" s="3">
        <f>IFERROR(__xludf.DUMMYFUNCTION("""COMPUTED_VALUE"""),7162.95)</f>
        <v>7162.95</v>
      </c>
      <c r="F3838" s="3">
        <f>IFERROR(__xludf.DUMMYFUNCTION("""COMPUTED_VALUE"""),0.0)</f>
        <v>0</v>
      </c>
    </row>
    <row r="3839">
      <c r="A3839" s="7">
        <f>IFERROR(__xludf.DUMMYFUNCTION("""COMPUTED_VALUE"""),42416.64583333333)</f>
        <v>42416.64583</v>
      </c>
      <c r="B3839" s="3">
        <f>IFERROR(__xludf.DUMMYFUNCTION("""COMPUTED_VALUE"""),7201.25)</f>
        <v>7201.25</v>
      </c>
      <c r="C3839" s="3">
        <f>IFERROR(__xludf.DUMMYFUNCTION("""COMPUTED_VALUE"""),7204.65)</f>
        <v>7204.65</v>
      </c>
      <c r="D3839" s="3">
        <f>IFERROR(__xludf.DUMMYFUNCTION("""COMPUTED_VALUE"""),7037.7)</f>
        <v>7037.7</v>
      </c>
      <c r="E3839" s="3">
        <f>IFERROR(__xludf.DUMMYFUNCTION("""COMPUTED_VALUE"""),7048.25)</f>
        <v>7048.25</v>
      </c>
      <c r="F3839" s="3">
        <f>IFERROR(__xludf.DUMMYFUNCTION("""COMPUTED_VALUE"""),0.0)</f>
        <v>0</v>
      </c>
    </row>
    <row r="3840">
      <c r="A3840" s="7">
        <f>IFERROR(__xludf.DUMMYFUNCTION("""COMPUTED_VALUE"""),42417.64583333333)</f>
        <v>42417.64583</v>
      </c>
      <c r="B3840" s="3">
        <f>IFERROR(__xludf.DUMMYFUNCTION("""COMPUTED_VALUE"""),7058.85)</f>
        <v>7058.85</v>
      </c>
      <c r="C3840" s="3">
        <f>IFERROR(__xludf.DUMMYFUNCTION("""COMPUTED_VALUE"""),7123.7)</f>
        <v>7123.7</v>
      </c>
      <c r="D3840" s="3">
        <f>IFERROR(__xludf.DUMMYFUNCTION("""COMPUTED_VALUE"""),6960.65)</f>
        <v>6960.65</v>
      </c>
      <c r="E3840" s="3">
        <f>IFERROR(__xludf.DUMMYFUNCTION("""COMPUTED_VALUE"""),7108.45)</f>
        <v>7108.45</v>
      </c>
      <c r="F3840" s="3">
        <f>IFERROR(__xludf.DUMMYFUNCTION("""COMPUTED_VALUE"""),0.0)</f>
        <v>0</v>
      </c>
    </row>
    <row r="3841">
      <c r="A3841" s="7">
        <f>IFERROR(__xludf.DUMMYFUNCTION("""COMPUTED_VALUE"""),42418.64583333333)</f>
        <v>42418.64583</v>
      </c>
      <c r="B3841" s="3">
        <f>IFERROR(__xludf.DUMMYFUNCTION("""COMPUTED_VALUE"""),7177.4)</f>
        <v>7177.4</v>
      </c>
      <c r="C3841" s="3">
        <f>IFERROR(__xludf.DUMMYFUNCTION("""COMPUTED_VALUE"""),7215.1)</f>
        <v>7215.1</v>
      </c>
      <c r="D3841" s="3">
        <f>IFERROR(__xludf.DUMMYFUNCTION("""COMPUTED_VALUE"""),7127.85)</f>
        <v>7127.85</v>
      </c>
      <c r="E3841" s="3">
        <f>IFERROR(__xludf.DUMMYFUNCTION("""COMPUTED_VALUE"""),7191.75)</f>
        <v>7191.75</v>
      </c>
      <c r="F3841" s="3">
        <f>IFERROR(__xludf.DUMMYFUNCTION("""COMPUTED_VALUE"""),0.0)</f>
        <v>0</v>
      </c>
    </row>
    <row r="3842">
      <c r="A3842" s="7">
        <f>IFERROR(__xludf.DUMMYFUNCTION("""COMPUTED_VALUE"""),42419.64583333333)</f>
        <v>42419.64583</v>
      </c>
      <c r="B3842" s="3">
        <f>IFERROR(__xludf.DUMMYFUNCTION("""COMPUTED_VALUE"""),7170.55)</f>
        <v>7170.55</v>
      </c>
      <c r="C3842" s="3">
        <f>IFERROR(__xludf.DUMMYFUNCTION("""COMPUTED_VALUE"""),7226.85)</f>
        <v>7226.85</v>
      </c>
      <c r="D3842" s="3">
        <f>IFERROR(__xludf.DUMMYFUNCTION("""COMPUTED_VALUE"""),7145.95)</f>
        <v>7145.95</v>
      </c>
      <c r="E3842" s="3">
        <f>IFERROR(__xludf.DUMMYFUNCTION("""COMPUTED_VALUE"""),7210.75)</f>
        <v>7210.75</v>
      </c>
      <c r="F3842" s="3">
        <f>IFERROR(__xludf.DUMMYFUNCTION("""COMPUTED_VALUE"""),0.0)</f>
        <v>0</v>
      </c>
    </row>
    <row r="3843">
      <c r="A3843" s="7">
        <f>IFERROR(__xludf.DUMMYFUNCTION("""COMPUTED_VALUE"""),42422.64583333333)</f>
        <v>42422.64583</v>
      </c>
      <c r="B3843" s="3">
        <f>IFERROR(__xludf.DUMMYFUNCTION("""COMPUTED_VALUE"""),7208.85)</f>
        <v>7208.85</v>
      </c>
      <c r="C3843" s="3">
        <f>IFERROR(__xludf.DUMMYFUNCTION("""COMPUTED_VALUE"""),7252.4)</f>
        <v>7252.4</v>
      </c>
      <c r="D3843" s="3">
        <f>IFERROR(__xludf.DUMMYFUNCTION("""COMPUTED_VALUE"""),7200.7)</f>
        <v>7200.7</v>
      </c>
      <c r="E3843" s="3">
        <f>IFERROR(__xludf.DUMMYFUNCTION("""COMPUTED_VALUE"""),7234.55)</f>
        <v>7234.55</v>
      </c>
      <c r="F3843" s="3">
        <f>IFERROR(__xludf.DUMMYFUNCTION("""COMPUTED_VALUE"""),0.0)</f>
        <v>0</v>
      </c>
    </row>
    <row r="3844">
      <c r="A3844" s="7">
        <f>IFERROR(__xludf.DUMMYFUNCTION("""COMPUTED_VALUE"""),42423.64583333333)</f>
        <v>42423.64583</v>
      </c>
      <c r="B3844" s="3">
        <f>IFERROR(__xludf.DUMMYFUNCTION("""COMPUTED_VALUE"""),7240.3)</f>
        <v>7240.3</v>
      </c>
      <c r="C3844" s="3">
        <f>IFERROR(__xludf.DUMMYFUNCTION("""COMPUTED_VALUE"""),7241.7)</f>
        <v>7241.7</v>
      </c>
      <c r="D3844" s="3">
        <f>IFERROR(__xludf.DUMMYFUNCTION("""COMPUTED_VALUE"""),7090.7)</f>
        <v>7090.7</v>
      </c>
      <c r="E3844" s="3">
        <f>IFERROR(__xludf.DUMMYFUNCTION("""COMPUTED_VALUE"""),7109.55)</f>
        <v>7109.55</v>
      </c>
      <c r="F3844" s="3">
        <f>IFERROR(__xludf.DUMMYFUNCTION("""COMPUTED_VALUE"""),0.0)</f>
        <v>0</v>
      </c>
    </row>
    <row r="3845">
      <c r="A3845" s="7">
        <f>IFERROR(__xludf.DUMMYFUNCTION("""COMPUTED_VALUE"""),42424.64583333333)</f>
        <v>42424.64583</v>
      </c>
      <c r="B3845" s="3">
        <f>IFERROR(__xludf.DUMMYFUNCTION("""COMPUTED_VALUE"""),7075.0)</f>
        <v>7075</v>
      </c>
      <c r="C3845" s="3">
        <f>IFERROR(__xludf.DUMMYFUNCTION("""COMPUTED_VALUE"""),7090.8)</f>
        <v>7090.8</v>
      </c>
      <c r="D3845" s="3">
        <f>IFERROR(__xludf.DUMMYFUNCTION("""COMPUTED_VALUE"""),7009.75)</f>
        <v>7009.75</v>
      </c>
      <c r="E3845" s="3">
        <f>IFERROR(__xludf.DUMMYFUNCTION("""COMPUTED_VALUE"""),7018.7)</f>
        <v>7018.7</v>
      </c>
      <c r="F3845" s="3">
        <f>IFERROR(__xludf.DUMMYFUNCTION("""COMPUTED_VALUE"""),0.0)</f>
        <v>0</v>
      </c>
    </row>
    <row r="3846">
      <c r="A3846" s="7">
        <f>IFERROR(__xludf.DUMMYFUNCTION("""COMPUTED_VALUE"""),42425.64583333333)</f>
        <v>42425.64583</v>
      </c>
      <c r="B3846" s="3">
        <f>IFERROR(__xludf.DUMMYFUNCTION("""COMPUTED_VALUE"""),7029.85)</f>
        <v>7029.85</v>
      </c>
      <c r="C3846" s="3">
        <f>IFERROR(__xludf.DUMMYFUNCTION("""COMPUTED_VALUE"""),7034.2)</f>
        <v>7034.2</v>
      </c>
      <c r="D3846" s="3">
        <f>IFERROR(__xludf.DUMMYFUNCTION("""COMPUTED_VALUE"""),6961.4)</f>
        <v>6961.4</v>
      </c>
      <c r="E3846" s="3">
        <f>IFERROR(__xludf.DUMMYFUNCTION("""COMPUTED_VALUE"""),6970.6)</f>
        <v>6970.6</v>
      </c>
      <c r="F3846" s="3">
        <f>IFERROR(__xludf.DUMMYFUNCTION("""COMPUTED_VALUE"""),0.0)</f>
        <v>0</v>
      </c>
    </row>
    <row r="3847">
      <c r="A3847" s="7">
        <f>IFERROR(__xludf.DUMMYFUNCTION("""COMPUTED_VALUE"""),42426.64583333333)</f>
        <v>42426.64583</v>
      </c>
      <c r="B3847" s="3">
        <f>IFERROR(__xludf.DUMMYFUNCTION("""COMPUTED_VALUE"""),7039.3)</f>
        <v>7039.3</v>
      </c>
      <c r="C3847" s="3">
        <f>IFERROR(__xludf.DUMMYFUNCTION("""COMPUTED_VALUE"""),7052.9)</f>
        <v>7052.9</v>
      </c>
      <c r="D3847" s="3">
        <f>IFERROR(__xludf.DUMMYFUNCTION("""COMPUTED_VALUE"""),6985.1)</f>
        <v>6985.1</v>
      </c>
      <c r="E3847" s="3">
        <f>IFERROR(__xludf.DUMMYFUNCTION("""COMPUTED_VALUE"""),7029.75)</f>
        <v>7029.75</v>
      </c>
      <c r="F3847" s="3">
        <f>IFERROR(__xludf.DUMMYFUNCTION("""COMPUTED_VALUE"""),0.0)</f>
        <v>0</v>
      </c>
    </row>
    <row r="3848">
      <c r="A3848" s="7">
        <f>IFERROR(__xludf.DUMMYFUNCTION("""COMPUTED_VALUE"""),42429.64583333333)</f>
        <v>42429.64583</v>
      </c>
      <c r="B3848" s="3">
        <f>IFERROR(__xludf.DUMMYFUNCTION("""COMPUTED_VALUE"""),7050.45)</f>
        <v>7050.45</v>
      </c>
      <c r="C3848" s="3">
        <f>IFERROR(__xludf.DUMMYFUNCTION("""COMPUTED_VALUE"""),7094.6)</f>
        <v>7094.6</v>
      </c>
      <c r="D3848" s="3">
        <f>IFERROR(__xludf.DUMMYFUNCTION("""COMPUTED_VALUE"""),6825.8)</f>
        <v>6825.8</v>
      </c>
      <c r="E3848" s="3">
        <f>IFERROR(__xludf.DUMMYFUNCTION("""COMPUTED_VALUE"""),6987.05)</f>
        <v>6987.05</v>
      </c>
      <c r="F3848" s="3">
        <f>IFERROR(__xludf.DUMMYFUNCTION("""COMPUTED_VALUE"""),0.0)</f>
        <v>0</v>
      </c>
    </row>
    <row r="3849">
      <c r="A3849" s="7">
        <f>IFERROR(__xludf.DUMMYFUNCTION("""COMPUTED_VALUE"""),42430.64583333333)</f>
        <v>42430.64583</v>
      </c>
      <c r="B3849" s="3">
        <f>IFERROR(__xludf.DUMMYFUNCTION("""COMPUTED_VALUE"""),7038.25)</f>
        <v>7038.25</v>
      </c>
      <c r="C3849" s="3">
        <f>IFERROR(__xludf.DUMMYFUNCTION("""COMPUTED_VALUE"""),7235.5)</f>
        <v>7235.5</v>
      </c>
      <c r="D3849" s="3">
        <f>IFERROR(__xludf.DUMMYFUNCTION("""COMPUTED_VALUE"""),7035.1)</f>
        <v>7035.1</v>
      </c>
      <c r="E3849" s="3">
        <f>IFERROR(__xludf.DUMMYFUNCTION("""COMPUTED_VALUE"""),7222.3)</f>
        <v>7222.3</v>
      </c>
      <c r="F3849" s="3">
        <f>IFERROR(__xludf.DUMMYFUNCTION("""COMPUTED_VALUE"""),0.0)</f>
        <v>0</v>
      </c>
    </row>
    <row r="3850">
      <c r="A3850" s="7">
        <f>IFERROR(__xludf.DUMMYFUNCTION("""COMPUTED_VALUE"""),42431.64583333333)</f>
        <v>42431.64583</v>
      </c>
      <c r="B3850" s="3">
        <f>IFERROR(__xludf.DUMMYFUNCTION("""COMPUTED_VALUE"""),7321.7)</f>
        <v>7321.7</v>
      </c>
      <c r="C3850" s="3">
        <f>IFERROR(__xludf.DUMMYFUNCTION("""COMPUTED_VALUE"""),7380.35)</f>
        <v>7380.35</v>
      </c>
      <c r="D3850" s="3">
        <f>IFERROR(__xludf.DUMMYFUNCTION("""COMPUTED_VALUE"""),7308.15)</f>
        <v>7308.15</v>
      </c>
      <c r="E3850" s="3">
        <f>IFERROR(__xludf.DUMMYFUNCTION("""COMPUTED_VALUE"""),7368.85)</f>
        <v>7368.85</v>
      </c>
      <c r="F3850" s="3">
        <f>IFERROR(__xludf.DUMMYFUNCTION("""COMPUTED_VALUE"""),0.0)</f>
        <v>0</v>
      </c>
    </row>
    <row r="3851">
      <c r="A3851" s="7">
        <f>IFERROR(__xludf.DUMMYFUNCTION("""COMPUTED_VALUE"""),42432.64583333333)</f>
        <v>42432.64583</v>
      </c>
      <c r="B3851" s="3">
        <f>IFERROR(__xludf.DUMMYFUNCTION("""COMPUTED_VALUE"""),7429.55)</f>
        <v>7429.55</v>
      </c>
      <c r="C3851" s="3">
        <f>IFERROR(__xludf.DUMMYFUNCTION("""COMPUTED_VALUE"""),7483.95)</f>
        <v>7483.95</v>
      </c>
      <c r="D3851" s="3">
        <f>IFERROR(__xludf.DUMMYFUNCTION("""COMPUTED_VALUE"""),7406.05)</f>
        <v>7406.05</v>
      </c>
      <c r="E3851" s="3">
        <f>IFERROR(__xludf.DUMMYFUNCTION("""COMPUTED_VALUE"""),7475.6)</f>
        <v>7475.6</v>
      </c>
      <c r="F3851" s="3">
        <f>IFERROR(__xludf.DUMMYFUNCTION("""COMPUTED_VALUE"""),0.0)</f>
        <v>0</v>
      </c>
    </row>
    <row r="3852">
      <c r="A3852" s="7">
        <f>IFERROR(__xludf.DUMMYFUNCTION("""COMPUTED_VALUE"""),42433.64583333333)</f>
        <v>42433.64583</v>
      </c>
      <c r="B3852" s="3">
        <f>IFERROR(__xludf.DUMMYFUNCTION("""COMPUTED_VALUE"""),7505.4)</f>
        <v>7505.4</v>
      </c>
      <c r="C3852" s="3">
        <f>IFERROR(__xludf.DUMMYFUNCTION("""COMPUTED_VALUE"""),7505.9)</f>
        <v>7505.9</v>
      </c>
      <c r="D3852" s="3">
        <f>IFERROR(__xludf.DUMMYFUNCTION("""COMPUTED_VALUE"""),7444.1)</f>
        <v>7444.1</v>
      </c>
      <c r="E3852" s="3">
        <f>IFERROR(__xludf.DUMMYFUNCTION("""COMPUTED_VALUE"""),7485.35)</f>
        <v>7485.35</v>
      </c>
      <c r="F3852" s="3">
        <f>IFERROR(__xludf.DUMMYFUNCTION("""COMPUTED_VALUE"""),0.0)</f>
        <v>0</v>
      </c>
    </row>
    <row r="3853">
      <c r="A3853" s="7">
        <f>IFERROR(__xludf.DUMMYFUNCTION("""COMPUTED_VALUE"""),42437.64583333333)</f>
        <v>42437.64583</v>
      </c>
      <c r="B3853" s="3">
        <f>IFERROR(__xludf.DUMMYFUNCTION("""COMPUTED_VALUE"""),7486.4)</f>
        <v>7486.4</v>
      </c>
      <c r="C3853" s="3">
        <f>IFERROR(__xludf.DUMMYFUNCTION("""COMPUTED_VALUE"""),7527.15)</f>
        <v>7527.15</v>
      </c>
      <c r="D3853" s="3">
        <f>IFERROR(__xludf.DUMMYFUNCTION("""COMPUTED_VALUE"""),7442.15)</f>
        <v>7442.15</v>
      </c>
      <c r="E3853" s="3">
        <f>IFERROR(__xludf.DUMMYFUNCTION("""COMPUTED_VALUE"""),7485.3)</f>
        <v>7485.3</v>
      </c>
      <c r="F3853" s="3">
        <f>IFERROR(__xludf.DUMMYFUNCTION("""COMPUTED_VALUE"""),0.0)</f>
        <v>0</v>
      </c>
    </row>
    <row r="3854">
      <c r="A3854" s="7">
        <f>IFERROR(__xludf.DUMMYFUNCTION("""COMPUTED_VALUE"""),42438.64583333333)</f>
        <v>42438.64583</v>
      </c>
      <c r="B3854" s="3">
        <f>IFERROR(__xludf.DUMMYFUNCTION("""COMPUTED_VALUE"""),7436.1)</f>
        <v>7436.1</v>
      </c>
      <c r="C3854" s="3">
        <f>IFERROR(__xludf.DUMMYFUNCTION("""COMPUTED_VALUE"""),7539.0)</f>
        <v>7539</v>
      </c>
      <c r="D3854" s="3">
        <f>IFERROR(__xludf.DUMMYFUNCTION("""COMPUTED_VALUE"""),7424.3)</f>
        <v>7424.3</v>
      </c>
      <c r="E3854" s="3">
        <f>IFERROR(__xludf.DUMMYFUNCTION("""COMPUTED_VALUE"""),7531.8)</f>
        <v>7531.8</v>
      </c>
      <c r="F3854" s="3">
        <f>IFERROR(__xludf.DUMMYFUNCTION("""COMPUTED_VALUE"""),0.0)</f>
        <v>0</v>
      </c>
    </row>
    <row r="3855">
      <c r="A3855" s="7">
        <f>IFERROR(__xludf.DUMMYFUNCTION("""COMPUTED_VALUE"""),42439.64583333333)</f>
        <v>42439.64583</v>
      </c>
      <c r="B3855" s="3">
        <f>IFERROR(__xludf.DUMMYFUNCTION("""COMPUTED_VALUE"""),7545.35)</f>
        <v>7545.35</v>
      </c>
      <c r="C3855" s="3">
        <f>IFERROR(__xludf.DUMMYFUNCTION("""COMPUTED_VALUE"""),7547.1)</f>
        <v>7547.1</v>
      </c>
      <c r="D3855" s="3">
        <f>IFERROR(__xludf.DUMMYFUNCTION("""COMPUTED_VALUE"""),7447.4)</f>
        <v>7447.4</v>
      </c>
      <c r="E3855" s="3">
        <f>IFERROR(__xludf.DUMMYFUNCTION("""COMPUTED_VALUE"""),7486.15)</f>
        <v>7486.15</v>
      </c>
      <c r="F3855" s="3">
        <f>IFERROR(__xludf.DUMMYFUNCTION("""COMPUTED_VALUE"""),0.0)</f>
        <v>0</v>
      </c>
    </row>
    <row r="3856">
      <c r="A3856" s="7">
        <f>IFERROR(__xludf.DUMMYFUNCTION("""COMPUTED_VALUE"""),42440.64583333333)</f>
        <v>42440.64583</v>
      </c>
      <c r="B3856" s="3">
        <f>IFERROR(__xludf.DUMMYFUNCTION("""COMPUTED_VALUE"""),7484.85)</f>
        <v>7484.85</v>
      </c>
      <c r="C3856" s="3">
        <f>IFERROR(__xludf.DUMMYFUNCTION("""COMPUTED_VALUE"""),7543.95)</f>
        <v>7543.95</v>
      </c>
      <c r="D3856" s="3">
        <f>IFERROR(__xludf.DUMMYFUNCTION("""COMPUTED_VALUE"""),7460.6)</f>
        <v>7460.6</v>
      </c>
      <c r="E3856" s="3">
        <f>IFERROR(__xludf.DUMMYFUNCTION("""COMPUTED_VALUE"""),7510.2)</f>
        <v>7510.2</v>
      </c>
      <c r="F3856" s="3">
        <f>IFERROR(__xludf.DUMMYFUNCTION("""COMPUTED_VALUE"""),0.0)</f>
        <v>0</v>
      </c>
    </row>
    <row r="3857">
      <c r="A3857" s="7">
        <f>IFERROR(__xludf.DUMMYFUNCTION("""COMPUTED_VALUE"""),42443.64583333333)</f>
        <v>42443.64583</v>
      </c>
      <c r="B3857" s="3">
        <f>IFERROR(__xludf.DUMMYFUNCTION("""COMPUTED_VALUE"""),7542.6)</f>
        <v>7542.6</v>
      </c>
      <c r="C3857" s="3">
        <f>IFERROR(__xludf.DUMMYFUNCTION("""COMPUTED_VALUE"""),7583.7)</f>
        <v>7583.7</v>
      </c>
      <c r="D3857" s="3">
        <f>IFERROR(__xludf.DUMMYFUNCTION("""COMPUTED_VALUE"""),7515.05)</f>
        <v>7515.05</v>
      </c>
      <c r="E3857" s="3">
        <f>IFERROR(__xludf.DUMMYFUNCTION("""COMPUTED_VALUE"""),7538.75)</f>
        <v>7538.75</v>
      </c>
      <c r="F3857" s="3">
        <f>IFERROR(__xludf.DUMMYFUNCTION("""COMPUTED_VALUE"""),0.0)</f>
        <v>0</v>
      </c>
    </row>
    <row r="3858">
      <c r="A3858" s="7">
        <f>IFERROR(__xludf.DUMMYFUNCTION("""COMPUTED_VALUE"""),42444.64583333333)</f>
        <v>42444.64583</v>
      </c>
      <c r="B3858" s="3">
        <f>IFERROR(__xludf.DUMMYFUNCTION("""COMPUTED_VALUE"""),7535.85)</f>
        <v>7535.85</v>
      </c>
      <c r="C3858" s="3">
        <f>IFERROR(__xludf.DUMMYFUNCTION("""COMPUTED_VALUE"""),7545.2)</f>
        <v>7545.2</v>
      </c>
      <c r="D3858" s="3">
        <f>IFERROR(__xludf.DUMMYFUNCTION("""COMPUTED_VALUE"""),7452.8)</f>
        <v>7452.8</v>
      </c>
      <c r="E3858" s="3">
        <f>IFERROR(__xludf.DUMMYFUNCTION("""COMPUTED_VALUE"""),7460.6)</f>
        <v>7460.6</v>
      </c>
      <c r="F3858" s="3">
        <f>IFERROR(__xludf.DUMMYFUNCTION("""COMPUTED_VALUE"""),0.0)</f>
        <v>0</v>
      </c>
    </row>
    <row r="3859">
      <c r="A3859" s="7">
        <f>IFERROR(__xludf.DUMMYFUNCTION("""COMPUTED_VALUE"""),42445.64583333333)</f>
        <v>42445.64583</v>
      </c>
      <c r="B3859" s="3">
        <f>IFERROR(__xludf.DUMMYFUNCTION("""COMPUTED_VALUE"""),7457.05)</f>
        <v>7457.05</v>
      </c>
      <c r="C3859" s="3">
        <f>IFERROR(__xludf.DUMMYFUNCTION("""COMPUTED_VALUE"""),7508.0)</f>
        <v>7508</v>
      </c>
      <c r="D3859" s="3">
        <f>IFERROR(__xludf.DUMMYFUNCTION("""COMPUTED_VALUE"""),7405.15)</f>
        <v>7405.15</v>
      </c>
      <c r="E3859" s="3">
        <f>IFERROR(__xludf.DUMMYFUNCTION("""COMPUTED_VALUE"""),7498.75)</f>
        <v>7498.75</v>
      </c>
      <c r="F3859" s="3">
        <f>IFERROR(__xludf.DUMMYFUNCTION("""COMPUTED_VALUE"""),0.0)</f>
        <v>0</v>
      </c>
    </row>
    <row r="3860">
      <c r="A3860" s="7">
        <f>IFERROR(__xludf.DUMMYFUNCTION("""COMPUTED_VALUE"""),42446.64583333333)</f>
        <v>42446.64583</v>
      </c>
      <c r="B3860" s="3">
        <f>IFERROR(__xludf.DUMMYFUNCTION("""COMPUTED_VALUE"""),7557.4)</f>
        <v>7557.4</v>
      </c>
      <c r="C3860" s="3">
        <f>IFERROR(__xludf.DUMMYFUNCTION("""COMPUTED_VALUE"""),7585.3)</f>
        <v>7585.3</v>
      </c>
      <c r="D3860" s="3">
        <f>IFERROR(__xludf.DUMMYFUNCTION("""COMPUTED_VALUE"""),7479.4)</f>
        <v>7479.4</v>
      </c>
      <c r="E3860" s="3">
        <f>IFERROR(__xludf.DUMMYFUNCTION("""COMPUTED_VALUE"""),7512.55)</f>
        <v>7512.55</v>
      </c>
      <c r="F3860" s="3">
        <f>IFERROR(__xludf.DUMMYFUNCTION("""COMPUTED_VALUE"""),0.0)</f>
        <v>0</v>
      </c>
    </row>
    <row r="3861">
      <c r="A3861" s="7">
        <f>IFERROR(__xludf.DUMMYFUNCTION("""COMPUTED_VALUE"""),42447.64583333333)</f>
        <v>42447.64583</v>
      </c>
      <c r="B3861" s="3">
        <f>IFERROR(__xludf.DUMMYFUNCTION("""COMPUTED_VALUE"""),7534.65)</f>
        <v>7534.65</v>
      </c>
      <c r="C3861" s="3">
        <f>IFERROR(__xludf.DUMMYFUNCTION("""COMPUTED_VALUE"""),7613.6)</f>
        <v>7613.6</v>
      </c>
      <c r="D3861" s="3">
        <f>IFERROR(__xludf.DUMMYFUNCTION("""COMPUTED_VALUE"""),7517.9)</f>
        <v>7517.9</v>
      </c>
      <c r="E3861" s="3">
        <f>IFERROR(__xludf.DUMMYFUNCTION("""COMPUTED_VALUE"""),7604.35)</f>
        <v>7604.35</v>
      </c>
      <c r="F3861" s="3">
        <f>IFERROR(__xludf.DUMMYFUNCTION("""COMPUTED_VALUE"""),0.0)</f>
        <v>0</v>
      </c>
    </row>
    <row r="3862">
      <c r="A3862" s="7">
        <f>IFERROR(__xludf.DUMMYFUNCTION("""COMPUTED_VALUE"""),42450.64583333333)</f>
        <v>42450.64583</v>
      </c>
      <c r="B3862" s="3">
        <f>IFERROR(__xludf.DUMMYFUNCTION("""COMPUTED_VALUE"""),7619.2)</f>
        <v>7619.2</v>
      </c>
      <c r="C3862" s="3">
        <f>IFERROR(__xludf.DUMMYFUNCTION("""COMPUTED_VALUE"""),7713.55)</f>
        <v>7713.55</v>
      </c>
      <c r="D3862" s="3">
        <f>IFERROR(__xludf.DUMMYFUNCTION("""COMPUTED_VALUE"""),7617.7)</f>
        <v>7617.7</v>
      </c>
      <c r="E3862" s="3">
        <f>IFERROR(__xludf.DUMMYFUNCTION("""COMPUTED_VALUE"""),7704.25)</f>
        <v>7704.25</v>
      </c>
      <c r="F3862" s="3">
        <f>IFERROR(__xludf.DUMMYFUNCTION("""COMPUTED_VALUE"""),0.0)</f>
        <v>0</v>
      </c>
    </row>
    <row r="3863">
      <c r="A3863" s="7">
        <f>IFERROR(__xludf.DUMMYFUNCTION("""COMPUTED_VALUE"""),42451.64583333333)</f>
        <v>42451.64583</v>
      </c>
      <c r="B3863" s="3">
        <f>IFERROR(__xludf.DUMMYFUNCTION("""COMPUTED_VALUE"""),7695.55)</f>
        <v>7695.55</v>
      </c>
      <c r="C3863" s="3">
        <f>IFERROR(__xludf.DUMMYFUNCTION("""COMPUTED_VALUE"""),7728.2)</f>
        <v>7728.2</v>
      </c>
      <c r="D3863" s="3">
        <f>IFERROR(__xludf.DUMMYFUNCTION("""COMPUTED_VALUE"""),7643.8)</f>
        <v>7643.8</v>
      </c>
      <c r="E3863" s="3">
        <f>IFERROR(__xludf.DUMMYFUNCTION("""COMPUTED_VALUE"""),7714.9)</f>
        <v>7714.9</v>
      </c>
      <c r="F3863" s="3">
        <f>IFERROR(__xludf.DUMMYFUNCTION("""COMPUTED_VALUE"""),0.0)</f>
        <v>0</v>
      </c>
    </row>
    <row r="3864">
      <c r="A3864" s="7">
        <f>IFERROR(__xludf.DUMMYFUNCTION("""COMPUTED_VALUE"""),42452.64583333333)</f>
        <v>42452.64583</v>
      </c>
      <c r="B3864" s="3">
        <f>IFERROR(__xludf.DUMMYFUNCTION("""COMPUTED_VALUE"""),7717.45)</f>
        <v>7717.45</v>
      </c>
      <c r="C3864" s="3">
        <f>IFERROR(__xludf.DUMMYFUNCTION("""COMPUTED_VALUE"""),7726.85)</f>
        <v>7726.85</v>
      </c>
      <c r="D3864" s="3">
        <f>IFERROR(__xludf.DUMMYFUNCTION("""COMPUTED_VALUE"""),7670.6)</f>
        <v>7670.6</v>
      </c>
      <c r="E3864" s="3">
        <f>IFERROR(__xludf.DUMMYFUNCTION("""COMPUTED_VALUE"""),7716.5)</f>
        <v>7716.5</v>
      </c>
      <c r="F3864" s="3">
        <f>IFERROR(__xludf.DUMMYFUNCTION("""COMPUTED_VALUE"""),0.0)</f>
        <v>0</v>
      </c>
    </row>
    <row r="3865">
      <c r="A3865" s="7">
        <f>IFERROR(__xludf.DUMMYFUNCTION("""COMPUTED_VALUE"""),42457.64583333333)</f>
        <v>42457.64583</v>
      </c>
      <c r="B3865" s="3">
        <f>IFERROR(__xludf.DUMMYFUNCTION("""COMPUTED_VALUE"""),7741.0)</f>
        <v>7741</v>
      </c>
      <c r="C3865" s="3">
        <f>IFERROR(__xludf.DUMMYFUNCTION("""COMPUTED_VALUE"""),7749.4)</f>
        <v>7749.4</v>
      </c>
      <c r="D3865" s="3">
        <f>IFERROR(__xludf.DUMMYFUNCTION("""COMPUTED_VALUE"""),7587.7)</f>
        <v>7587.7</v>
      </c>
      <c r="E3865" s="3">
        <f>IFERROR(__xludf.DUMMYFUNCTION("""COMPUTED_VALUE"""),7615.1)</f>
        <v>7615.1</v>
      </c>
      <c r="F3865" s="3">
        <f>IFERROR(__xludf.DUMMYFUNCTION("""COMPUTED_VALUE"""),0.0)</f>
        <v>0</v>
      </c>
    </row>
    <row r="3866">
      <c r="A3866" s="7">
        <f>IFERROR(__xludf.DUMMYFUNCTION("""COMPUTED_VALUE"""),42458.64583333333)</f>
        <v>42458.64583</v>
      </c>
      <c r="B3866" s="3">
        <f>IFERROR(__xludf.DUMMYFUNCTION("""COMPUTED_VALUE"""),7606.55)</f>
        <v>7606.55</v>
      </c>
      <c r="C3866" s="3">
        <f>IFERROR(__xludf.DUMMYFUNCTION("""COMPUTED_VALUE"""),7652.9)</f>
        <v>7652.9</v>
      </c>
      <c r="D3866" s="3">
        <f>IFERROR(__xludf.DUMMYFUNCTION("""COMPUTED_VALUE"""),7582.25)</f>
        <v>7582.25</v>
      </c>
      <c r="E3866" s="3">
        <f>IFERROR(__xludf.DUMMYFUNCTION("""COMPUTED_VALUE"""),7597.0)</f>
        <v>7597</v>
      </c>
      <c r="F3866" s="3">
        <f>IFERROR(__xludf.DUMMYFUNCTION("""COMPUTED_VALUE"""),0.0)</f>
        <v>0</v>
      </c>
    </row>
    <row r="3867">
      <c r="A3867" s="7">
        <f>IFERROR(__xludf.DUMMYFUNCTION("""COMPUTED_VALUE"""),42459.64583333333)</f>
        <v>42459.64583</v>
      </c>
      <c r="B3867" s="3">
        <f>IFERROR(__xludf.DUMMYFUNCTION("""COMPUTED_VALUE"""),7651.1)</f>
        <v>7651.1</v>
      </c>
      <c r="C3867" s="3">
        <f>IFERROR(__xludf.DUMMYFUNCTION("""COMPUTED_VALUE"""),7741.95)</f>
        <v>7741.95</v>
      </c>
      <c r="D3867" s="3">
        <f>IFERROR(__xludf.DUMMYFUNCTION("""COMPUTED_VALUE"""),7643.45)</f>
        <v>7643.45</v>
      </c>
      <c r="E3867" s="3">
        <f>IFERROR(__xludf.DUMMYFUNCTION("""COMPUTED_VALUE"""),7735.2)</f>
        <v>7735.2</v>
      </c>
      <c r="F3867" s="3">
        <f>IFERROR(__xludf.DUMMYFUNCTION("""COMPUTED_VALUE"""),0.0)</f>
        <v>0</v>
      </c>
    </row>
    <row r="3868">
      <c r="A3868" s="7">
        <f>IFERROR(__xludf.DUMMYFUNCTION("""COMPUTED_VALUE"""),42460.64583333333)</f>
        <v>42460.64583</v>
      </c>
      <c r="B3868" s="3">
        <f>IFERROR(__xludf.DUMMYFUNCTION("""COMPUTED_VALUE"""),7727.65)</f>
        <v>7727.65</v>
      </c>
      <c r="C3868" s="3">
        <f>IFERROR(__xludf.DUMMYFUNCTION("""COMPUTED_VALUE"""),7777.6)</f>
        <v>7777.6</v>
      </c>
      <c r="D3868" s="3">
        <f>IFERROR(__xludf.DUMMYFUNCTION("""COMPUTED_VALUE"""),7702.0)</f>
        <v>7702</v>
      </c>
      <c r="E3868" s="3">
        <f>IFERROR(__xludf.DUMMYFUNCTION("""COMPUTED_VALUE"""),7738.4)</f>
        <v>7738.4</v>
      </c>
      <c r="F3868" s="3">
        <f>IFERROR(__xludf.DUMMYFUNCTION("""COMPUTED_VALUE"""),0.0)</f>
        <v>0</v>
      </c>
    </row>
    <row r="3869">
      <c r="A3869" s="7">
        <f>IFERROR(__xludf.DUMMYFUNCTION("""COMPUTED_VALUE"""),42461.64583333333)</f>
        <v>42461.64583</v>
      </c>
      <c r="B3869" s="3">
        <f>IFERROR(__xludf.DUMMYFUNCTION("""COMPUTED_VALUE"""),7718.05)</f>
        <v>7718.05</v>
      </c>
      <c r="C3869" s="3">
        <f>IFERROR(__xludf.DUMMYFUNCTION("""COMPUTED_VALUE"""),7740.15)</f>
        <v>7740.15</v>
      </c>
      <c r="D3869" s="3">
        <f>IFERROR(__xludf.DUMMYFUNCTION("""COMPUTED_VALUE"""),7666.1)</f>
        <v>7666.1</v>
      </c>
      <c r="E3869" s="3">
        <f>IFERROR(__xludf.DUMMYFUNCTION("""COMPUTED_VALUE"""),7713.05)</f>
        <v>7713.05</v>
      </c>
      <c r="F3869" s="3">
        <f>IFERROR(__xludf.DUMMYFUNCTION("""COMPUTED_VALUE"""),0.0)</f>
        <v>0</v>
      </c>
    </row>
    <row r="3870">
      <c r="A3870" s="7">
        <f>IFERROR(__xludf.DUMMYFUNCTION("""COMPUTED_VALUE"""),42464.64583333333)</f>
        <v>42464.64583</v>
      </c>
      <c r="B3870" s="3">
        <f>IFERROR(__xludf.DUMMYFUNCTION("""COMPUTED_VALUE"""),7733.15)</f>
        <v>7733.15</v>
      </c>
      <c r="C3870" s="3">
        <f>IFERROR(__xludf.DUMMYFUNCTION("""COMPUTED_VALUE"""),7764.45)</f>
        <v>7764.45</v>
      </c>
      <c r="D3870" s="3">
        <f>IFERROR(__xludf.DUMMYFUNCTION("""COMPUTED_VALUE"""),7704.4)</f>
        <v>7704.4</v>
      </c>
      <c r="E3870" s="3">
        <f>IFERROR(__xludf.DUMMYFUNCTION("""COMPUTED_VALUE"""),7758.8)</f>
        <v>7758.8</v>
      </c>
      <c r="F3870" s="3">
        <f>IFERROR(__xludf.DUMMYFUNCTION("""COMPUTED_VALUE"""),0.0)</f>
        <v>0</v>
      </c>
    </row>
    <row r="3871">
      <c r="A3871" s="7">
        <f>IFERROR(__xludf.DUMMYFUNCTION("""COMPUTED_VALUE"""),42465.64583333333)</f>
        <v>42465.64583</v>
      </c>
      <c r="B3871" s="3">
        <f>IFERROR(__xludf.DUMMYFUNCTION("""COMPUTED_VALUE"""),7736.3)</f>
        <v>7736.3</v>
      </c>
      <c r="C3871" s="3">
        <f>IFERROR(__xludf.DUMMYFUNCTION("""COMPUTED_VALUE"""),7736.3)</f>
        <v>7736.3</v>
      </c>
      <c r="D3871" s="3">
        <f>IFERROR(__xludf.DUMMYFUNCTION("""COMPUTED_VALUE"""),7588.65)</f>
        <v>7588.65</v>
      </c>
      <c r="E3871" s="3">
        <f>IFERROR(__xludf.DUMMYFUNCTION("""COMPUTED_VALUE"""),7603.2)</f>
        <v>7603.2</v>
      </c>
      <c r="F3871" s="3">
        <f>IFERROR(__xludf.DUMMYFUNCTION("""COMPUTED_VALUE"""),0.0)</f>
        <v>0</v>
      </c>
    </row>
    <row r="3872">
      <c r="A3872" s="7">
        <f>IFERROR(__xludf.DUMMYFUNCTION("""COMPUTED_VALUE"""),42466.64583333333)</f>
        <v>42466.64583</v>
      </c>
      <c r="B3872" s="3">
        <f>IFERROR(__xludf.DUMMYFUNCTION("""COMPUTED_VALUE"""),7636.05)</f>
        <v>7636.05</v>
      </c>
      <c r="C3872" s="3">
        <f>IFERROR(__xludf.DUMMYFUNCTION("""COMPUTED_VALUE"""),7638.65)</f>
        <v>7638.65</v>
      </c>
      <c r="D3872" s="3">
        <f>IFERROR(__xludf.DUMMYFUNCTION("""COMPUTED_VALUE"""),7591.75)</f>
        <v>7591.75</v>
      </c>
      <c r="E3872" s="3">
        <f>IFERROR(__xludf.DUMMYFUNCTION("""COMPUTED_VALUE"""),7614.35)</f>
        <v>7614.35</v>
      </c>
      <c r="F3872" s="3">
        <f>IFERROR(__xludf.DUMMYFUNCTION("""COMPUTED_VALUE"""),0.0)</f>
        <v>0</v>
      </c>
    </row>
    <row r="3873">
      <c r="A3873" s="7">
        <f>IFERROR(__xludf.DUMMYFUNCTION("""COMPUTED_VALUE"""),42467.64583333333)</f>
        <v>42467.64583</v>
      </c>
      <c r="B3873" s="3">
        <f>IFERROR(__xludf.DUMMYFUNCTION("""COMPUTED_VALUE"""),7630.4)</f>
        <v>7630.4</v>
      </c>
      <c r="C3873" s="3">
        <f>IFERROR(__xludf.DUMMYFUNCTION("""COMPUTED_VALUE"""),7630.75)</f>
        <v>7630.75</v>
      </c>
      <c r="D3873" s="3">
        <f>IFERROR(__xludf.DUMMYFUNCTION("""COMPUTED_VALUE"""),7535.85)</f>
        <v>7535.85</v>
      </c>
      <c r="E3873" s="3">
        <f>IFERROR(__xludf.DUMMYFUNCTION("""COMPUTED_VALUE"""),7546.45)</f>
        <v>7546.45</v>
      </c>
      <c r="F3873" s="3">
        <f>IFERROR(__xludf.DUMMYFUNCTION("""COMPUTED_VALUE"""),0.0)</f>
        <v>0</v>
      </c>
    </row>
    <row r="3874">
      <c r="A3874" s="7">
        <f>IFERROR(__xludf.DUMMYFUNCTION("""COMPUTED_VALUE"""),42468.64583333333)</f>
        <v>42468.64583</v>
      </c>
      <c r="B3874" s="3">
        <f>IFERROR(__xludf.DUMMYFUNCTION("""COMPUTED_VALUE"""),7542.35)</f>
        <v>7542.35</v>
      </c>
      <c r="C3874" s="3">
        <f>IFERROR(__xludf.DUMMYFUNCTION("""COMPUTED_VALUE"""),7569.35)</f>
        <v>7569.35</v>
      </c>
      <c r="D3874" s="3">
        <f>IFERROR(__xludf.DUMMYFUNCTION("""COMPUTED_VALUE"""),7526.7)</f>
        <v>7526.7</v>
      </c>
      <c r="E3874" s="3">
        <f>IFERROR(__xludf.DUMMYFUNCTION("""COMPUTED_VALUE"""),7555.2)</f>
        <v>7555.2</v>
      </c>
      <c r="F3874" s="3">
        <f>IFERROR(__xludf.DUMMYFUNCTION("""COMPUTED_VALUE"""),0.0)</f>
        <v>0</v>
      </c>
    </row>
    <row r="3875">
      <c r="A3875" s="7">
        <f>IFERROR(__xludf.DUMMYFUNCTION("""COMPUTED_VALUE"""),42471.64583333333)</f>
        <v>42471.64583</v>
      </c>
      <c r="B3875" s="3">
        <f>IFERROR(__xludf.DUMMYFUNCTION("""COMPUTED_VALUE"""),7577.8)</f>
        <v>7577.8</v>
      </c>
      <c r="C3875" s="3">
        <f>IFERROR(__xludf.DUMMYFUNCTION("""COMPUTED_VALUE"""),7678.8)</f>
        <v>7678.8</v>
      </c>
      <c r="D3875" s="3">
        <f>IFERROR(__xludf.DUMMYFUNCTION("""COMPUTED_VALUE"""),7516.85)</f>
        <v>7516.85</v>
      </c>
      <c r="E3875" s="3">
        <f>IFERROR(__xludf.DUMMYFUNCTION("""COMPUTED_VALUE"""),7671.4)</f>
        <v>7671.4</v>
      </c>
      <c r="F3875" s="3">
        <f>IFERROR(__xludf.DUMMYFUNCTION("""COMPUTED_VALUE"""),0.0)</f>
        <v>0</v>
      </c>
    </row>
    <row r="3876">
      <c r="A3876" s="7">
        <f>IFERROR(__xludf.DUMMYFUNCTION("""COMPUTED_VALUE"""),42472.64583333333)</f>
        <v>42472.64583</v>
      </c>
      <c r="B3876" s="3">
        <f>IFERROR(__xludf.DUMMYFUNCTION("""COMPUTED_VALUE"""),7669.25)</f>
        <v>7669.25</v>
      </c>
      <c r="C3876" s="3">
        <f>IFERROR(__xludf.DUMMYFUNCTION("""COMPUTED_VALUE"""),7717.4)</f>
        <v>7717.4</v>
      </c>
      <c r="D3876" s="3">
        <f>IFERROR(__xludf.DUMMYFUNCTION("""COMPUTED_VALUE"""),7663.35)</f>
        <v>7663.35</v>
      </c>
      <c r="E3876" s="3">
        <f>IFERROR(__xludf.DUMMYFUNCTION("""COMPUTED_VALUE"""),7708.95)</f>
        <v>7708.95</v>
      </c>
      <c r="F3876" s="3">
        <f>IFERROR(__xludf.DUMMYFUNCTION("""COMPUTED_VALUE"""),0.0)</f>
        <v>0</v>
      </c>
    </row>
    <row r="3877">
      <c r="A3877" s="7">
        <f>IFERROR(__xludf.DUMMYFUNCTION("""COMPUTED_VALUE"""),42473.64583333333)</f>
        <v>42473.64583</v>
      </c>
      <c r="B3877" s="3">
        <f>IFERROR(__xludf.DUMMYFUNCTION("""COMPUTED_VALUE"""),7777.15)</f>
        <v>7777.15</v>
      </c>
      <c r="C3877" s="3">
        <f>IFERROR(__xludf.DUMMYFUNCTION("""COMPUTED_VALUE"""),7864.8)</f>
        <v>7864.8</v>
      </c>
      <c r="D3877" s="3">
        <f>IFERROR(__xludf.DUMMYFUNCTION("""COMPUTED_VALUE"""),7772.2)</f>
        <v>7772.2</v>
      </c>
      <c r="E3877" s="3">
        <f>IFERROR(__xludf.DUMMYFUNCTION("""COMPUTED_VALUE"""),7850.45)</f>
        <v>7850.45</v>
      </c>
      <c r="F3877" s="3">
        <f>IFERROR(__xludf.DUMMYFUNCTION("""COMPUTED_VALUE"""),0.0)</f>
        <v>0</v>
      </c>
    </row>
    <row r="3878">
      <c r="A3878" s="7">
        <f>IFERROR(__xludf.DUMMYFUNCTION("""COMPUTED_VALUE"""),42478.64583333333)</f>
        <v>42478.64583</v>
      </c>
      <c r="B3878" s="3">
        <f>IFERROR(__xludf.DUMMYFUNCTION("""COMPUTED_VALUE"""),7908.15)</f>
        <v>7908.15</v>
      </c>
      <c r="C3878" s="3">
        <f>IFERROR(__xludf.DUMMYFUNCTION("""COMPUTED_VALUE"""),7920.6)</f>
        <v>7920.6</v>
      </c>
      <c r="D3878" s="3">
        <f>IFERROR(__xludf.DUMMYFUNCTION("""COMPUTED_VALUE"""),7842.75)</f>
        <v>7842.75</v>
      </c>
      <c r="E3878" s="3">
        <f>IFERROR(__xludf.DUMMYFUNCTION("""COMPUTED_VALUE"""),7914.7)</f>
        <v>7914.7</v>
      </c>
      <c r="F3878" s="3">
        <f>IFERROR(__xludf.DUMMYFUNCTION("""COMPUTED_VALUE"""),0.0)</f>
        <v>0</v>
      </c>
    </row>
    <row r="3879">
      <c r="A3879" s="7">
        <f>IFERROR(__xludf.DUMMYFUNCTION("""COMPUTED_VALUE"""),42480.64583333333)</f>
        <v>42480.64583</v>
      </c>
      <c r="B3879" s="3">
        <f>IFERROR(__xludf.DUMMYFUNCTION("""COMPUTED_VALUE"""),7950.05)</f>
        <v>7950.05</v>
      </c>
      <c r="C3879" s="3">
        <f>IFERROR(__xludf.DUMMYFUNCTION("""COMPUTED_VALUE"""),7950.4)</f>
        <v>7950.4</v>
      </c>
      <c r="D3879" s="3">
        <f>IFERROR(__xludf.DUMMYFUNCTION("""COMPUTED_VALUE"""),7877.55)</f>
        <v>7877.55</v>
      </c>
      <c r="E3879" s="3">
        <f>IFERROR(__xludf.DUMMYFUNCTION("""COMPUTED_VALUE"""),7914.75)</f>
        <v>7914.75</v>
      </c>
      <c r="F3879" s="3">
        <f>IFERROR(__xludf.DUMMYFUNCTION("""COMPUTED_VALUE"""),0.0)</f>
        <v>0</v>
      </c>
    </row>
    <row r="3880">
      <c r="A3880" s="7">
        <f>IFERROR(__xludf.DUMMYFUNCTION("""COMPUTED_VALUE"""),42481.64583333333)</f>
        <v>42481.64583</v>
      </c>
      <c r="B3880" s="3">
        <f>IFERROR(__xludf.DUMMYFUNCTION("""COMPUTED_VALUE"""),7953.65)</f>
        <v>7953.65</v>
      </c>
      <c r="C3880" s="3">
        <f>IFERROR(__xludf.DUMMYFUNCTION("""COMPUTED_VALUE"""),7978.45)</f>
        <v>7978.45</v>
      </c>
      <c r="D3880" s="3">
        <f>IFERROR(__xludf.DUMMYFUNCTION("""COMPUTED_VALUE"""),7884.1)</f>
        <v>7884.1</v>
      </c>
      <c r="E3880" s="3">
        <f>IFERROR(__xludf.DUMMYFUNCTION("""COMPUTED_VALUE"""),7912.05)</f>
        <v>7912.05</v>
      </c>
      <c r="F3880" s="3">
        <f>IFERROR(__xludf.DUMMYFUNCTION("""COMPUTED_VALUE"""),0.0)</f>
        <v>0</v>
      </c>
    </row>
    <row r="3881">
      <c r="A3881" s="7">
        <f>IFERROR(__xludf.DUMMYFUNCTION("""COMPUTED_VALUE"""),42482.64583333333)</f>
        <v>42482.64583</v>
      </c>
      <c r="B3881" s="3">
        <f>IFERROR(__xludf.DUMMYFUNCTION("""COMPUTED_VALUE"""),7891.8)</f>
        <v>7891.8</v>
      </c>
      <c r="C3881" s="3">
        <f>IFERROR(__xludf.DUMMYFUNCTION("""COMPUTED_VALUE"""),7923.35)</f>
        <v>7923.35</v>
      </c>
      <c r="D3881" s="3">
        <f>IFERROR(__xludf.DUMMYFUNCTION("""COMPUTED_VALUE"""),7873.35)</f>
        <v>7873.35</v>
      </c>
      <c r="E3881" s="3">
        <f>IFERROR(__xludf.DUMMYFUNCTION("""COMPUTED_VALUE"""),7899.3)</f>
        <v>7899.3</v>
      </c>
      <c r="F3881" s="3">
        <f>IFERROR(__xludf.DUMMYFUNCTION("""COMPUTED_VALUE"""),0.0)</f>
        <v>0</v>
      </c>
    </row>
    <row r="3882">
      <c r="A3882" s="7">
        <f>IFERROR(__xludf.DUMMYFUNCTION("""COMPUTED_VALUE"""),42485.64583333333)</f>
        <v>42485.64583</v>
      </c>
      <c r="B3882" s="3">
        <f>IFERROR(__xludf.DUMMYFUNCTION("""COMPUTED_VALUE"""),7894.8)</f>
        <v>7894.8</v>
      </c>
      <c r="C3882" s="3">
        <f>IFERROR(__xludf.DUMMYFUNCTION("""COMPUTED_VALUE"""),7911.0)</f>
        <v>7911</v>
      </c>
      <c r="D3882" s="3">
        <f>IFERROR(__xludf.DUMMYFUNCTION("""COMPUTED_VALUE"""),7827.0)</f>
        <v>7827</v>
      </c>
      <c r="E3882" s="3">
        <f>IFERROR(__xludf.DUMMYFUNCTION("""COMPUTED_VALUE"""),7855.05)</f>
        <v>7855.05</v>
      </c>
      <c r="F3882" s="3">
        <f>IFERROR(__xludf.DUMMYFUNCTION("""COMPUTED_VALUE"""),0.0)</f>
        <v>0</v>
      </c>
    </row>
    <row r="3883">
      <c r="A3883" s="7">
        <f>IFERROR(__xludf.DUMMYFUNCTION("""COMPUTED_VALUE"""),42486.64583333333)</f>
        <v>42486.64583</v>
      </c>
      <c r="B3883" s="3">
        <f>IFERROR(__xludf.DUMMYFUNCTION("""COMPUTED_VALUE"""),7828.15)</f>
        <v>7828.15</v>
      </c>
      <c r="C3883" s="3">
        <f>IFERROR(__xludf.DUMMYFUNCTION("""COMPUTED_VALUE"""),7974.5)</f>
        <v>7974.5</v>
      </c>
      <c r="D3883" s="3">
        <f>IFERROR(__xludf.DUMMYFUNCTION("""COMPUTED_VALUE"""),7822.55)</f>
        <v>7822.55</v>
      </c>
      <c r="E3883" s="3">
        <f>IFERROR(__xludf.DUMMYFUNCTION("""COMPUTED_VALUE"""),7962.65)</f>
        <v>7962.65</v>
      </c>
      <c r="F3883" s="3">
        <f>IFERROR(__xludf.DUMMYFUNCTION("""COMPUTED_VALUE"""),0.0)</f>
        <v>0</v>
      </c>
    </row>
    <row r="3884">
      <c r="A3884" s="7">
        <f>IFERROR(__xludf.DUMMYFUNCTION("""COMPUTED_VALUE"""),42487.64583333333)</f>
        <v>42487.64583</v>
      </c>
      <c r="B3884" s="3">
        <f>IFERROR(__xludf.DUMMYFUNCTION("""COMPUTED_VALUE"""),7942.0)</f>
        <v>7942</v>
      </c>
      <c r="C3884" s="3">
        <f>IFERROR(__xludf.DUMMYFUNCTION("""COMPUTED_VALUE"""),7991.0)</f>
        <v>7991</v>
      </c>
      <c r="D3884" s="3">
        <f>IFERROR(__xludf.DUMMYFUNCTION("""COMPUTED_VALUE"""),7940.55)</f>
        <v>7940.55</v>
      </c>
      <c r="E3884" s="3">
        <f>IFERROR(__xludf.DUMMYFUNCTION("""COMPUTED_VALUE"""),7979.9)</f>
        <v>7979.9</v>
      </c>
      <c r="F3884" s="3">
        <f>IFERROR(__xludf.DUMMYFUNCTION("""COMPUTED_VALUE"""),0.0)</f>
        <v>0</v>
      </c>
    </row>
    <row r="3885">
      <c r="A3885" s="7">
        <f>IFERROR(__xludf.DUMMYFUNCTION("""COMPUTED_VALUE"""),42488.64583333333)</f>
        <v>42488.64583</v>
      </c>
      <c r="B3885" s="3">
        <f>IFERROR(__xludf.DUMMYFUNCTION("""COMPUTED_VALUE"""),7967.4)</f>
        <v>7967.4</v>
      </c>
      <c r="C3885" s="3">
        <f>IFERROR(__xludf.DUMMYFUNCTION("""COMPUTED_VALUE"""),7992.0)</f>
        <v>7992</v>
      </c>
      <c r="D3885" s="3">
        <f>IFERROR(__xludf.DUMMYFUNCTION("""COMPUTED_VALUE"""),7834.45)</f>
        <v>7834.45</v>
      </c>
      <c r="E3885" s="3">
        <f>IFERROR(__xludf.DUMMYFUNCTION("""COMPUTED_VALUE"""),7847.25)</f>
        <v>7847.25</v>
      </c>
      <c r="F3885" s="3">
        <f>IFERROR(__xludf.DUMMYFUNCTION("""COMPUTED_VALUE"""),0.0)</f>
        <v>0</v>
      </c>
    </row>
    <row r="3886">
      <c r="A3886" s="7">
        <f>IFERROR(__xludf.DUMMYFUNCTION("""COMPUTED_VALUE"""),42489.64583333333)</f>
        <v>42489.64583</v>
      </c>
      <c r="B3886" s="3">
        <f>IFERROR(__xludf.DUMMYFUNCTION("""COMPUTED_VALUE"""),7844.25)</f>
        <v>7844.25</v>
      </c>
      <c r="C3886" s="3">
        <f>IFERROR(__xludf.DUMMYFUNCTION("""COMPUTED_VALUE"""),7889.05)</f>
        <v>7889.05</v>
      </c>
      <c r="D3886" s="3">
        <f>IFERROR(__xludf.DUMMYFUNCTION("""COMPUTED_VALUE"""),7788.7)</f>
        <v>7788.7</v>
      </c>
      <c r="E3886" s="3">
        <f>IFERROR(__xludf.DUMMYFUNCTION("""COMPUTED_VALUE"""),7849.8)</f>
        <v>7849.8</v>
      </c>
      <c r="F3886" s="3">
        <f>IFERROR(__xludf.DUMMYFUNCTION("""COMPUTED_VALUE"""),0.0)</f>
        <v>0</v>
      </c>
    </row>
    <row r="3887">
      <c r="A3887" s="7">
        <f>IFERROR(__xludf.DUMMYFUNCTION("""COMPUTED_VALUE"""),42492.64583333333)</f>
        <v>42492.64583</v>
      </c>
      <c r="B3887" s="3">
        <f>IFERROR(__xludf.DUMMYFUNCTION("""COMPUTED_VALUE"""),7822.7)</f>
        <v>7822.7</v>
      </c>
      <c r="C3887" s="3">
        <f>IFERROR(__xludf.DUMMYFUNCTION("""COMPUTED_VALUE"""),7829.8)</f>
        <v>7829.8</v>
      </c>
      <c r="D3887" s="3">
        <f>IFERROR(__xludf.DUMMYFUNCTION("""COMPUTED_VALUE"""),7777.3)</f>
        <v>7777.3</v>
      </c>
      <c r="E3887" s="3">
        <f>IFERROR(__xludf.DUMMYFUNCTION("""COMPUTED_VALUE"""),7805.9)</f>
        <v>7805.9</v>
      </c>
      <c r="F3887" s="3">
        <f>IFERROR(__xludf.DUMMYFUNCTION("""COMPUTED_VALUE"""),0.0)</f>
        <v>0</v>
      </c>
    </row>
    <row r="3888">
      <c r="A3888" s="7">
        <f>IFERROR(__xludf.DUMMYFUNCTION("""COMPUTED_VALUE"""),42493.64583333333)</f>
        <v>42493.64583</v>
      </c>
      <c r="B3888" s="3">
        <f>IFERROR(__xludf.DUMMYFUNCTION("""COMPUTED_VALUE"""),7824.8)</f>
        <v>7824.8</v>
      </c>
      <c r="C3888" s="3">
        <f>IFERROR(__xludf.DUMMYFUNCTION("""COMPUTED_VALUE"""),7890.25)</f>
        <v>7890.25</v>
      </c>
      <c r="D3888" s="3">
        <f>IFERROR(__xludf.DUMMYFUNCTION("""COMPUTED_VALUE"""),7735.15)</f>
        <v>7735.15</v>
      </c>
      <c r="E3888" s="3">
        <f>IFERROR(__xludf.DUMMYFUNCTION("""COMPUTED_VALUE"""),7747.0)</f>
        <v>7747</v>
      </c>
      <c r="F3888" s="3">
        <f>IFERROR(__xludf.DUMMYFUNCTION("""COMPUTED_VALUE"""),0.0)</f>
        <v>0</v>
      </c>
    </row>
    <row r="3889">
      <c r="A3889" s="7">
        <f>IFERROR(__xludf.DUMMYFUNCTION("""COMPUTED_VALUE"""),42494.64583333333)</f>
        <v>42494.64583</v>
      </c>
      <c r="B3889" s="3">
        <f>IFERROR(__xludf.DUMMYFUNCTION("""COMPUTED_VALUE"""),7724.15)</f>
        <v>7724.15</v>
      </c>
      <c r="C3889" s="3">
        <f>IFERROR(__xludf.DUMMYFUNCTION("""COMPUTED_VALUE"""),7749.0)</f>
        <v>7749</v>
      </c>
      <c r="D3889" s="3">
        <f>IFERROR(__xludf.DUMMYFUNCTION("""COMPUTED_VALUE"""),7697.25)</f>
        <v>7697.25</v>
      </c>
      <c r="E3889" s="3">
        <f>IFERROR(__xludf.DUMMYFUNCTION("""COMPUTED_VALUE"""),7706.55)</f>
        <v>7706.55</v>
      </c>
      <c r="F3889" s="3">
        <f>IFERROR(__xludf.DUMMYFUNCTION("""COMPUTED_VALUE"""),0.0)</f>
        <v>0</v>
      </c>
    </row>
    <row r="3890">
      <c r="A3890" s="7">
        <f>IFERROR(__xludf.DUMMYFUNCTION("""COMPUTED_VALUE"""),42495.64583333333)</f>
        <v>42495.64583</v>
      </c>
      <c r="B3890" s="3">
        <f>IFERROR(__xludf.DUMMYFUNCTION("""COMPUTED_VALUE"""),7731.0)</f>
        <v>7731</v>
      </c>
      <c r="C3890" s="3">
        <f>IFERROR(__xludf.DUMMYFUNCTION("""COMPUTED_VALUE"""),7777.55)</f>
        <v>7777.55</v>
      </c>
      <c r="D3890" s="3">
        <f>IFERROR(__xludf.DUMMYFUNCTION("""COMPUTED_VALUE"""),7706.85)</f>
        <v>7706.85</v>
      </c>
      <c r="E3890" s="3">
        <f>IFERROR(__xludf.DUMMYFUNCTION("""COMPUTED_VALUE"""),7735.5)</f>
        <v>7735.5</v>
      </c>
      <c r="F3890" s="3">
        <f>IFERROR(__xludf.DUMMYFUNCTION("""COMPUTED_VALUE"""),0.0)</f>
        <v>0</v>
      </c>
    </row>
    <row r="3891">
      <c r="A3891" s="7">
        <f>IFERROR(__xludf.DUMMYFUNCTION("""COMPUTED_VALUE"""),42496.64583333333)</f>
        <v>42496.64583</v>
      </c>
      <c r="B3891" s="3">
        <f>IFERROR(__xludf.DUMMYFUNCTION("""COMPUTED_VALUE"""),7717.65)</f>
        <v>7717.65</v>
      </c>
      <c r="C3891" s="3">
        <f>IFERROR(__xludf.DUMMYFUNCTION("""COMPUTED_VALUE"""),7738.9)</f>
        <v>7738.9</v>
      </c>
      <c r="D3891" s="3">
        <f>IFERROR(__xludf.DUMMYFUNCTION("""COMPUTED_VALUE"""),7678.35)</f>
        <v>7678.35</v>
      </c>
      <c r="E3891" s="3">
        <f>IFERROR(__xludf.DUMMYFUNCTION("""COMPUTED_VALUE"""),7733.45)</f>
        <v>7733.45</v>
      </c>
      <c r="F3891" s="3">
        <f>IFERROR(__xludf.DUMMYFUNCTION("""COMPUTED_VALUE"""),0.0)</f>
        <v>0</v>
      </c>
    </row>
    <row r="3892">
      <c r="A3892" s="7">
        <f>IFERROR(__xludf.DUMMYFUNCTION("""COMPUTED_VALUE"""),42499.64583333333)</f>
        <v>42499.64583</v>
      </c>
      <c r="B3892" s="3">
        <f>IFERROR(__xludf.DUMMYFUNCTION("""COMPUTED_VALUE"""),7755.25)</f>
        <v>7755.25</v>
      </c>
      <c r="C3892" s="3">
        <f>IFERROR(__xludf.DUMMYFUNCTION("""COMPUTED_VALUE"""),7873.65)</f>
        <v>7873.65</v>
      </c>
      <c r="D3892" s="3">
        <f>IFERROR(__xludf.DUMMYFUNCTION("""COMPUTED_VALUE"""),7753.55)</f>
        <v>7753.55</v>
      </c>
      <c r="E3892" s="3">
        <f>IFERROR(__xludf.DUMMYFUNCTION("""COMPUTED_VALUE"""),7866.05)</f>
        <v>7866.05</v>
      </c>
      <c r="F3892" s="3">
        <f>IFERROR(__xludf.DUMMYFUNCTION("""COMPUTED_VALUE"""),0.0)</f>
        <v>0</v>
      </c>
    </row>
    <row r="3893">
      <c r="A3893" s="7">
        <f>IFERROR(__xludf.DUMMYFUNCTION("""COMPUTED_VALUE"""),42500.64583333333)</f>
        <v>42500.64583</v>
      </c>
      <c r="B3893" s="3">
        <f>IFERROR(__xludf.DUMMYFUNCTION("""COMPUTED_VALUE"""),7873.55)</f>
        <v>7873.55</v>
      </c>
      <c r="C3893" s="3">
        <f>IFERROR(__xludf.DUMMYFUNCTION("""COMPUTED_VALUE"""),7896.9)</f>
        <v>7896.9</v>
      </c>
      <c r="D3893" s="3">
        <f>IFERROR(__xludf.DUMMYFUNCTION("""COMPUTED_VALUE"""),7837.7)</f>
        <v>7837.7</v>
      </c>
      <c r="E3893" s="3">
        <f>IFERROR(__xludf.DUMMYFUNCTION("""COMPUTED_VALUE"""),7887.8)</f>
        <v>7887.8</v>
      </c>
      <c r="F3893" s="3">
        <f>IFERROR(__xludf.DUMMYFUNCTION("""COMPUTED_VALUE"""),0.0)</f>
        <v>0</v>
      </c>
    </row>
    <row r="3894">
      <c r="A3894" s="7">
        <f>IFERROR(__xludf.DUMMYFUNCTION("""COMPUTED_VALUE"""),42501.64583333333)</f>
        <v>42501.64583</v>
      </c>
      <c r="B3894" s="3">
        <f>IFERROR(__xludf.DUMMYFUNCTION("""COMPUTED_VALUE"""),7804.65)</f>
        <v>7804.65</v>
      </c>
      <c r="C3894" s="3">
        <f>IFERROR(__xludf.DUMMYFUNCTION("""COMPUTED_VALUE"""),7893.1)</f>
        <v>7893.1</v>
      </c>
      <c r="D3894" s="3">
        <f>IFERROR(__xludf.DUMMYFUNCTION("""COMPUTED_VALUE"""),7780.9)</f>
        <v>7780.9</v>
      </c>
      <c r="E3894" s="3">
        <f>IFERROR(__xludf.DUMMYFUNCTION("""COMPUTED_VALUE"""),7848.85)</f>
        <v>7848.85</v>
      </c>
      <c r="F3894" s="3">
        <f>IFERROR(__xludf.DUMMYFUNCTION("""COMPUTED_VALUE"""),0.0)</f>
        <v>0</v>
      </c>
    </row>
    <row r="3895">
      <c r="A3895" s="7">
        <f>IFERROR(__xludf.DUMMYFUNCTION("""COMPUTED_VALUE"""),42502.64583333333)</f>
        <v>42502.64583</v>
      </c>
      <c r="B3895" s="3">
        <f>IFERROR(__xludf.DUMMYFUNCTION("""COMPUTED_VALUE"""),7871.45)</f>
        <v>7871.45</v>
      </c>
      <c r="C3895" s="3">
        <f>IFERROR(__xludf.DUMMYFUNCTION("""COMPUTED_VALUE"""),7916.05)</f>
        <v>7916.05</v>
      </c>
      <c r="D3895" s="3">
        <f>IFERROR(__xludf.DUMMYFUNCTION("""COMPUTED_VALUE"""),7849.65)</f>
        <v>7849.65</v>
      </c>
      <c r="E3895" s="3">
        <f>IFERROR(__xludf.DUMMYFUNCTION("""COMPUTED_VALUE"""),7900.4)</f>
        <v>7900.4</v>
      </c>
      <c r="F3895" s="3">
        <f>IFERROR(__xludf.DUMMYFUNCTION("""COMPUTED_VALUE"""),0.0)</f>
        <v>0</v>
      </c>
    </row>
    <row r="3896">
      <c r="A3896" s="7">
        <f>IFERROR(__xludf.DUMMYFUNCTION("""COMPUTED_VALUE"""),42503.64583333333)</f>
        <v>42503.64583</v>
      </c>
      <c r="B3896" s="3">
        <f>IFERROR(__xludf.DUMMYFUNCTION("""COMPUTED_VALUE"""),7881.0)</f>
        <v>7881</v>
      </c>
      <c r="C3896" s="3">
        <f>IFERROR(__xludf.DUMMYFUNCTION("""COMPUTED_VALUE"""),7881.0)</f>
        <v>7881</v>
      </c>
      <c r="D3896" s="3">
        <f>IFERROR(__xludf.DUMMYFUNCTION("""COMPUTED_VALUE"""),7784.2)</f>
        <v>7784.2</v>
      </c>
      <c r="E3896" s="3">
        <f>IFERROR(__xludf.DUMMYFUNCTION("""COMPUTED_VALUE"""),7814.9)</f>
        <v>7814.9</v>
      </c>
      <c r="F3896" s="3">
        <f>IFERROR(__xludf.DUMMYFUNCTION("""COMPUTED_VALUE"""),0.0)</f>
        <v>0</v>
      </c>
    </row>
    <row r="3897">
      <c r="A3897" s="7">
        <f>IFERROR(__xludf.DUMMYFUNCTION("""COMPUTED_VALUE"""),42506.64583333333)</f>
        <v>42506.64583</v>
      </c>
      <c r="B3897" s="3">
        <f>IFERROR(__xludf.DUMMYFUNCTION("""COMPUTED_VALUE"""),7831.2)</f>
        <v>7831.2</v>
      </c>
      <c r="C3897" s="3">
        <f>IFERROR(__xludf.DUMMYFUNCTION("""COMPUTED_VALUE"""),7873.9)</f>
        <v>7873.9</v>
      </c>
      <c r="D3897" s="3">
        <f>IFERROR(__xludf.DUMMYFUNCTION("""COMPUTED_VALUE"""),7772.15)</f>
        <v>7772.15</v>
      </c>
      <c r="E3897" s="3">
        <f>IFERROR(__xludf.DUMMYFUNCTION("""COMPUTED_VALUE"""),7860.75)</f>
        <v>7860.75</v>
      </c>
      <c r="F3897" s="3">
        <f>IFERROR(__xludf.DUMMYFUNCTION("""COMPUTED_VALUE"""),0.0)</f>
        <v>0</v>
      </c>
    </row>
    <row r="3898">
      <c r="A3898" s="7">
        <f>IFERROR(__xludf.DUMMYFUNCTION("""COMPUTED_VALUE"""),42507.64583333333)</f>
        <v>42507.64583</v>
      </c>
      <c r="B3898" s="3">
        <f>IFERROR(__xludf.DUMMYFUNCTION("""COMPUTED_VALUE"""),7896.85)</f>
        <v>7896.85</v>
      </c>
      <c r="C3898" s="3">
        <f>IFERROR(__xludf.DUMMYFUNCTION("""COMPUTED_VALUE"""),7940.1)</f>
        <v>7940.1</v>
      </c>
      <c r="D3898" s="3">
        <f>IFERROR(__xludf.DUMMYFUNCTION("""COMPUTED_VALUE"""),7879.7)</f>
        <v>7879.7</v>
      </c>
      <c r="E3898" s="3">
        <f>IFERROR(__xludf.DUMMYFUNCTION("""COMPUTED_VALUE"""),7890.75)</f>
        <v>7890.75</v>
      </c>
      <c r="F3898" s="3">
        <f>IFERROR(__xludf.DUMMYFUNCTION("""COMPUTED_VALUE"""),0.0)</f>
        <v>0</v>
      </c>
    </row>
    <row r="3899">
      <c r="A3899" s="7">
        <f>IFERROR(__xludf.DUMMYFUNCTION("""COMPUTED_VALUE"""),42508.64583333333)</f>
        <v>42508.64583</v>
      </c>
      <c r="B3899" s="3">
        <f>IFERROR(__xludf.DUMMYFUNCTION("""COMPUTED_VALUE"""),7846.75)</f>
        <v>7846.75</v>
      </c>
      <c r="C3899" s="3">
        <f>IFERROR(__xludf.DUMMYFUNCTION("""COMPUTED_VALUE"""),7882.05)</f>
        <v>7882.05</v>
      </c>
      <c r="D3899" s="3">
        <f>IFERROR(__xludf.DUMMYFUNCTION("""COMPUTED_VALUE"""),7810.75)</f>
        <v>7810.75</v>
      </c>
      <c r="E3899" s="3">
        <f>IFERROR(__xludf.DUMMYFUNCTION("""COMPUTED_VALUE"""),7870.15)</f>
        <v>7870.15</v>
      </c>
      <c r="F3899" s="3">
        <f>IFERROR(__xludf.DUMMYFUNCTION("""COMPUTED_VALUE"""),0.0)</f>
        <v>0</v>
      </c>
    </row>
    <row r="3900">
      <c r="A3900" s="7">
        <f>IFERROR(__xludf.DUMMYFUNCTION("""COMPUTED_VALUE"""),42509.64583333333)</f>
        <v>42509.64583</v>
      </c>
      <c r="B3900" s="3">
        <f>IFERROR(__xludf.DUMMYFUNCTION("""COMPUTED_VALUE"""),7875.5)</f>
        <v>7875.5</v>
      </c>
      <c r="C3900" s="3">
        <f>IFERROR(__xludf.DUMMYFUNCTION("""COMPUTED_VALUE"""),7876.2)</f>
        <v>7876.2</v>
      </c>
      <c r="D3900" s="3">
        <f>IFERROR(__xludf.DUMMYFUNCTION("""COMPUTED_VALUE"""),7766.8)</f>
        <v>7766.8</v>
      </c>
      <c r="E3900" s="3">
        <f>IFERROR(__xludf.DUMMYFUNCTION("""COMPUTED_VALUE"""),7783.4)</f>
        <v>7783.4</v>
      </c>
      <c r="F3900" s="3">
        <f>IFERROR(__xludf.DUMMYFUNCTION("""COMPUTED_VALUE"""),0.0)</f>
        <v>0</v>
      </c>
    </row>
    <row r="3901">
      <c r="A3901" s="7">
        <f>IFERROR(__xludf.DUMMYFUNCTION("""COMPUTED_VALUE"""),42510.64583333333)</f>
        <v>42510.64583</v>
      </c>
      <c r="B3901" s="3">
        <f>IFERROR(__xludf.DUMMYFUNCTION("""COMPUTED_VALUE"""),7792.2)</f>
        <v>7792.2</v>
      </c>
      <c r="C3901" s="3">
        <f>IFERROR(__xludf.DUMMYFUNCTION("""COMPUTED_VALUE"""),7812.4)</f>
        <v>7812.4</v>
      </c>
      <c r="D3901" s="3">
        <f>IFERROR(__xludf.DUMMYFUNCTION("""COMPUTED_VALUE"""),7735.75)</f>
        <v>7735.75</v>
      </c>
      <c r="E3901" s="3">
        <f>IFERROR(__xludf.DUMMYFUNCTION("""COMPUTED_VALUE"""),7749.7)</f>
        <v>7749.7</v>
      </c>
      <c r="F3901" s="3">
        <f>IFERROR(__xludf.DUMMYFUNCTION("""COMPUTED_VALUE"""),0.0)</f>
        <v>0</v>
      </c>
    </row>
    <row r="3902">
      <c r="A3902" s="7">
        <f>IFERROR(__xludf.DUMMYFUNCTION("""COMPUTED_VALUE"""),42513.64583333333)</f>
        <v>42513.64583</v>
      </c>
      <c r="B3902" s="3">
        <f>IFERROR(__xludf.DUMMYFUNCTION("""COMPUTED_VALUE"""),7813.95)</f>
        <v>7813.95</v>
      </c>
      <c r="C3902" s="3">
        <f>IFERROR(__xludf.DUMMYFUNCTION("""COMPUTED_VALUE"""),7820.6)</f>
        <v>7820.6</v>
      </c>
      <c r="D3902" s="3">
        <f>IFERROR(__xludf.DUMMYFUNCTION("""COMPUTED_VALUE"""),7722.2)</f>
        <v>7722.2</v>
      </c>
      <c r="E3902" s="3">
        <f>IFERROR(__xludf.DUMMYFUNCTION("""COMPUTED_VALUE"""),7731.05)</f>
        <v>7731.05</v>
      </c>
      <c r="F3902" s="3">
        <f>IFERROR(__xludf.DUMMYFUNCTION("""COMPUTED_VALUE"""),0.0)</f>
        <v>0</v>
      </c>
    </row>
    <row r="3903">
      <c r="A3903" s="7">
        <f>IFERROR(__xludf.DUMMYFUNCTION("""COMPUTED_VALUE"""),42514.64583333333)</f>
        <v>42514.64583</v>
      </c>
      <c r="B3903" s="3">
        <f>IFERROR(__xludf.DUMMYFUNCTION("""COMPUTED_VALUE"""),7738.05)</f>
        <v>7738.05</v>
      </c>
      <c r="C3903" s="3">
        <f>IFERROR(__xludf.DUMMYFUNCTION("""COMPUTED_VALUE"""),7761.55)</f>
        <v>7761.55</v>
      </c>
      <c r="D3903" s="3">
        <f>IFERROR(__xludf.DUMMYFUNCTION("""COMPUTED_VALUE"""),7715.8)</f>
        <v>7715.8</v>
      </c>
      <c r="E3903" s="3">
        <f>IFERROR(__xludf.DUMMYFUNCTION("""COMPUTED_VALUE"""),7748.85)</f>
        <v>7748.85</v>
      </c>
      <c r="F3903" s="3">
        <f>IFERROR(__xludf.DUMMYFUNCTION("""COMPUTED_VALUE"""),0.0)</f>
        <v>0</v>
      </c>
    </row>
    <row r="3904">
      <c r="A3904" s="7">
        <f>IFERROR(__xludf.DUMMYFUNCTION("""COMPUTED_VALUE"""),42515.64583333333)</f>
        <v>42515.64583</v>
      </c>
      <c r="B3904" s="3">
        <f>IFERROR(__xludf.DUMMYFUNCTION("""COMPUTED_VALUE"""),7811.8)</f>
        <v>7811.8</v>
      </c>
      <c r="C3904" s="3">
        <f>IFERROR(__xludf.DUMMYFUNCTION("""COMPUTED_VALUE"""),7941.2)</f>
        <v>7941.2</v>
      </c>
      <c r="D3904" s="3">
        <f>IFERROR(__xludf.DUMMYFUNCTION("""COMPUTED_VALUE"""),7809.3)</f>
        <v>7809.3</v>
      </c>
      <c r="E3904" s="3">
        <f>IFERROR(__xludf.DUMMYFUNCTION("""COMPUTED_VALUE"""),7934.9)</f>
        <v>7934.9</v>
      </c>
      <c r="F3904" s="3">
        <f>IFERROR(__xludf.DUMMYFUNCTION("""COMPUTED_VALUE"""),0.0)</f>
        <v>0</v>
      </c>
    </row>
    <row r="3905">
      <c r="A3905" s="7">
        <f>IFERROR(__xludf.DUMMYFUNCTION("""COMPUTED_VALUE"""),42516.64583333333)</f>
        <v>42516.64583</v>
      </c>
      <c r="B3905" s="3">
        <f>IFERROR(__xludf.DUMMYFUNCTION("""COMPUTED_VALUE"""),7974.45)</f>
        <v>7974.45</v>
      </c>
      <c r="C3905" s="3">
        <f>IFERROR(__xludf.DUMMYFUNCTION("""COMPUTED_VALUE"""),8083.0)</f>
        <v>8083</v>
      </c>
      <c r="D3905" s="3">
        <f>IFERROR(__xludf.DUMMYFUNCTION("""COMPUTED_VALUE"""),7948.5)</f>
        <v>7948.5</v>
      </c>
      <c r="E3905" s="3">
        <f>IFERROR(__xludf.DUMMYFUNCTION("""COMPUTED_VALUE"""),8069.65)</f>
        <v>8069.65</v>
      </c>
      <c r="F3905" s="3">
        <f>IFERROR(__xludf.DUMMYFUNCTION("""COMPUTED_VALUE"""),0.0)</f>
        <v>0</v>
      </c>
    </row>
    <row r="3906">
      <c r="A3906" s="7">
        <f>IFERROR(__xludf.DUMMYFUNCTION("""COMPUTED_VALUE"""),42517.64583333333)</f>
        <v>42517.64583</v>
      </c>
      <c r="B3906" s="3">
        <f>IFERROR(__xludf.DUMMYFUNCTION("""COMPUTED_VALUE"""),8081.95)</f>
        <v>8081.95</v>
      </c>
      <c r="C3906" s="3">
        <f>IFERROR(__xludf.DUMMYFUNCTION("""COMPUTED_VALUE"""),8164.2)</f>
        <v>8164.2</v>
      </c>
      <c r="D3906" s="3">
        <f>IFERROR(__xludf.DUMMYFUNCTION("""COMPUTED_VALUE"""),8077.05)</f>
        <v>8077.05</v>
      </c>
      <c r="E3906" s="3">
        <f>IFERROR(__xludf.DUMMYFUNCTION("""COMPUTED_VALUE"""),8156.65)</f>
        <v>8156.65</v>
      </c>
      <c r="F3906" s="3">
        <f>IFERROR(__xludf.DUMMYFUNCTION("""COMPUTED_VALUE"""),0.0)</f>
        <v>0</v>
      </c>
    </row>
    <row r="3907">
      <c r="A3907" s="7">
        <f>IFERROR(__xludf.DUMMYFUNCTION("""COMPUTED_VALUE"""),42520.64583333333)</f>
        <v>42520.64583</v>
      </c>
      <c r="B3907" s="3">
        <f>IFERROR(__xludf.DUMMYFUNCTION("""COMPUTED_VALUE"""),8166.5)</f>
        <v>8166.5</v>
      </c>
      <c r="C3907" s="3">
        <f>IFERROR(__xludf.DUMMYFUNCTION("""COMPUTED_VALUE"""),8200.0)</f>
        <v>8200</v>
      </c>
      <c r="D3907" s="3">
        <f>IFERROR(__xludf.DUMMYFUNCTION("""COMPUTED_VALUE"""),8150.8)</f>
        <v>8150.8</v>
      </c>
      <c r="E3907" s="3">
        <f>IFERROR(__xludf.DUMMYFUNCTION("""COMPUTED_VALUE"""),8178.5)</f>
        <v>8178.5</v>
      </c>
      <c r="F3907" s="3">
        <f>IFERROR(__xludf.DUMMYFUNCTION("""COMPUTED_VALUE"""),0.0)</f>
        <v>0</v>
      </c>
    </row>
    <row r="3908">
      <c r="A3908" s="7">
        <f>IFERROR(__xludf.DUMMYFUNCTION("""COMPUTED_VALUE"""),42521.64583333333)</f>
        <v>42521.64583</v>
      </c>
      <c r="B3908" s="3">
        <f>IFERROR(__xludf.DUMMYFUNCTION("""COMPUTED_VALUE"""),8209.85)</f>
        <v>8209.85</v>
      </c>
      <c r="C3908" s="3">
        <f>IFERROR(__xludf.DUMMYFUNCTION("""COMPUTED_VALUE"""),8213.6)</f>
        <v>8213.6</v>
      </c>
      <c r="D3908" s="3">
        <f>IFERROR(__xludf.DUMMYFUNCTION("""COMPUTED_VALUE"""),8134.3)</f>
        <v>8134.3</v>
      </c>
      <c r="E3908" s="3">
        <f>IFERROR(__xludf.DUMMYFUNCTION("""COMPUTED_VALUE"""),8160.1)</f>
        <v>8160.1</v>
      </c>
      <c r="F3908" s="3">
        <f>IFERROR(__xludf.DUMMYFUNCTION("""COMPUTED_VALUE"""),0.0)</f>
        <v>0</v>
      </c>
    </row>
    <row r="3909">
      <c r="A3909" s="7">
        <f>IFERROR(__xludf.DUMMYFUNCTION("""COMPUTED_VALUE"""),42522.64583333333)</f>
        <v>42522.64583</v>
      </c>
      <c r="B3909" s="3">
        <f>IFERROR(__xludf.DUMMYFUNCTION("""COMPUTED_VALUE"""),8179.2)</f>
        <v>8179.2</v>
      </c>
      <c r="C3909" s="3">
        <f>IFERROR(__xludf.DUMMYFUNCTION("""COMPUTED_VALUE"""),8215.35)</f>
        <v>8215.35</v>
      </c>
      <c r="D3909" s="3">
        <f>IFERROR(__xludf.DUMMYFUNCTION("""COMPUTED_VALUE"""),8171.05)</f>
        <v>8171.05</v>
      </c>
      <c r="E3909" s="3">
        <f>IFERROR(__xludf.DUMMYFUNCTION("""COMPUTED_VALUE"""),8179.95)</f>
        <v>8179.95</v>
      </c>
      <c r="F3909" s="3">
        <f>IFERROR(__xludf.DUMMYFUNCTION("""COMPUTED_VALUE"""),0.0)</f>
        <v>0</v>
      </c>
    </row>
    <row r="3910">
      <c r="A3910" s="7">
        <f>IFERROR(__xludf.DUMMYFUNCTION("""COMPUTED_VALUE"""),42523.64583333333)</f>
        <v>42523.64583</v>
      </c>
      <c r="B3910" s="3">
        <f>IFERROR(__xludf.DUMMYFUNCTION("""COMPUTED_VALUE"""),8156.9)</f>
        <v>8156.9</v>
      </c>
      <c r="C3910" s="3">
        <f>IFERROR(__xludf.DUMMYFUNCTION("""COMPUTED_VALUE"""),8229.5)</f>
        <v>8229.5</v>
      </c>
      <c r="D3910" s="3">
        <f>IFERROR(__xludf.DUMMYFUNCTION("""COMPUTED_VALUE"""),8154.75)</f>
        <v>8154.75</v>
      </c>
      <c r="E3910" s="3">
        <f>IFERROR(__xludf.DUMMYFUNCTION("""COMPUTED_VALUE"""),8218.95)</f>
        <v>8218.95</v>
      </c>
      <c r="F3910" s="3">
        <f>IFERROR(__xludf.DUMMYFUNCTION("""COMPUTED_VALUE"""),0.0)</f>
        <v>0</v>
      </c>
    </row>
    <row r="3911">
      <c r="A3911" s="7">
        <f>IFERROR(__xludf.DUMMYFUNCTION("""COMPUTED_VALUE"""),42524.64583333333)</f>
        <v>42524.64583</v>
      </c>
      <c r="B3911" s="3">
        <f>IFERROR(__xludf.DUMMYFUNCTION("""COMPUTED_VALUE"""),8246.2)</f>
        <v>8246.2</v>
      </c>
      <c r="C3911" s="3">
        <f>IFERROR(__xludf.DUMMYFUNCTION("""COMPUTED_VALUE"""),8262.0)</f>
        <v>8262</v>
      </c>
      <c r="D3911" s="3">
        <f>IFERROR(__xludf.DUMMYFUNCTION("""COMPUTED_VALUE"""),8209.85)</f>
        <v>8209.85</v>
      </c>
      <c r="E3911" s="3">
        <f>IFERROR(__xludf.DUMMYFUNCTION("""COMPUTED_VALUE"""),8220.8)</f>
        <v>8220.8</v>
      </c>
      <c r="F3911" s="3">
        <f>IFERROR(__xludf.DUMMYFUNCTION("""COMPUTED_VALUE"""),0.0)</f>
        <v>0</v>
      </c>
    </row>
    <row r="3912">
      <c r="A3912" s="7">
        <f>IFERROR(__xludf.DUMMYFUNCTION("""COMPUTED_VALUE"""),42527.64583333333)</f>
        <v>42527.64583</v>
      </c>
      <c r="B3912" s="3">
        <f>IFERROR(__xludf.DUMMYFUNCTION("""COMPUTED_VALUE"""),8228.75)</f>
        <v>8228.75</v>
      </c>
      <c r="C3912" s="3">
        <f>IFERROR(__xludf.DUMMYFUNCTION("""COMPUTED_VALUE"""),8234.7)</f>
        <v>8234.7</v>
      </c>
      <c r="D3912" s="3">
        <f>IFERROR(__xludf.DUMMYFUNCTION("""COMPUTED_VALUE"""),8186.05)</f>
        <v>8186.05</v>
      </c>
      <c r="E3912" s="3">
        <f>IFERROR(__xludf.DUMMYFUNCTION("""COMPUTED_VALUE"""),8201.05)</f>
        <v>8201.05</v>
      </c>
      <c r="F3912" s="3">
        <f>IFERROR(__xludf.DUMMYFUNCTION("""COMPUTED_VALUE"""),0.0)</f>
        <v>0</v>
      </c>
    </row>
    <row r="3913">
      <c r="A3913" s="7">
        <f>IFERROR(__xludf.DUMMYFUNCTION("""COMPUTED_VALUE"""),42528.64583333333)</f>
        <v>42528.64583</v>
      </c>
      <c r="B3913" s="3">
        <f>IFERROR(__xludf.DUMMYFUNCTION("""COMPUTED_VALUE"""),8235.55)</f>
        <v>8235.55</v>
      </c>
      <c r="C3913" s="3">
        <f>IFERROR(__xludf.DUMMYFUNCTION("""COMPUTED_VALUE"""),8294.95)</f>
        <v>8294.95</v>
      </c>
      <c r="D3913" s="3">
        <f>IFERROR(__xludf.DUMMYFUNCTION("""COMPUTED_VALUE"""),8216.4)</f>
        <v>8216.4</v>
      </c>
      <c r="E3913" s="3">
        <f>IFERROR(__xludf.DUMMYFUNCTION("""COMPUTED_VALUE"""),8266.45)</f>
        <v>8266.45</v>
      </c>
      <c r="F3913" s="3">
        <f>IFERROR(__xludf.DUMMYFUNCTION("""COMPUTED_VALUE"""),0.0)</f>
        <v>0</v>
      </c>
    </row>
    <row r="3914">
      <c r="A3914" s="7">
        <f>IFERROR(__xludf.DUMMYFUNCTION("""COMPUTED_VALUE"""),42529.64583333333)</f>
        <v>42529.64583</v>
      </c>
      <c r="B3914" s="3">
        <f>IFERROR(__xludf.DUMMYFUNCTION("""COMPUTED_VALUE"""),8285.5)</f>
        <v>8285.5</v>
      </c>
      <c r="C3914" s="3">
        <f>IFERROR(__xludf.DUMMYFUNCTION("""COMPUTED_VALUE"""),8288.9)</f>
        <v>8288.9</v>
      </c>
      <c r="D3914" s="3">
        <f>IFERROR(__xludf.DUMMYFUNCTION("""COMPUTED_VALUE"""),8252.05)</f>
        <v>8252.05</v>
      </c>
      <c r="E3914" s="3">
        <f>IFERROR(__xludf.DUMMYFUNCTION("""COMPUTED_VALUE"""),8273.05)</f>
        <v>8273.05</v>
      </c>
      <c r="F3914" s="3">
        <f>IFERROR(__xludf.DUMMYFUNCTION("""COMPUTED_VALUE"""),0.0)</f>
        <v>0</v>
      </c>
    </row>
    <row r="3915">
      <c r="A3915" s="7">
        <f>IFERROR(__xludf.DUMMYFUNCTION("""COMPUTED_VALUE"""),42530.64583333333)</f>
        <v>42530.64583</v>
      </c>
      <c r="B3915" s="3">
        <f>IFERROR(__xludf.DUMMYFUNCTION("""COMPUTED_VALUE"""),8273.35)</f>
        <v>8273.35</v>
      </c>
      <c r="C3915" s="3">
        <f>IFERROR(__xludf.DUMMYFUNCTION("""COMPUTED_VALUE"""),8273.35)</f>
        <v>8273.35</v>
      </c>
      <c r="D3915" s="3">
        <f>IFERROR(__xludf.DUMMYFUNCTION("""COMPUTED_VALUE"""),8184.6)</f>
        <v>8184.6</v>
      </c>
      <c r="E3915" s="3">
        <f>IFERROR(__xludf.DUMMYFUNCTION("""COMPUTED_VALUE"""),8203.6)</f>
        <v>8203.6</v>
      </c>
      <c r="F3915" s="3">
        <f>IFERROR(__xludf.DUMMYFUNCTION("""COMPUTED_VALUE"""),0.0)</f>
        <v>0</v>
      </c>
    </row>
    <row r="3916">
      <c r="A3916" s="7">
        <f>IFERROR(__xludf.DUMMYFUNCTION("""COMPUTED_VALUE"""),42531.64583333333)</f>
        <v>42531.64583</v>
      </c>
      <c r="B3916" s="3">
        <f>IFERROR(__xludf.DUMMYFUNCTION("""COMPUTED_VALUE"""),8180.25)</f>
        <v>8180.25</v>
      </c>
      <c r="C3916" s="3">
        <f>IFERROR(__xludf.DUMMYFUNCTION("""COMPUTED_VALUE"""),8265.6)</f>
        <v>8265.6</v>
      </c>
      <c r="D3916" s="3">
        <f>IFERROR(__xludf.DUMMYFUNCTION("""COMPUTED_VALUE"""),8162.85)</f>
        <v>8162.85</v>
      </c>
      <c r="E3916" s="3">
        <f>IFERROR(__xludf.DUMMYFUNCTION("""COMPUTED_VALUE"""),8170.05)</f>
        <v>8170.05</v>
      </c>
      <c r="F3916" s="3">
        <f>IFERROR(__xludf.DUMMYFUNCTION("""COMPUTED_VALUE"""),0.0)</f>
        <v>0</v>
      </c>
    </row>
    <row r="3917">
      <c r="A3917" s="7">
        <f>IFERROR(__xludf.DUMMYFUNCTION("""COMPUTED_VALUE"""),42534.64583333333)</f>
        <v>42534.64583</v>
      </c>
      <c r="B3917" s="3">
        <f>IFERROR(__xludf.DUMMYFUNCTION("""COMPUTED_VALUE"""),8102.25)</f>
        <v>8102.25</v>
      </c>
      <c r="C3917" s="3">
        <f>IFERROR(__xludf.DUMMYFUNCTION("""COMPUTED_VALUE"""),8125.25)</f>
        <v>8125.25</v>
      </c>
      <c r="D3917" s="3">
        <f>IFERROR(__xludf.DUMMYFUNCTION("""COMPUTED_VALUE"""),8063.9)</f>
        <v>8063.9</v>
      </c>
      <c r="E3917" s="3">
        <f>IFERROR(__xludf.DUMMYFUNCTION("""COMPUTED_VALUE"""),8110.6)</f>
        <v>8110.6</v>
      </c>
      <c r="F3917" s="3">
        <f>IFERROR(__xludf.DUMMYFUNCTION("""COMPUTED_VALUE"""),0.0)</f>
        <v>0</v>
      </c>
    </row>
    <row r="3918">
      <c r="A3918" s="7">
        <f>IFERROR(__xludf.DUMMYFUNCTION("""COMPUTED_VALUE"""),42535.64583333333)</f>
        <v>42535.64583</v>
      </c>
      <c r="B3918" s="3">
        <f>IFERROR(__xludf.DUMMYFUNCTION("""COMPUTED_VALUE"""),8134.4)</f>
        <v>8134.4</v>
      </c>
      <c r="C3918" s="3">
        <f>IFERROR(__xludf.DUMMYFUNCTION("""COMPUTED_VALUE"""),8134.95)</f>
        <v>8134.95</v>
      </c>
      <c r="D3918" s="3">
        <f>IFERROR(__xludf.DUMMYFUNCTION("""COMPUTED_VALUE"""),8069.5)</f>
        <v>8069.5</v>
      </c>
      <c r="E3918" s="3">
        <f>IFERROR(__xludf.DUMMYFUNCTION("""COMPUTED_VALUE"""),8108.85)</f>
        <v>8108.85</v>
      </c>
      <c r="F3918" s="3">
        <f>IFERROR(__xludf.DUMMYFUNCTION("""COMPUTED_VALUE"""),0.0)</f>
        <v>0</v>
      </c>
    </row>
    <row r="3919">
      <c r="A3919" s="7">
        <f>IFERROR(__xludf.DUMMYFUNCTION("""COMPUTED_VALUE"""),42536.64583333333)</f>
        <v>42536.64583</v>
      </c>
      <c r="B3919" s="3">
        <f>IFERROR(__xludf.DUMMYFUNCTION("""COMPUTED_VALUE"""),8139.4)</f>
        <v>8139.4</v>
      </c>
      <c r="C3919" s="3">
        <f>IFERROR(__xludf.DUMMYFUNCTION("""COMPUTED_VALUE"""),8213.2)</f>
        <v>8213.2</v>
      </c>
      <c r="D3919" s="3">
        <f>IFERROR(__xludf.DUMMYFUNCTION("""COMPUTED_VALUE"""),8123.15)</f>
        <v>8123.15</v>
      </c>
      <c r="E3919" s="3">
        <f>IFERROR(__xludf.DUMMYFUNCTION("""COMPUTED_VALUE"""),8206.6)</f>
        <v>8206.6</v>
      </c>
      <c r="F3919" s="3">
        <f>IFERROR(__xludf.DUMMYFUNCTION("""COMPUTED_VALUE"""),0.0)</f>
        <v>0</v>
      </c>
    </row>
    <row r="3920">
      <c r="A3920" s="7">
        <f>IFERROR(__xludf.DUMMYFUNCTION("""COMPUTED_VALUE"""),42537.64583333333)</f>
        <v>42537.64583</v>
      </c>
      <c r="B3920" s="3">
        <f>IFERROR(__xludf.DUMMYFUNCTION("""COMPUTED_VALUE"""),8180.65)</f>
        <v>8180.65</v>
      </c>
      <c r="C3920" s="3">
        <f>IFERROR(__xludf.DUMMYFUNCTION("""COMPUTED_VALUE"""),8180.65)</f>
        <v>8180.65</v>
      </c>
      <c r="D3920" s="3">
        <f>IFERROR(__xludf.DUMMYFUNCTION("""COMPUTED_VALUE"""),8074.45)</f>
        <v>8074.45</v>
      </c>
      <c r="E3920" s="3">
        <f>IFERROR(__xludf.DUMMYFUNCTION("""COMPUTED_VALUE"""),8140.75)</f>
        <v>8140.75</v>
      </c>
      <c r="F3920" s="3">
        <f>IFERROR(__xludf.DUMMYFUNCTION("""COMPUTED_VALUE"""),0.0)</f>
        <v>0</v>
      </c>
    </row>
    <row r="3921">
      <c r="A3921" s="7">
        <f>IFERROR(__xludf.DUMMYFUNCTION("""COMPUTED_VALUE"""),42538.64583333333)</f>
        <v>42538.64583</v>
      </c>
      <c r="B3921" s="3">
        <f>IFERROR(__xludf.DUMMYFUNCTION("""COMPUTED_VALUE"""),8176.65)</f>
        <v>8176.65</v>
      </c>
      <c r="C3921" s="3">
        <f>IFERROR(__xludf.DUMMYFUNCTION("""COMPUTED_VALUE"""),8195.25)</f>
        <v>8195.25</v>
      </c>
      <c r="D3921" s="3">
        <f>IFERROR(__xludf.DUMMYFUNCTION("""COMPUTED_VALUE"""),8135.8)</f>
        <v>8135.8</v>
      </c>
      <c r="E3921" s="3">
        <f>IFERROR(__xludf.DUMMYFUNCTION("""COMPUTED_VALUE"""),8170.2)</f>
        <v>8170.2</v>
      </c>
      <c r="F3921" s="3">
        <f>IFERROR(__xludf.DUMMYFUNCTION("""COMPUTED_VALUE"""),0.0)</f>
        <v>0</v>
      </c>
    </row>
    <row r="3922">
      <c r="A3922" s="7">
        <f>IFERROR(__xludf.DUMMYFUNCTION("""COMPUTED_VALUE"""),42541.64583333333)</f>
        <v>42541.64583</v>
      </c>
      <c r="B3922" s="3">
        <f>IFERROR(__xludf.DUMMYFUNCTION("""COMPUTED_VALUE"""),8115.75)</f>
        <v>8115.75</v>
      </c>
      <c r="C3922" s="3">
        <f>IFERROR(__xludf.DUMMYFUNCTION("""COMPUTED_VALUE"""),8244.15)</f>
        <v>8244.15</v>
      </c>
      <c r="D3922" s="3">
        <f>IFERROR(__xludf.DUMMYFUNCTION("""COMPUTED_VALUE"""),8107.35)</f>
        <v>8107.35</v>
      </c>
      <c r="E3922" s="3">
        <f>IFERROR(__xludf.DUMMYFUNCTION("""COMPUTED_VALUE"""),8238.5)</f>
        <v>8238.5</v>
      </c>
      <c r="F3922" s="3">
        <f>IFERROR(__xludf.DUMMYFUNCTION("""COMPUTED_VALUE"""),0.0)</f>
        <v>0</v>
      </c>
    </row>
    <row r="3923">
      <c r="A3923" s="7">
        <f>IFERROR(__xludf.DUMMYFUNCTION("""COMPUTED_VALUE"""),42542.64583333333)</f>
        <v>42542.64583</v>
      </c>
      <c r="B3923" s="3">
        <f>IFERROR(__xludf.DUMMYFUNCTION("""COMPUTED_VALUE"""),8255.4)</f>
        <v>8255.4</v>
      </c>
      <c r="C3923" s="3">
        <f>IFERROR(__xludf.DUMMYFUNCTION("""COMPUTED_VALUE"""),8257.25)</f>
        <v>8257.25</v>
      </c>
      <c r="D3923" s="3">
        <f>IFERROR(__xludf.DUMMYFUNCTION("""COMPUTED_VALUE"""),8202.15)</f>
        <v>8202.15</v>
      </c>
      <c r="E3923" s="3">
        <f>IFERROR(__xludf.DUMMYFUNCTION("""COMPUTED_VALUE"""),8219.9)</f>
        <v>8219.9</v>
      </c>
      <c r="F3923" s="3">
        <f>IFERROR(__xludf.DUMMYFUNCTION("""COMPUTED_VALUE"""),0.0)</f>
        <v>0</v>
      </c>
    </row>
    <row r="3924">
      <c r="A3924" s="7">
        <f>IFERROR(__xludf.DUMMYFUNCTION("""COMPUTED_VALUE"""),42543.64583333333)</f>
        <v>42543.64583</v>
      </c>
      <c r="B3924" s="3">
        <f>IFERROR(__xludf.DUMMYFUNCTION("""COMPUTED_VALUE"""),8213.65)</f>
        <v>8213.65</v>
      </c>
      <c r="C3924" s="3">
        <f>IFERROR(__xludf.DUMMYFUNCTION("""COMPUTED_VALUE"""),8238.35)</f>
        <v>8238.35</v>
      </c>
      <c r="D3924" s="3">
        <f>IFERROR(__xludf.DUMMYFUNCTION("""COMPUTED_VALUE"""),8153.25)</f>
        <v>8153.25</v>
      </c>
      <c r="E3924" s="3">
        <f>IFERROR(__xludf.DUMMYFUNCTION("""COMPUTED_VALUE"""),8203.7)</f>
        <v>8203.7</v>
      </c>
      <c r="F3924" s="3">
        <f>IFERROR(__xludf.DUMMYFUNCTION("""COMPUTED_VALUE"""),0.0)</f>
        <v>0</v>
      </c>
    </row>
    <row r="3925">
      <c r="A3925" s="7">
        <f>IFERROR(__xludf.DUMMYFUNCTION("""COMPUTED_VALUE"""),42544.64583333333)</f>
        <v>42544.64583</v>
      </c>
      <c r="B3925" s="3">
        <f>IFERROR(__xludf.DUMMYFUNCTION("""COMPUTED_VALUE"""),8201.15)</f>
        <v>8201.15</v>
      </c>
      <c r="C3925" s="3">
        <f>IFERROR(__xludf.DUMMYFUNCTION("""COMPUTED_VALUE"""),8285.6)</f>
        <v>8285.6</v>
      </c>
      <c r="D3925" s="3">
        <f>IFERROR(__xludf.DUMMYFUNCTION("""COMPUTED_VALUE"""),8188.3)</f>
        <v>8188.3</v>
      </c>
      <c r="E3925" s="3">
        <f>IFERROR(__xludf.DUMMYFUNCTION("""COMPUTED_VALUE"""),8270.45)</f>
        <v>8270.45</v>
      </c>
      <c r="F3925" s="3">
        <f>IFERROR(__xludf.DUMMYFUNCTION("""COMPUTED_VALUE"""),0.0)</f>
        <v>0</v>
      </c>
    </row>
    <row r="3926">
      <c r="A3926" s="7">
        <f>IFERROR(__xludf.DUMMYFUNCTION("""COMPUTED_VALUE"""),42545.64583333333)</f>
        <v>42545.64583</v>
      </c>
      <c r="B3926" s="3">
        <f>IFERROR(__xludf.DUMMYFUNCTION("""COMPUTED_VALUE"""),8029.1)</f>
        <v>8029.1</v>
      </c>
      <c r="C3926" s="3">
        <f>IFERROR(__xludf.DUMMYFUNCTION("""COMPUTED_VALUE"""),8100.7)</f>
        <v>8100.7</v>
      </c>
      <c r="D3926" s="3">
        <f>IFERROR(__xludf.DUMMYFUNCTION("""COMPUTED_VALUE"""),7927.05)</f>
        <v>7927.05</v>
      </c>
      <c r="E3926" s="3">
        <f>IFERROR(__xludf.DUMMYFUNCTION("""COMPUTED_VALUE"""),8088.6)</f>
        <v>8088.6</v>
      </c>
      <c r="F3926" s="3">
        <f>IFERROR(__xludf.DUMMYFUNCTION("""COMPUTED_VALUE"""),0.0)</f>
        <v>0</v>
      </c>
    </row>
    <row r="3927">
      <c r="A3927" s="7">
        <f>IFERROR(__xludf.DUMMYFUNCTION("""COMPUTED_VALUE"""),42548.64583333333)</f>
        <v>42548.64583</v>
      </c>
      <c r="B3927" s="3">
        <f>IFERROR(__xludf.DUMMYFUNCTION("""COMPUTED_VALUE"""),8039.35)</f>
        <v>8039.35</v>
      </c>
      <c r="C3927" s="3">
        <f>IFERROR(__xludf.DUMMYFUNCTION("""COMPUTED_VALUE"""),8120.65)</f>
        <v>8120.65</v>
      </c>
      <c r="D3927" s="3">
        <f>IFERROR(__xludf.DUMMYFUNCTION("""COMPUTED_VALUE"""),8039.35)</f>
        <v>8039.35</v>
      </c>
      <c r="E3927" s="3">
        <f>IFERROR(__xludf.DUMMYFUNCTION("""COMPUTED_VALUE"""),8094.7)</f>
        <v>8094.7</v>
      </c>
      <c r="F3927" s="3">
        <f>IFERROR(__xludf.DUMMYFUNCTION("""COMPUTED_VALUE"""),0.0)</f>
        <v>0</v>
      </c>
    </row>
    <row r="3928">
      <c r="A3928" s="7">
        <f>IFERROR(__xludf.DUMMYFUNCTION("""COMPUTED_VALUE"""),42549.64583333333)</f>
        <v>42549.64583</v>
      </c>
      <c r="B3928" s="3">
        <f>IFERROR(__xludf.DUMMYFUNCTION("""COMPUTED_VALUE"""),8096.05)</f>
        <v>8096.05</v>
      </c>
      <c r="C3928" s="3">
        <f>IFERROR(__xludf.DUMMYFUNCTION("""COMPUTED_VALUE"""),8146.35)</f>
        <v>8146.35</v>
      </c>
      <c r="D3928" s="3">
        <f>IFERROR(__xludf.DUMMYFUNCTION("""COMPUTED_VALUE"""),8086.85)</f>
        <v>8086.85</v>
      </c>
      <c r="E3928" s="3">
        <f>IFERROR(__xludf.DUMMYFUNCTION("""COMPUTED_VALUE"""),8127.85)</f>
        <v>8127.85</v>
      </c>
      <c r="F3928" s="3">
        <f>IFERROR(__xludf.DUMMYFUNCTION("""COMPUTED_VALUE"""),0.0)</f>
        <v>0</v>
      </c>
    </row>
    <row r="3929">
      <c r="A3929" s="7">
        <f>IFERROR(__xludf.DUMMYFUNCTION("""COMPUTED_VALUE"""),42550.64583333333)</f>
        <v>42550.64583</v>
      </c>
      <c r="B3929" s="3">
        <f>IFERROR(__xludf.DUMMYFUNCTION("""COMPUTED_VALUE"""),8173.1)</f>
        <v>8173.1</v>
      </c>
      <c r="C3929" s="3">
        <f>IFERROR(__xludf.DUMMYFUNCTION("""COMPUTED_VALUE"""),8212.4)</f>
        <v>8212.4</v>
      </c>
      <c r="D3929" s="3">
        <f>IFERROR(__xludf.DUMMYFUNCTION("""COMPUTED_VALUE"""),8157.65)</f>
        <v>8157.65</v>
      </c>
      <c r="E3929" s="3">
        <f>IFERROR(__xludf.DUMMYFUNCTION("""COMPUTED_VALUE"""),8204.0)</f>
        <v>8204</v>
      </c>
      <c r="F3929" s="3">
        <f>IFERROR(__xludf.DUMMYFUNCTION("""COMPUTED_VALUE"""),0.0)</f>
        <v>0</v>
      </c>
    </row>
    <row r="3930">
      <c r="A3930" s="7">
        <f>IFERROR(__xludf.DUMMYFUNCTION("""COMPUTED_VALUE"""),42551.64583333333)</f>
        <v>42551.64583</v>
      </c>
      <c r="B3930" s="3">
        <f>IFERROR(__xludf.DUMMYFUNCTION("""COMPUTED_VALUE"""),8260.25)</f>
        <v>8260.25</v>
      </c>
      <c r="C3930" s="3">
        <f>IFERROR(__xludf.DUMMYFUNCTION("""COMPUTED_VALUE"""),8308.15)</f>
        <v>8308.15</v>
      </c>
      <c r="D3930" s="3">
        <f>IFERROR(__xludf.DUMMYFUNCTION("""COMPUTED_VALUE"""),8242.1)</f>
        <v>8242.1</v>
      </c>
      <c r="E3930" s="3">
        <f>IFERROR(__xludf.DUMMYFUNCTION("""COMPUTED_VALUE"""),8287.75)</f>
        <v>8287.75</v>
      </c>
      <c r="F3930" s="3">
        <f>IFERROR(__xludf.DUMMYFUNCTION("""COMPUTED_VALUE"""),0.0)</f>
        <v>0</v>
      </c>
    </row>
    <row r="3931">
      <c r="A3931" s="7">
        <f>IFERROR(__xludf.DUMMYFUNCTION("""COMPUTED_VALUE"""),42552.64583333333)</f>
        <v>42552.64583</v>
      </c>
      <c r="B3931" s="3">
        <f>IFERROR(__xludf.DUMMYFUNCTION("""COMPUTED_VALUE"""),8313.05)</f>
        <v>8313.05</v>
      </c>
      <c r="C3931" s="3">
        <f>IFERROR(__xludf.DUMMYFUNCTION("""COMPUTED_VALUE"""),8356.75)</f>
        <v>8356.75</v>
      </c>
      <c r="D3931" s="3">
        <f>IFERROR(__xludf.DUMMYFUNCTION("""COMPUTED_VALUE"""),8308.65)</f>
        <v>8308.65</v>
      </c>
      <c r="E3931" s="3">
        <f>IFERROR(__xludf.DUMMYFUNCTION("""COMPUTED_VALUE"""),8328.35)</f>
        <v>8328.35</v>
      </c>
      <c r="F3931" s="3">
        <f>IFERROR(__xludf.DUMMYFUNCTION("""COMPUTED_VALUE"""),0.0)</f>
        <v>0</v>
      </c>
    </row>
    <row r="3932">
      <c r="A3932" s="7">
        <f>IFERROR(__xludf.DUMMYFUNCTION("""COMPUTED_VALUE"""),42555.64583333333)</f>
        <v>42555.64583</v>
      </c>
      <c r="B3932" s="3">
        <f>IFERROR(__xludf.DUMMYFUNCTION("""COMPUTED_VALUE"""),8376.75)</f>
        <v>8376.75</v>
      </c>
      <c r="C3932" s="3">
        <f>IFERROR(__xludf.DUMMYFUNCTION("""COMPUTED_VALUE"""),8398.45)</f>
        <v>8398.45</v>
      </c>
      <c r="D3932" s="3">
        <f>IFERROR(__xludf.DUMMYFUNCTION("""COMPUTED_VALUE"""),8364.7)</f>
        <v>8364.7</v>
      </c>
      <c r="E3932" s="3">
        <f>IFERROR(__xludf.DUMMYFUNCTION("""COMPUTED_VALUE"""),8370.7)</f>
        <v>8370.7</v>
      </c>
      <c r="F3932" s="3">
        <f>IFERROR(__xludf.DUMMYFUNCTION("""COMPUTED_VALUE"""),0.0)</f>
        <v>0</v>
      </c>
    </row>
    <row r="3933">
      <c r="A3933" s="7">
        <f>IFERROR(__xludf.DUMMYFUNCTION("""COMPUTED_VALUE"""),42556.64583333333)</f>
        <v>42556.64583</v>
      </c>
      <c r="B3933" s="3">
        <f>IFERROR(__xludf.DUMMYFUNCTION("""COMPUTED_VALUE"""),8379.3)</f>
        <v>8379.3</v>
      </c>
      <c r="C3933" s="3">
        <f>IFERROR(__xludf.DUMMYFUNCTION("""COMPUTED_VALUE"""),8381.45)</f>
        <v>8381.45</v>
      </c>
      <c r="D3933" s="3">
        <f>IFERROR(__xludf.DUMMYFUNCTION("""COMPUTED_VALUE"""),8319.95)</f>
        <v>8319.95</v>
      </c>
      <c r="E3933" s="3">
        <f>IFERROR(__xludf.DUMMYFUNCTION("""COMPUTED_VALUE"""),8335.95)</f>
        <v>8335.95</v>
      </c>
      <c r="F3933" s="3">
        <f>IFERROR(__xludf.DUMMYFUNCTION("""COMPUTED_VALUE"""),0.0)</f>
        <v>0</v>
      </c>
    </row>
    <row r="3934">
      <c r="A3934" s="7">
        <f>IFERROR(__xludf.DUMMYFUNCTION("""COMPUTED_VALUE"""),42558.64583333333)</f>
        <v>42558.64583</v>
      </c>
      <c r="B3934" s="3">
        <f>IFERROR(__xludf.DUMMYFUNCTION("""COMPUTED_VALUE"""),8342.0)</f>
        <v>8342</v>
      </c>
      <c r="C3934" s="3">
        <f>IFERROR(__xludf.DUMMYFUNCTION("""COMPUTED_VALUE"""),8361.95)</f>
        <v>8361.95</v>
      </c>
      <c r="D3934" s="3">
        <f>IFERROR(__xludf.DUMMYFUNCTION("""COMPUTED_VALUE"""),8317.7)</f>
        <v>8317.7</v>
      </c>
      <c r="E3934" s="3">
        <f>IFERROR(__xludf.DUMMYFUNCTION("""COMPUTED_VALUE"""),8337.9)</f>
        <v>8337.9</v>
      </c>
      <c r="F3934" s="3">
        <f>IFERROR(__xludf.DUMMYFUNCTION("""COMPUTED_VALUE"""),0.0)</f>
        <v>0</v>
      </c>
    </row>
    <row r="3935">
      <c r="A3935" s="7">
        <f>IFERROR(__xludf.DUMMYFUNCTION("""COMPUTED_VALUE"""),42559.64583333333)</f>
        <v>42559.64583</v>
      </c>
      <c r="B3935" s="3">
        <f>IFERROR(__xludf.DUMMYFUNCTION("""COMPUTED_VALUE"""),8350.0)</f>
        <v>8350</v>
      </c>
      <c r="C3935" s="3">
        <f>IFERROR(__xludf.DUMMYFUNCTION("""COMPUTED_VALUE"""),8353.3)</f>
        <v>8353.3</v>
      </c>
      <c r="D3935" s="3">
        <f>IFERROR(__xludf.DUMMYFUNCTION("""COMPUTED_VALUE"""),8287.55)</f>
        <v>8287.55</v>
      </c>
      <c r="E3935" s="3">
        <f>IFERROR(__xludf.DUMMYFUNCTION("""COMPUTED_VALUE"""),8323.2)</f>
        <v>8323.2</v>
      </c>
      <c r="F3935" s="3">
        <f>IFERROR(__xludf.DUMMYFUNCTION("""COMPUTED_VALUE"""),0.0)</f>
        <v>0</v>
      </c>
    </row>
    <row r="3936">
      <c r="A3936" s="7">
        <f>IFERROR(__xludf.DUMMYFUNCTION("""COMPUTED_VALUE"""),42562.64583333333)</f>
        <v>42562.64583</v>
      </c>
      <c r="B3936" s="3">
        <f>IFERROR(__xludf.DUMMYFUNCTION("""COMPUTED_VALUE"""),8413.35)</f>
        <v>8413.35</v>
      </c>
      <c r="C3936" s="3">
        <f>IFERROR(__xludf.DUMMYFUNCTION("""COMPUTED_VALUE"""),8475.25)</f>
        <v>8475.25</v>
      </c>
      <c r="D3936" s="3">
        <f>IFERROR(__xludf.DUMMYFUNCTION("""COMPUTED_VALUE"""),8407.05)</f>
        <v>8407.05</v>
      </c>
      <c r="E3936" s="3">
        <f>IFERROR(__xludf.DUMMYFUNCTION("""COMPUTED_VALUE"""),8467.9)</f>
        <v>8467.9</v>
      </c>
      <c r="F3936" s="3">
        <f>IFERROR(__xludf.DUMMYFUNCTION("""COMPUTED_VALUE"""),0.0)</f>
        <v>0</v>
      </c>
    </row>
    <row r="3937">
      <c r="A3937" s="7">
        <f>IFERROR(__xludf.DUMMYFUNCTION("""COMPUTED_VALUE"""),42563.64583333333)</f>
        <v>42563.64583</v>
      </c>
      <c r="B3937" s="3">
        <f>IFERROR(__xludf.DUMMYFUNCTION("""COMPUTED_VALUE"""),8502.6)</f>
        <v>8502.6</v>
      </c>
      <c r="C3937" s="3">
        <f>IFERROR(__xludf.DUMMYFUNCTION("""COMPUTED_VALUE"""),8526.6)</f>
        <v>8526.6</v>
      </c>
      <c r="D3937" s="3">
        <f>IFERROR(__xludf.DUMMYFUNCTION("""COMPUTED_VALUE"""),8479.2)</f>
        <v>8479.2</v>
      </c>
      <c r="E3937" s="3">
        <f>IFERROR(__xludf.DUMMYFUNCTION("""COMPUTED_VALUE"""),8521.05)</f>
        <v>8521.05</v>
      </c>
      <c r="F3937" s="3">
        <f>IFERROR(__xludf.DUMMYFUNCTION("""COMPUTED_VALUE"""),0.0)</f>
        <v>0</v>
      </c>
    </row>
    <row r="3938">
      <c r="A3938" s="7">
        <f>IFERROR(__xludf.DUMMYFUNCTION("""COMPUTED_VALUE"""),42564.64583333333)</f>
        <v>42564.64583</v>
      </c>
      <c r="B3938" s="3">
        <f>IFERROR(__xludf.DUMMYFUNCTION("""COMPUTED_VALUE"""),8540.45)</f>
        <v>8540.45</v>
      </c>
      <c r="C3938" s="3">
        <f>IFERROR(__xludf.DUMMYFUNCTION("""COMPUTED_VALUE"""),8550.25)</f>
        <v>8550.25</v>
      </c>
      <c r="D3938" s="3">
        <f>IFERROR(__xludf.DUMMYFUNCTION("""COMPUTED_VALUE"""),8493.55)</f>
        <v>8493.55</v>
      </c>
      <c r="E3938" s="3">
        <f>IFERROR(__xludf.DUMMYFUNCTION("""COMPUTED_VALUE"""),8519.5)</f>
        <v>8519.5</v>
      </c>
      <c r="F3938" s="3">
        <f>IFERROR(__xludf.DUMMYFUNCTION("""COMPUTED_VALUE"""),0.0)</f>
        <v>0</v>
      </c>
    </row>
    <row r="3939">
      <c r="A3939" s="7">
        <f>IFERROR(__xludf.DUMMYFUNCTION("""COMPUTED_VALUE"""),42565.64583333333)</f>
        <v>42565.64583</v>
      </c>
      <c r="B3939" s="3">
        <f>IFERROR(__xludf.DUMMYFUNCTION("""COMPUTED_VALUE"""),8515.75)</f>
        <v>8515.75</v>
      </c>
      <c r="C3939" s="3">
        <f>IFERROR(__xludf.DUMMYFUNCTION("""COMPUTED_VALUE"""),8571.4)</f>
        <v>8571.4</v>
      </c>
      <c r="D3939" s="3">
        <f>IFERROR(__xludf.DUMMYFUNCTION("""COMPUTED_VALUE"""),8500.7)</f>
        <v>8500.7</v>
      </c>
      <c r="E3939" s="3">
        <f>IFERROR(__xludf.DUMMYFUNCTION("""COMPUTED_VALUE"""),8565.0)</f>
        <v>8565</v>
      </c>
      <c r="F3939" s="3">
        <f>IFERROR(__xludf.DUMMYFUNCTION("""COMPUTED_VALUE"""),0.0)</f>
        <v>0</v>
      </c>
    </row>
    <row r="3940">
      <c r="A3940" s="7">
        <f>IFERROR(__xludf.DUMMYFUNCTION("""COMPUTED_VALUE"""),42566.64583333333)</f>
        <v>42566.64583</v>
      </c>
      <c r="B3940" s="3">
        <f>IFERROR(__xludf.DUMMYFUNCTION("""COMPUTED_VALUE"""),8565.45)</f>
        <v>8565.45</v>
      </c>
      <c r="C3940" s="3">
        <f>IFERROR(__xludf.DUMMYFUNCTION("""COMPUTED_VALUE"""),8594.8)</f>
        <v>8594.8</v>
      </c>
      <c r="D3940" s="3">
        <f>IFERROR(__xludf.DUMMYFUNCTION("""COMPUTED_VALUE"""),8510.05)</f>
        <v>8510.05</v>
      </c>
      <c r="E3940" s="3">
        <f>IFERROR(__xludf.DUMMYFUNCTION("""COMPUTED_VALUE"""),8541.4)</f>
        <v>8541.4</v>
      </c>
      <c r="F3940" s="3">
        <f>IFERROR(__xludf.DUMMYFUNCTION("""COMPUTED_VALUE"""),0.0)</f>
        <v>0</v>
      </c>
    </row>
    <row r="3941">
      <c r="A3941" s="7">
        <f>IFERROR(__xludf.DUMMYFUNCTION("""COMPUTED_VALUE"""),42569.64583333333)</f>
        <v>42569.64583</v>
      </c>
      <c r="B3941" s="3">
        <f>IFERROR(__xludf.DUMMYFUNCTION("""COMPUTED_VALUE"""),8564.05)</f>
        <v>8564.05</v>
      </c>
      <c r="C3941" s="3">
        <f>IFERROR(__xludf.DUMMYFUNCTION("""COMPUTED_VALUE"""),8587.1)</f>
        <v>8587.1</v>
      </c>
      <c r="D3941" s="3">
        <f>IFERROR(__xludf.DUMMYFUNCTION("""COMPUTED_VALUE"""),8494.35)</f>
        <v>8494.35</v>
      </c>
      <c r="E3941" s="3">
        <f>IFERROR(__xludf.DUMMYFUNCTION("""COMPUTED_VALUE"""),8508.7)</f>
        <v>8508.7</v>
      </c>
      <c r="F3941" s="3">
        <f>IFERROR(__xludf.DUMMYFUNCTION("""COMPUTED_VALUE"""),0.0)</f>
        <v>0</v>
      </c>
    </row>
    <row r="3942">
      <c r="A3942" s="7">
        <f>IFERROR(__xludf.DUMMYFUNCTION("""COMPUTED_VALUE"""),42570.64583333333)</f>
        <v>42570.64583</v>
      </c>
      <c r="B3942" s="3">
        <f>IFERROR(__xludf.DUMMYFUNCTION("""COMPUTED_VALUE"""),8514.3)</f>
        <v>8514.3</v>
      </c>
      <c r="C3942" s="3">
        <f>IFERROR(__xludf.DUMMYFUNCTION("""COMPUTED_VALUE"""),8540.05)</f>
        <v>8540.05</v>
      </c>
      <c r="D3942" s="3">
        <f>IFERROR(__xludf.DUMMYFUNCTION("""COMPUTED_VALUE"""),8476.7)</f>
        <v>8476.7</v>
      </c>
      <c r="E3942" s="3">
        <f>IFERROR(__xludf.DUMMYFUNCTION("""COMPUTED_VALUE"""),8528.55)</f>
        <v>8528.55</v>
      </c>
      <c r="F3942" s="3">
        <f>IFERROR(__xludf.DUMMYFUNCTION("""COMPUTED_VALUE"""),0.0)</f>
        <v>0</v>
      </c>
    </row>
    <row r="3943">
      <c r="A3943" s="7">
        <f>IFERROR(__xludf.DUMMYFUNCTION("""COMPUTED_VALUE"""),42571.64583333333)</f>
        <v>42571.64583</v>
      </c>
      <c r="B3943" s="3">
        <f>IFERROR(__xludf.DUMMYFUNCTION("""COMPUTED_VALUE"""),8515.45)</f>
        <v>8515.45</v>
      </c>
      <c r="C3943" s="3">
        <f>IFERROR(__xludf.DUMMYFUNCTION("""COMPUTED_VALUE"""),8569.9)</f>
        <v>8569.9</v>
      </c>
      <c r="D3943" s="3">
        <f>IFERROR(__xludf.DUMMYFUNCTION("""COMPUTED_VALUE"""),8512.55)</f>
        <v>8512.55</v>
      </c>
      <c r="E3943" s="3">
        <f>IFERROR(__xludf.DUMMYFUNCTION("""COMPUTED_VALUE"""),8565.85)</f>
        <v>8565.85</v>
      </c>
      <c r="F3943" s="3">
        <f>IFERROR(__xludf.DUMMYFUNCTION("""COMPUTED_VALUE"""),0.0)</f>
        <v>0</v>
      </c>
    </row>
    <row r="3944">
      <c r="A3944" s="7">
        <f>IFERROR(__xludf.DUMMYFUNCTION("""COMPUTED_VALUE"""),42572.64583333333)</f>
        <v>42572.64583</v>
      </c>
      <c r="B3944" s="3">
        <f>IFERROR(__xludf.DUMMYFUNCTION("""COMPUTED_VALUE"""),8582.7)</f>
        <v>8582.7</v>
      </c>
      <c r="C3944" s="3">
        <f>IFERROR(__xludf.DUMMYFUNCTION("""COMPUTED_VALUE"""),8585.25)</f>
        <v>8585.25</v>
      </c>
      <c r="D3944" s="3">
        <f>IFERROR(__xludf.DUMMYFUNCTION("""COMPUTED_VALUE"""),8503.45)</f>
        <v>8503.45</v>
      </c>
      <c r="E3944" s="3">
        <f>IFERROR(__xludf.DUMMYFUNCTION("""COMPUTED_VALUE"""),8510.1)</f>
        <v>8510.1</v>
      </c>
      <c r="F3944" s="3">
        <f>IFERROR(__xludf.DUMMYFUNCTION("""COMPUTED_VALUE"""),0.0)</f>
        <v>0</v>
      </c>
    </row>
    <row r="3945">
      <c r="A3945" s="7">
        <f>IFERROR(__xludf.DUMMYFUNCTION("""COMPUTED_VALUE"""),42573.64583333333)</f>
        <v>42573.64583</v>
      </c>
      <c r="B3945" s="3">
        <f>IFERROR(__xludf.DUMMYFUNCTION("""COMPUTED_VALUE"""),8519.65)</f>
        <v>8519.65</v>
      </c>
      <c r="C3945" s="3">
        <f>IFERROR(__xludf.DUMMYFUNCTION("""COMPUTED_VALUE"""),8548.95)</f>
        <v>8548.95</v>
      </c>
      <c r="D3945" s="3">
        <f>IFERROR(__xludf.DUMMYFUNCTION("""COMPUTED_VALUE"""),8489.8)</f>
        <v>8489.8</v>
      </c>
      <c r="E3945" s="3">
        <f>IFERROR(__xludf.DUMMYFUNCTION("""COMPUTED_VALUE"""),8541.2)</f>
        <v>8541.2</v>
      </c>
      <c r="F3945" s="3">
        <f>IFERROR(__xludf.DUMMYFUNCTION("""COMPUTED_VALUE"""),0.0)</f>
        <v>0</v>
      </c>
    </row>
    <row r="3946">
      <c r="A3946" s="7">
        <f>IFERROR(__xludf.DUMMYFUNCTION("""COMPUTED_VALUE"""),42576.64583333333)</f>
        <v>42576.64583</v>
      </c>
      <c r="B3946" s="3">
        <f>IFERROR(__xludf.DUMMYFUNCTION("""COMPUTED_VALUE"""),8519.95)</f>
        <v>8519.95</v>
      </c>
      <c r="C3946" s="3">
        <f>IFERROR(__xludf.DUMMYFUNCTION("""COMPUTED_VALUE"""),8641.15)</f>
        <v>8641.15</v>
      </c>
      <c r="D3946" s="3">
        <f>IFERROR(__xludf.DUMMYFUNCTION("""COMPUTED_VALUE"""),8517.2)</f>
        <v>8517.2</v>
      </c>
      <c r="E3946" s="3">
        <f>IFERROR(__xludf.DUMMYFUNCTION("""COMPUTED_VALUE"""),8635.65)</f>
        <v>8635.65</v>
      </c>
      <c r="F3946" s="3">
        <f>IFERROR(__xludf.DUMMYFUNCTION("""COMPUTED_VALUE"""),0.0)</f>
        <v>0</v>
      </c>
    </row>
    <row r="3947">
      <c r="A3947" s="7">
        <f>IFERROR(__xludf.DUMMYFUNCTION("""COMPUTED_VALUE"""),42577.64583333333)</f>
        <v>42577.64583</v>
      </c>
      <c r="B3947" s="3">
        <f>IFERROR(__xludf.DUMMYFUNCTION("""COMPUTED_VALUE"""),8633.75)</f>
        <v>8633.75</v>
      </c>
      <c r="C3947" s="3">
        <f>IFERROR(__xludf.DUMMYFUNCTION("""COMPUTED_VALUE"""),8644.9)</f>
        <v>8644.9</v>
      </c>
      <c r="D3947" s="3">
        <f>IFERROR(__xludf.DUMMYFUNCTION("""COMPUTED_VALUE"""),8577.15)</f>
        <v>8577.15</v>
      </c>
      <c r="E3947" s="3">
        <f>IFERROR(__xludf.DUMMYFUNCTION("""COMPUTED_VALUE"""),8590.65)</f>
        <v>8590.65</v>
      </c>
      <c r="F3947" s="3">
        <f>IFERROR(__xludf.DUMMYFUNCTION("""COMPUTED_VALUE"""),0.0)</f>
        <v>0</v>
      </c>
    </row>
    <row r="3948">
      <c r="A3948" s="7">
        <f>IFERROR(__xludf.DUMMYFUNCTION("""COMPUTED_VALUE"""),42578.64583333333)</f>
        <v>42578.64583</v>
      </c>
      <c r="B3948" s="3">
        <f>IFERROR(__xludf.DUMMYFUNCTION("""COMPUTED_VALUE"""),8599.4)</f>
        <v>8599.4</v>
      </c>
      <c r="C3948" s="3">
        <f>IFERROR(__xludf.DUMMYFUNCTION("""COMPUTED_VALUE"""),8665.0)</f>
        <v>8665</v>
      </c>
      <c r="D3948" s="3">
        <f>IFERROR(__xludf.DUMMYFUNCTION("""COMPUTED_VALUE"""),8572.05)</f>
        <v>8572.05</v>
      </c>
      <c r="E3948" s="3">
        <f>IFERROR(__xludf.DUMMYFUNCTION("""COMPUTED_VALUE"""),8615.8)</f>
        <v>8615.8</v>
      </c>
      <c r="F3948" s="3">
        <f>IFERROR(__xludf.DUMMYFUNCTION("""COMPUTED_VALUE"""),0.0)</f>
        <v>0</v>
      </c>
    </row>
    <row r="3949">
      <c r="A3949" s="7">
        <f>IFERROR(__xludf.DUMMYFUNCTION("""COMPUTED_VALUE"""),42579.64583333333)</f>
        <v>42579.64583</v>
      </c>
      <c r="B3949" s="3">
        <f>IFERROR(__xludf.DUMMYFUNCTION("""COMPUTED_VALUE"""),8636.95)</f>
        <v>8636.95</v>
      </c>
      <c r="C3949" s="3">
        <f>IFERROR(__xludf.DUMMYFUNCTION("""COMPUTED_VALUE"""),8674.7)</f>
        <v>8674.7</v>
      </c>
      <c r="D3949" s="3">
        <f>IFERROR(__xludf.DUMMYFUNCTION("""COMPUTED_VALUE"""),8625.25)</f>
        <v>8625.25</v>
      </c>
      <c r="E3949" s="3">
        <f>IFERROR(__xludf.DUMMYFUNCTION("""COMPUTED_VALUE"""),8666.3)</f>
        <v>8666.3</v>
      </c>
      <c r="F3949" s="3">
        <f>IFERROR(__xludf.DUMMYFUNCTION("""COMPUTED_VALUE"""),0.0)</f>
        <v>0</v>
      </c>
    </row>
    <row r="3950">
      <c r="A3950" s="7">
        <f>IFERROR(__xludf.DUMMYFUNCTION("""COMPUTED_VALUE"""),42580.64583333333)</f>
        <v>42580.64583</v>
      </c>
      <c r="B3950" s="3">
        <f>IFERROR(__xludf.DUMMYFUNCTION("""COMPUTED_VALUE"""),8668.3)</f>
        <v>8668.3</v>
      </c>
      <c r="C3950" s="3">
        <f>IFERROR(__xludf.DUMMYFUNCTION("""COMPUTED_VALUE"""),8670.35)</f>
        <v>8670.35</v>
      </c>
      <c r="D3950" s="3">
        <f>IFERROR(__xludf.DUMMYFUNCTION("""COMPUTED_VALUE"""),8631.15)</f>
        <v>8631.15</v>
      </c>
      <c r="E3950" s="3">
        <f>IFERROR(__xludf.DUMMYFUNCTION("""COMPUTED_VALUE"""),8638.5)</f>
        <v>8638.5</v>
      </c>
      <c r="F3950" s="3">
        <f>IFERROR(__xludf.DUMMYFUNCTION("""COMPUTED_VALUE"""),0.0)</f>
        <v>0</v>
      </c>
    </row>
    <row r="3951">
      <c r="A3951" s="7">
        <f>IFERROR(__xludf.DUMMYFUNCTION("""COMPUTED_VALUE"""),42583.64583333333)</f>
        <v>42583.64583</v>
      </c>
      <c r="B3951" s="3">
        <f>IFERROR(__xludf.DUMMYFUNCTION("""COMPUTED_VALUE"""),8654.3)</f>
        <v>8654.3</v>
      </c>
      <c r="C3951" s="3">
        <f>IFERROR(__xludf.DUMMYFUNCTION("""COMPUTED_VALUE"""),8711.3)</f>
        <v>8711.3</v>
      </c>
      <c r="D3951" s="3">
        <f>IFERROR(__xludf.DUMMYFUNCTION("""COMPUTED_VALUE"""),8590.5)</f>
        <v>8590.5</v>
      </c>
      <c r="E3951" s="3">
        <f>IFERROR(__xludf.DUMMYFUNCTION("""COMPUTED_VALUE"""),8636.55)</f>
        <v>8636.55</v>
      </c>
      <c r="F3951" s="3">
        <f>IFERROR(__xludf.DUMMYFUNCTION("""COMPUTED_VALUE"""),0.0)</f>
        <v>0</v>
      </c>
    </row>
    <row r="3952">
      <c r="A3952" s="7">
        <f>IFERROR(__xludf.DUMMYFUNCTION("""COMPUTED_VALUE"""),42584.64583333333)</f>
        <v>42584.64583</v>
      </c>
      <c r="B3952" s="3">
        <f>IFERROR(__xludf.DUMMYFUNCTION("""COMPUTED_VALUE"""),8647.45)</f>
        <v>8647.45</v>
      </c>
      <c r="C3952" s="3">
        <f>IFERROR(__xludf.DUMMYFUNCTION("""COMPUTED_VALUE"""),8687.2)</f>
        <v>8687.2</v>
      </c>
      <c r="D3952" s="3">
        <f>IFERROR(__xludf.DUMMYFUNCTION("""COMPUTED_VALUE"""),8611.4)</f>
        <v>8611.4</v>
      </c>
      <c r="E3952" s="3">
        <f>IFERROR(__xludf.DUMMYFUNCTION("""COMPUTED_VALUE"""),8622.9)</f>
        <v>8622.9</v>
      </c>
      <c r="F3952" s="3">
        <f>IFERROR(__xludf.DUMMYFUNCTION("""COMPUTED_VALUE"""),0.0)</f>
        <v>0</v>
      </c>
    </row>
    <row r="3953">
      <c r="A3953" s="7">
        <f>IFERROR(__xludf.DUMMYFUNCTION("""COMPUTED_VALUE"""),42585.64583333333)</f>
        <v>42585.64583</v>
      </c>
      <c r="B3953" s="3">
        <f>IFERROR(__xludf.DUMMYFUNCTION("""COMPUTED_VALUE"""),8635.2)</f>
        <v>8635.2</v>
      </c>
      <c r="C3953" s="3">
        <f>IFERROR(__xludf.DUMMYFUNCTION("""COMPUTED_VALUE"""),8635.45)</f>
        <v>8635.45</v>
      </c>
      <c r="D3953" s="3">
        <f>IFERROR(__xludf.DUMMYFUNCTION("""COMPUTED_VALUE"""),8529.6)</f>
        <v>8529.6</v>
      </c>
      <c r="E3953" s="3">
        <f>IFERROR(__xludf.DUMMYFUNCTION("""COMPUTED_VALUE"""),8544.85)</f>
        <v>8544.85</v>
      </c>
      <c r="F3953" s="3">
        <f>IFERROR(__xludf.DUMMYFUNCTION("""COMPUTED_VALUE"""),0.0)</f>
        <v>0</v>
      </c>
    </row>
    <row r="3954">
      <c r="A3954" s="7">
        <f>IFERROR(__xludf.DUMMYFUNCTION("""COMPUTED_VALUE"""),42586.64583333333)</f>
        <v>42586.64583</v>
      </c>
      <c r="B3954" s="3">
        <f>IFERROR(__xludf.DUMMYFUNCTION("""COMPUTED_VALUE"""),8599.95)</f>
        <v>8599.95</v>
      </c>
      <c r="C3954" s="3">
        <f>IFERROR(__xludf.DUMMYFUNCTION("""COMPUTED_VALUE"""),8601.4)</f>
        <v>8601.4</v>
      </c>
      <c r="D3954" s="3">
        <f>IFERROR(__xludf.DUMMYFUNCTION("""COMPUTED_VALUE"""),8518.15)</f>
        <v>8518.15</v>
      </c>
      <c r="E3954" s="3">
        <f>IFERROR(__xludf.DUMMYFUNCTION("""COMPUTED_VALUE"""),8551.1)</f>
        <v>8551.1</v>
      </c>
      <c r="F3954" s="3">
        <f>IFERROR(__xludf.DUMMYFUNCTION("""COMPUTED_VALUE"""),0.0)</f>
        <v>0</v>
      </c>
    </row>
    <row r="3955">
      <c r="A3955" s="7">
        <f>IFERROR(__xludf.DUMMYFUNCTION("""COMPUTED_VALUE"""),42587.64583333333)</f>
        <v>42587.64583</v>
      </c>
      <c r="B3955" s="3">
        <f>IFERROR(__xludf.DUMMYFUNCTION("""COMPUTED_VALUE"""),8600.2)</f>
        <v>8600.2</v>
      </c>
      <c r="C3955" s="3">
        <f>IFERROR(__xludf.DUMMYFUNCTION("""COMPUTED_VALUE"""),8689.4)</f>
        <v>8689.4</v>
      </c>
      <c r="D3955" s="3">
        <f>IFERROR(__xludf.DUMMYFUNCTION("""COMPUTED_VALUE"""),8590.15)</f>
        <v>8590.15</v>
      </c>
      <c r="E3955" s="3">
        <f>IFERROR(__xludf.DUMMYFUNCTION("""COMPUTED_VALUE"""),8683.15)</f>
        <v>8683.15</v>
      </c>
      <c r="F3955" s="3">
        <f>IFERROR(__xludf.DUMMYFUNCTION("""COMPUTED_VALUE"""),0.0)</f>
        <v>0</v>
      </c>
    </row>
    <row r="3956">
      <c r="A3956" s="7">
        <f>IFERROR(__xludf.DUMMYFUNCTION("""COMPUTED_VALUE"""),42590.64583333333)</f>
        <v>42590.64583</v>
      </c>
      <c r="B3956" s="3">
        <f>IFERROR(__xludf.DUMMYFUNCTION("""COMPUTED_VALUE"""),8712.85)</f>
        <v>8712.85</v>
      </c>
      <c r="C3956" s="3">
        <f>IFERROR(__xludf.DUMMYFUNCTION("""COMPUTED_VALUE"""),8723.5)</f>
        <v>8723.5</v>
      </c>
      <c r="D3956" s="3">
        <f>IFERROR(__xludf.DUMMYFUNCTION("""COMPUTED_VALUE"""),8697.6)</f>
        <v>8697.6</v>
      </c>
      <c r="E3956" s="3">
        <f>IFERROR(__xludf.DUMMYFUNCTION("""COMPUTED_VALUE"""),8711.35)</f>
        <v>8711.35</v>
      </c>
      <c r="F3956" s="3">
        <f>IFERROR(__xludf.DUMMYFUNCTION("""COMPUTED_VALUE"""),0.0)</f>
        <v>0</v>
      </c>
    </row>
    <row r="3957">
      <c r="A3957" s="7">
        <f>IFERROR(__xludf.DUMMYFUNCTION("""COMPUTED_VALUE"""),42591.64583333333)</f>
        <v>42591.64583</v>
      </c>
      <c r="B3957" s="3">
        <f>IFERROR(__xludf.DUMMYFUNCTION("""COMPUTED_VALUE"""),8727.8)</f>
        <v>8727.8</v>
      </c>
      <c r="C3957" s="3">
        <f>IFERROR(__xludf.DUMMYFUNCTION("""COMPUTED_VALUE"""),8728.35)</f>
        <v>8728.35</v>
      </c>
      <c r="D3957" s="3">
        <f>IFERROR(__xludf.DUMMYFUNCTION("""COMPUTED_VALUE"""),8638.2)</f>
        <v>8638.2</v>
      </c>
      <c r="E3957" s="3">
        <f>IFERROR(__xludf.DUMMYFUNCTION("""COMPUTED_VALUE"""),8678.25)</f>
        <v>8678.25</v>
      </c>
      <c r="F3957" s="3">
        <f>IFERROR(__xludf.DUMMYFUNCTION("""COMPUTED_VALUE"""),0.0)</f>
        <v>0</v>
      </c>
    </row>
    <row r="3958">
      <c r="A3958" s="7">
        <f>IFERROR(__xludf.DUMMYFUNCTION("""COMPUTED_VALUE"""),42592.64583333333)</f>
        <v>42592.64583</v>
      </c>
      <c r="B3958" s="3">
        <f>IFERROR(__xludf.DUMMYFUNCTION("""COMPUTED_VALUE"""),8686.7)</f>
        <v>8686.7</v>
      </c>
      <c r="C3958" s="3">
        <f>IFERROR(__xludf.DUMMYFUNCTION("""COMPUTED_VALUE"""),8690.1)</f>
        <v>8690.1</v>
      </c>
      <c r="D3958" s="3">
        <f>IFERROR(__xludf.DUMMYFUNCTION("""COMPUTED_VALUE"""),8564.6)</f>
        <v>8564.6</v>
      </c>
      <c r="E3958" s="3">
        <f>IFERROR(__xludf.DUMMYFUNCTION("""COMPUTED_VALUE"""),8575.3)</f>
        <v>8575.3</v>
      </c>
      <c r="F3958" s="3">
        <f>IFERROR(__xludf.DUMMYFUNCTION("""COMPUTED_VALUE"""),0.0)</f>
        <v>0</v>
      </c>
    </row>
    <row r="3959">
      <c r="A3959" s="7">
        <f>IFERROR(__xludf.DUMMYFUNCTION("""COMPUTED_VALUE"""),42593.64583333333)</f>
        <v>42593.64583</v>
      </c>
      <c r="B3959" s="3">
        <f>IFERROR(__xludf.DUMMYFUNCTION("""COMPUTED_VALUE"""),8572.8)</f>
        <v>8572.8</v>
      </c>
      <c r="C3959" s="3">
        <f>IFERROR(__xludf.DUMMYFUNCTION("""COMPUTED_VALUE"""),8601.15)</f>
        <v>8601.15</v>
      </c>
      <c r="D3959" s="3">
        <f>IFERROR(__xludf.DUMMYFUNCTION("""COMPUTED_VALUE"""),8540.05)</f>
        <v>8540.05</v>
      </c>
      <c r="E3959" s="3">
        <f>IFERROR(__xludf.DUMMYFUNCTION("""COMPUTED_VALUE"""),8592.15)</f>
        <v>8592.15</v>
      </c>
      <c r="F3959" s="3">
        <f>IFERROR(__xludf.DUMMYFUNCTION("""COMPUTED_VALUE"""),0.0)</f>
        <v>0</v>
      </c>
    </row>
    <row r="3960">
      <c r="A3960" s="7">
        <f>IFERROR(__xludf.DUMMYFUNCTION("""COMPUTED_VALUE"""),42594.64583333333)</f>
        <v>42594.64583</v>
      </c>
      <c r="B3960" s="3">
        <f>IFERROR(__xludf.DUMMYFUNCTION("""COMPUTED_VALUE"""),8605.45)</f>
        <v>8605.45</v>
      </c>
      <c r="C3960" s="3">
        <f>IFERROR(__xludf.DUMMYFUNCTION("""COMPUTED_VALUE"""),8684.3)</f>
        <v>8684.3</v>
      </c>
      <c r="D3960" s="3">
        <f>IFERROR(__xludf.DUMMYFUNCTION("""COMPUTED_VALUE"""),8604.45)</f>
        <v>8604.45</v>
      </c>
      <c r="E3960" s="3">
        <f>IFERROR(__xludf.DUMMYFUNCTION("""COMPUTED_VALUE"""),8672.15)</f>
        <v>8672.15</v>
      </c>
      <c r="F3960" s="3">
        <f>IFERROR(__xludf.DUMMYFUNCTION("""COMPUTED_VALUE"""),0.0)</f>
        <v>0</v>
      </c>
    </row>
    <row r="3961">
      <c r="A3961" s="7">
        <f>IFERROR(__xludf.DUMMYFUNCTION("""COMPUTED_VALUE"""),42598.64583333333)</f>
        <v>42598.64583</v>
      </c>
      <c r="B3961" s="3">
        <f>IFERROR(__xludf.DUMMYFUNCTION("""COMPUTED_VALUE"""),8670.25)</f>
        <v>8670.25</v>
      </c>
      <c r="C3961" s="3">
        <f>IFERROR(__xludf.DUMMYFUNCTION("""COMPUTED_VALUE"""),8682.35)</f>
        <v>8682.35</v>
      </c>
      <c r="D3961" s="3">
        <f>IFERROR(__xludf.DUMMYFUNCTION("""COMPUTED_VALUE"""),8600.45)</f>
        <v>8600.45</v>
      </c>
      <c r="E3961" s="3">
        <f>IFERROR(__xludf.DUMMYFUNCTION("""COMPUTED_VALUE"""),8642.55)</f>
        <v>8642.55</v>
      </c>
      <c r="F3961" s="3">
        <f>IFERROR(__xludf.DUMMYFUNCTION("""COMPUTED_VALUE"""),0.0)</f>
        <v>0</v>
      </c>
    </row>
    <row r="3962">
      <c r="A3962" s="7">
        <f>IFERROR(__xludf.DUMMYFUNCTION("""COMPUTED_VALUE"""),42599.64583333333)</f>
        <v>42599.64583</v>
      </c>
      <c r="B3962" s="3">
        <f>IFERROR(__xludf.DUMMYFUNCTION("""COMPUTED_VALUE"""),8639.8)</f>
        <v>8639.8</v>
      </c>
      <c r="C3962" s="3">
        <f>IFERROR(__xludf.DUMMYFUNCTION("""COMPUTED_VALUE"""),8667.1)</f>
        <v>8667.1</v>
      </c>
      <c r="D3962" s="3">
        <f>IFERROR(__xludf.DUMMYFUNCTION("""COMPUTED_VALUE"""),8603.6)</f>
        <v>8603.6</v>
      </c>
      <c r="E3962" s="3">
        <f>IFERROR(__xludf.DUMMYFUNCTION("""COMPUTED_VALUE"""),8624.05)</f>
        <v>8624.05</v>
      </c>
      <c r="F3962" s="3">
        <f>IFERROR(__xludf.DUMMYFUNCTION("""COMPUTED_VALUE"""),0.0)</f>
        <v>0</v>
      </c>
    </row>
    <row r="3963">
      <c r="A3963" s="7">
        <f>IFERROR(__xludf.DUMMYFUNCTION("""COMPUTED_VALUE"""),42600.64583333333)</f>
        <v>42600.64583</v>
      </c>
      <c r="B3963" s="3">
        <f>IFERROR(__xludf.DUMMYFUNCTION("""COMPUTED_VALUE"""),8648.85)</f>
        <v>8648.85</v>
      </c>
      <c r="C3963" s="3">
        <f>IFERROR(__xludf.DUMMYFUNCTION("""COMPUTED_VALUE"""),8690.7)</f>
        <v>8690.7</v>
      </c>
      <c r="D3963" s="3">
        <f>IFERROR(__xludf.DUMMYFUNCTION("""COMPUTED_VALUE"""),8645.05)</f>
        <v>8645.05</v>
      </c>
      <c r="E3963" s="3">
        <f>IFERROR(__xludf.DUMMYFUNCTION("""COMPUTED_VALUE"""),8673.25)</f>
        <v>8673.25</v>
      </c>
      <c r="F3963" s="3">
        <f>IFERROR(__xludf.DUMMYFUNCTION("""COMPUTED_VALUE"""),0.0)</f>
        <v>0</v>
      </c>
    </row>
    <row r="3964">
      <c r="A3964" s="7">
        <f>IFERROR(__xludf.DUMMYFUNCTION("""COMPUTED_VALUE"""),42601.64583333333)</f>
        <v>42601.64583</v>
      </c>
      <c r="B3964" s="3">
        <f>IFERROR(__xludf.DUMMYFUNCTION("""COMPUTED_VALUE"""),8694.3)</f>
        <v>8694.3</v>
      </c>
      <c r="C3964" s="3">
        <f>IFERROR(__xludf.DUMMYFUNCTION("""COMPUTED_VALUE"""),8696.6)</f>
        <v>8696.6</v>
      </c>
      <c r="D3964" s="3">
        <f>IFERROR(__xludf.DUMMYFUNCTION("""COMPUTED_VALUE"""),8647.1)</f>
        <v>8647.1</v>
      </c>
      <c r="E3964" s="3">
        <f>IFERROR(__xludf.DUMMYFUNCTION("""COMPUTED_VALUE"""),8666.9)</f>
        <v>8666.9</v>
      </c>
      <c r="F3964" s="3">
        <f>IFERROR(__xludf.DUMMYFUNCTION("""COMPUTED_VALUE"""),0.0)</f>
        <v>0</v>
      </c>
    </row>
    <row r="3965">
      <c r="A3965" s="7">
        <f>IFERROR(__xludf.DUMMYFUNCTION("""COMPUTED_VALUE"""),42604.64583333333)</f>
        <v>42604.64583</v>
      </c>
      <c r="B3965" s="3">
        <f>IFERROR(__xludf.DUMMYFUNCTION("""COMPUTED_VALUE"""),8667.0)</f>
        <v>8667</v>
      </c>
      <c r="C3965" s="3">
        <f>IFERROR(__xludf.DUMMYFUNCTION("""COMPUTED_VALUE"""),8684.85)</f>
        <v>8684.85</v>
      </c>
      <c r="D3965" s="3">
        <f>IFERROR(__xludf.DUMMYFUNCTION("""COMPUTED_VALUE"""),8614.0)</f>
        <v>8614</v>
      </c>
      <c r="E3965" s="3">
        <f>IFERROR(__xludf.DUMMYFUNCTION("""COMPUTED_VALUE"""),8629.15)</f>
        <v>8629.15</v>
      </c>
      <c r="F3965" s="3">
        <f>IFERROR(__xludf.DUMMYFUNCTION("""COMPUTED_VALUE"""),0.0)</f>
        <v>0</v>
      </c>
    </row>
    <row r="3966">
      <c r="A3966" s="7">
        <f>IFERROR(__xludf.DUMMYFUNCTION("""COMPUTED_VALUE"""),42605.64583333333)</f>
        <v>42605.64583</v>
      </c>
      <c r="B3966" s="3">
        <f>IFERROR(__xludf.DUMMYFUNCTION("""COMPUTED_VALUE"""),8628.35)</f>
        <v>8628.35</v>
      </c>
      <c r="C3966" s="3">
        <f>IFERROR(__xludf.DUMMYFUNCTION("""COMPUTED_VALUE"""),8642.15)</f>
        <v>8642.15</v>
      </c>
      <c r="D3966" s="3">
        <f>IFERROR(__xludf.DUMMYFUNCTION("""COMPUTED_VALUE"""),8580.0)</f>
        <v>8580</v>
      </c>
      <c r="E3966" s="3">
        <f>IFERROR(__xludf.DUMMYFUNCTION("""COMPUTED_VALUE"""),8632.6)</f>
        <v>8632.6</v>
      </c>
      <c r="F3966" s="3">
        <f>IFERROR(__xludf.DUMMYFUNCTION("""COMPUTED_VALUE"""),0.0)</f>
        <v>0</v>
      </c>
    </row>
    <row r="3967">
      <c r="A3967" s="7">
        <f>IFERROR(__xludf.DUMMYFUNCTION("""COMPUTED_VALUE"""),42606.64583333333)</f>
        <v>42606.64583</v>
      </c>
      <c r="B3967" s="3">
        <f>IFERROR(__xludf.DUMMYFUNCTION("""COMPUTED_VALUE"""),8648.5)</f>
        <v>8648.5</v>
      </c>
      <c r="C3967" s="3">
        <f>IFERROR(__xludf.DUMMYFUNCTION("""COMPUTED_VALUE"""),8661.05)</f>
        <v>8661.05</v>
      </c>
      <c r="D3967" s="3">
        <f>IFERROR(__xludf.DUMMYFUNCTION("""COMPUTED_VALUE"""),8620.9)</f>
        <v>8620.9</v>
      </c>
      <c r="E3967" s="3">
        <f>IFERROR(__xludf.DUMMYFUNCTION("""COMPUTED_VALUE"""),8650.3)</f>
        <v>8650.3</v>
      </c>
      <c r="F3967" s="3">
        <f>IFERROR(__xludf.DUMMYFUNCTION("""COMPUTED_VALUE"""),0.0)</f>
        <v>0</v>
      </c>
    </row>
    <row r="3968">
      <c r="A3968" s="7">
        <f>IFERROR(__xludf.DUMMYFUNCTION("""COMPUTED_VALUE"""),42607.64583333333)</f>
        <v>42607.64583</v>
      </c>
      <c r="B3968" s="3">
        <f>IFERROR(__xludf.DUMMYFUNCTION("""COMPUTED_VALUE"""),8668.85)</f>
        <v>8668.85</v>
      </c>
      <c r="C3968" s="3">
        <f>IFERROR(__xludf.DUMMYFUNCTION("""COMPUTED_VALUE"""),8683.05)</f>
        <v>8683.05</v>
      </c>
      <c r="D3968" s="3">
        <f>IFERROR(__xludf.DUMMYFUNCTION("""COMPUTED_VALUE"""),8583.65)</f>
        <v>8583.65</v>
      </c>
      <c r="E3968" s="3">
        <f>IFERROR(__xludf.DUMMYFUNCTION("""COMPUTED_VALUE"""),8592.2)</f>
        <v>8592.2</v>
      </c>
      <c r="F3968" s="3">
        <f>IFERROR(__xludf.DUMMYFUNCTION("""COMPUTED_VALUE"""),0.0)</f>
        <v>0</v>
      </c>
    </row>
    <row r="3969">
      <c r="A3969" s="7">
        <f>IFERROR(__xludf.DUMMYFUNCTION("""COMPUTED_VALUE"""),42608.64583333333)</f>
        <v>42608.64583</v>
      </c>
      <c r="B3969" s="3">
        <f>IFERROR(__xludf.DUMMYFUNCTION("""COMPUTED_VALUE"""),8614.35)</f>
        <v>8614.35</v>
      </c>
      <c r="C3969" s="3">
        <f>IFERROR(__xludf.DUMMYFUNCTION("""COMPUTED_VALUE"""),8622.95)</f>
        <v>8622.95</v>
      </c>
      <c r="D3969" s="3">
        <f>IFERROR(__xludf.DUMMYFUNCTION("""COMPUTED_VALUE"""),8547.55)</f>
        <v>8547.55</v>
      </c>
      <c r="E3969" s="3">
        <f>IFERROR(__xludf.DUMMYFUNCTION("""COMPUTED_VALUE"""),8572.55)</f>
        <v>8572.55</v>
      </c>
      <c r="F3969" s="3">
        <f>IFERROR(__xludf.DUMMYFUNCTION("""COMPUTED_VALUE"""),0.0)</f>
        <v>0</v>
      </c>
    </row>
    <row r="3970">
      <c r="A3970" s="7">
        <f>IFERROR(__xludf.DUMMYFUNCTION("""COMPUTED_VALUE"""),42611.64583333333)</f>
        <v>42611.64583</v>
      </c>
      <c r="B3970" s="3">
        <f>IFERROR(__xludf.DUMMYFUNCTION("""COMPUTED_VALUE"""),8583.75)</f>
        <v>8583.75</v>
      </c>
      <c r="C3970" s="3">
        <f>IFERROR(__xludf.DUMMYFUNCTION("""COMPUTED_VALUE"""),8622.0)</f>
        <v>8622</v>
      </c>
      <c r="D3970" s="3">
        <f>IFERROR(__xludf.DUMMYFUNCTION("""COMPUTED_VALUE"""),8543.75)</f>
        <v>8543.75</v>
      </c>
      <c r="E3970" s="3">
        <f>IFERROR(__xludf.DUMMYFUNCTION("""COMPUTED_VALUE"""),8607.45)</f>
        <v>8607.45</v>
      </c>
      <c r="F3970" s="3">
        <f>IFERROR(__xludf.DUMMYFUNCTION("""COMPUTED_VALUE"""),0.0)</f>
        <v>0</v>
      </c>
    </row>
    <row r="3971">
      <c r="A3971" s="7">
        <f>IFERROR(__xludf.DUMMYFUNCTION("""COMPUTED_VALUE"""),42612.64583333333)</f>
        <v>42612.64583</v>
      </c>
      <c r="B3971" s="3">
        <f>IFERROR(__xludf.DUMMYFUNCTION("""COMPUTED_VALUE"""),8646.75)</f>
        <v>8646.75</v>
      </c>
      <c r="C3971" s="3">
        <f>IFERROR(__xludf.DUMMYFUNCTION("""COMPUTED_VALUE"""),8750.6)</f>
        <v>8750.6</v>
      </c>
      <c r="D3971" s="3">
        <f>IFERROR(__xludf.DUMMYFUNCTION("""COMPUTED_VALUE"""),8642.25)</f>
        <v>8642.25</v>
      </c>
      <c r="E3971" s="3">
        <f>IFERROR(__xludf.DUMMYFUNCTION("""COMPUTED_VALUE"""),8744.35)</f>
        <v>8744.35</v>
      </c>
      <c r="F3971" s="3">
        <f>IFERROR(__xludf.DUMMYFUNCTION("""COMPUTED_VALUE"""),0.0)</f>
        <v>0</v>
      </c>
    </row>
    <row r="3972">
      <c r="A3972" s="7">
        <f>IFERROR(__xludf.DUMMYFUNCTION("""COMPUTED_VALUE"""),42613.64583333333)</f>
        <v>42613.64583</v>
      </c>
      <c r="B3972" s="3">
        <f>IFERROR(__xludf.DUMMYFUNCTION("""COMPUTED_VALUE"""),8754.05)</f>
        <v>8754.05</v>
      </c>
      <c r="C3972" s="3">
        <f>IFERROR(__xludf.DUMMYFUNCTION("""COMPUTED_VALUE"""),8819.2)</f>
        <v>8819.2</v>
      </c>
      <c r="D3972" s="3">
        <f>IFERROR(__xludf.DUMMYFUNCTION("""COMPUTED_VALUE"""),8754.05)</f>
        <v>8754.05</v>
      </c>
      <c r="E3972" s="3">
        <f>IFERROR(__xludf.DUMMYFUNCTION("""COMPUTED_VALUE"""),8786.2)</f>
        <v>8786.2</v>
      </c>
      <c r="F3972" s="3">
        <f>IFERROR(__xludf.DUMMYFUNCTION("""COMPUTED_VALUE"""),0.0)</f>
        <v>0</v>
      </c>
    </row>
    <row r="3973">
      <c r="A3973" s="7">
        <f>IFERROR(__xludf.DUMMYFUNCTION("""COMPUTED_VALUE"""),42614.64583333333)</f>
        <v>42614.64583</v>
      </c>
      <c r="B3973" s="3">
        <f>IFERROR(__xludf.DUMMYFUNCTION("""COMPUTED_VALUE"""),8793.6)</f>
        <v>8793.6</v>
      </c>
      <c r="C3973" s="3">
        <f>IFERROR(__xludf.DUMMYFUNCTION("""COMPUTED_VALUE"""),8813.25)</f>
        <v>8813.25</v>
      </c>
      <c r="D3973" s="3">
        <f>IFERROR(__xludf.DUMMYFUNCTION("""COMPUTED_VALUE"""),8759.95)</f>
        <v>8759.95</v>
      </c>
      <c r="E3973" s="3">
        <f>IFERROR(__xludf.DUMMYFUNCTION("""COMPUTED_VALUE"""),8774.65)</f>
        <v>8774.65</v>
      </c>
      <c r="F3973" s="3">
        <f>IFERROR(__xludf.DUMMYFUNCTION("""COMPUTED_VALUE"""),0.0)</f>
        <v>0</v>
      </c>
    </row>
    <row r="3974">
      <c r="A3974" s="7">
        <f>IFERROR(__xludf.DUMMYFUNCTION("""COMPUTED_VALUE"""),42615.64583333333)</f>
        <v>42615.64583</v>
      </c>
      <c r="B3974" s="3">
        <f>IFERROR(__xludf.DUMMYFUNCTION("""COMPUTED_VALUE"""),8796.35)</f>
        <v>8796.35</v>
      </c>
      <c r="C3974" s="3">
        <f>IFERROR(__xludf.DUMMYFUNCTION("""COMPUTED_VALUE"""),8824.1)</f>
        <v>8824.1</v>
      </c>
      <c r="D3974" s="3">
        <f>IFERROR(__xludf.DUMMYFUNCTION("""COMPUTED_VALUE"""),8768.2)</f>
        <v>8768.2</v>
      </c>
      <c r="E3974" s="3">
        <f>IFERROR(__xludf.DUMMYFUNCTION("""COMPUTED_VALUE"""),8809.65)</f>
        <v>8809.65</v>
      </c>
      <c r="F3974" s="3">
        <f>IFERROR(__xludf.DUMMYFUNCTION("""COMPUTED_VALUE"""),0.0)</f>
        <v>0</v>
      </c>
    </row>
    <row r="3975">
      <c r="A3975" s="7">
        <f>IFERROR(__xludf.DUMMYFUNCTION("""COMPUTED_VALUE"""),42619.64583333333)</f>
        <v>42619.64583</v>
      </c>
      <c r="B3975" s="3">
        <f>IFERROR(__xludf.DUMMYFUNCTION("""COMPUTED_VALUE"""),8852.7)</f>
        <v>8852.7</v>
      </c>
      <c r="C3975" s="3">
        <f>IFERROR(__xludf.DUMMYFUNCTION("""COMPUTED_VALUE"""),8950.85)</f>
        <v>8950.85</v>
      </c>
      <c r="D3975" s="3">
        <f>IFERROR(__xludf.DUMMYFUNCTION("""COMPUTED_VALUE"""),8848.45)</f>
        <v>8848.45</v>
      </c>
      <c r="E3975" s="3">
        <f>IFERROR(__xludf.DUMMYFUNCTION("""COMPUTED_VALUE"""),8943.0)</f>
        <v>8943</v>
      </c>
      <c r="F3975" s="3">
        <f>IFERROR(__xludf.DUMMYFUNCTION("""COMPUTED_VALUE"""),0.0)</f>
        <v>0</v>
      </c>
    </row>
    <row r="3976">
      <c r="A3976" s="7">
        <f>IFERROR(__xludf.DUMMYFUNCTION("""COMPUTED_VALUE"""),42620.64583333333)</f>
        <v>42620.64583</v>
      </c>
      <c r="B3976" s="3">
        <f>IFERROR(__xludf.DUMMYFUNCTION("""COMPUTED_VALUE"""),8968.7)</f>
        <v>8968.7</v>
      </c>
      <c r="C3976" s="3">
        <f>IFERROR(__xludf.DUMMYFUNCTION("""COMPUTED_VALUE"""),8968.7)</f>
        <v>8968.7</v>
      </c>
      <c r="D3976" s="3">
        <f>IFERROR(__xludf.DUMMYFUNCTION("""COMPUTED_VALUE"""),8913.35)</f>
        <v>8913.35</v>
      </c>
      <c r="E3976" s="3">
        <f>IFERROR(__xludf.DUMMYFUNCTION("""COMPUTED_VALUE"""),8917.95)</f>
        <v>8917.95</v>
      </c>
      <c r="F3976" s="3">
        <f>IFERROR(__xludf.DUMMYFUNCTION("""COMPUTED_VALUE"""),0.0)</f>
        <v>0</v>
      </c>
    </row>
    <row r="3977">
      <c r="A3977" s="7">
        <f>IFERROR(__xludf.DUMMYFUNCTION("""COMPUTED_VALUE"""),42621.64583333333)</f>
        <v>42621.64583</v>
      </c>
      <c r="B3977" s="3">
        <f>IFERROR(__xludf.DUMMYFUNCTION("""COMPUTED_VALUE"""),8915.5)</f>
        <v>8915.5</v>
      </c>
      <c r="C3977" s="3">
        <f>IFERROR(__xludf.DUMMYFUNCTION("""COMPUTED_VALUE"""),8960.35)</f>
        <v>8960.35</v>
      </c>
      <c r="D3977" s="3">
        <f>IFERROR(__xludf.DUMMYFUNCTION("""COMPUTED_VALUE"""),8896.0)</f>
        <v>8896</v>
      </c>
      <c r="E3977" s="3">
        <f>IFERROR(__xludf.DUMMYFUNCTION("""COMPUTED_VALUE"""),8952.5)</f>
        <v>8952.5</v>
      </c>
      <c r="F3977" s="3">
        <f>IFERROR(__xludf.DUMMYFUNCTION("""COMPUTED_VALUE"""),0.0)</f>
        <v>0</v>
      </c>
    </row>
    <row r="3978">
      <c r="A3978" s="7">
        <f>IFERROR(__xludf.DUMMYFUNCTION("""COMPUTED_VALUE"""),42622.64583333333)</f>
        <v>42622.64583</v>
      </c>
      <c r="B3978" s="3">
        <f>IFERROR(__xludf.DUMMYFUNCTION("""COMPUTED_VALUE"""),8934.3)</f>
        <v>8934.3</v>
      </c>
      <c r="C3978" s="3">
        <f>IFERROR(__xludf.DUMMYFUNCTION("""COMPUTED_VALUE"""),8939.15)</f>
        <v>8939.15</v>
      </c>
      <c r="D3978" s="3">
        <f>IFERROR(__xludf.DUMMYFUNCTION("""COMPUTED_VALUE"""),8858.7)</f>
        <v>8858.7</v>
      </c>
      <c r="E3978" s="3">
        <f>IFERROR(__xludf.DUMMYFUNCTION("""COMPUTED_VALUE"""),8866.7)</f>
        <v>8866.7</v>
      </c>
      <c r="F3978" s="3">
        <f>IFERROR(__xludf.DUMMYFUNCTION("""COMPUTED_VALUE"""),0.0)</f>
        <v>0</v>
      </c>
    </row>
    <row r="3979">
      <c r="A3979" s="7">
        <f>IFERROR(__xludf.DUMMYFUNCTION("""COMPUTED_VALUE"""),42625.64583333333)</f>
        <v>42625.64583</v>
      </c>
      <c r="B3979" s="3">
        <f>IFERROR(__xludf.DUMMYFUNCTION("""COMPUTED_VALUE"""),8732.95)</f>
        <v>8732.95</v>
      </c>
      <c r="C3979" s="3">
        <f>IFERROR(__xludf.DUMMYFUNCTION("""COMPUTED_VALUE"""),8746.95)</f>
        <v>8746.95</v>
      </c>
      <c r="D3979" s="3">
        <f>IFERROR(__xludf.DUMMYFUNCTION("""COMPUTED_VALUE"""),8699.4)</f>
        <v>8699.4</v>
      </c>
      <c r="E3979" s="3">
        <f>IFERROR(__xludf.DUMMYFUNCTION("""COMPUTED_VALUE"""),8715.6)</f>
        <v>8715.6</v>
      </c>
      <c r="F3979" s="3">
        <f>IFERROR(__xludf.DUMMYFUNCTION("""COMPUTED_VALUE"""),0.0)</f>
        <v>0</v>
      </c>
    </row>
    <row r="3980">
      <c r="A3980" s="7">
        <f>IFERROR(__xludf.DUMMYFUNCTION("""COMPUTED_VALUE"""),42627.64583333333)</f>
        <v>42627.64583</v>
      </c>
      <c r="B3980" s="3">
        <f>IFERROR(__xludf.DUMMYFUNCTION("""COMPUTED_VALUE"""),8710.65)</f>
        <v>8710.65</v>
      </c>
      <c r="C3980" s="3">
        <f>IFERROR(__xludf.DUMMYFUNCTION("""COMPUTED_VALUE"""),8739.85)</f>
        <v>8739.85</v>
      </c>
      <c r="D3980" s="3">
        <f>IFERROR(__xludf.DUMMYFUNCTION("""COMPUTED_VALUE"""),8688.9)</f>
        <v>8688.9</v>
      </c>
      <c r="E3980" s="3">
        <f>IFERROR(__xludf.DUMMYFUNCTION("""COMPUTED_VALUE"""),8726.6)</f>
        <v>8726.6</v>
      </c>
      <c r="F3980" s="3">
        <f>IFERROR(__xludf.DUMMYFUNCTION("""COMPUTED_VALUE"""),0.0)</f>
        <v>0</v>
      </c>
    </row>
    <row r="3981">
      <c r="A3981" s="7">
        <f>IFERROR(__xludf.DUMMYFUNCTION("""COMPUTED_VALUE"""),42628.64583333333)</f>
        <v>42628.64583</v>
      </c>
      <c r="B3981" s="3">
        <f>IFERROR(__xludf.DUMMYFUNCTION("""COMPUTED_VALUE"""),8743.85)</f>
        <v>8743.85</v>
      </c>
      <c r="C3981" s="3">
        <f>IFERROR(__xludf.DUMMYFUNCTION("""COMPUTED_VALUE"""),8751.95)</f>
        <v>8751.95</v>
      </c>
      <c r="D3981" s="3">
        <f>IFERROR(__xludf.DUMMYFUNCTION("""COMPUTED_VALUE"""),8704.35)</f>
        <v>8704.35</v>
      </c>
      <c r="E3981" s="3">
        <f>IFERROR(__xludf.DUMMYFUNCTION("""COMPUTED_VALUE"""),8742.55)</f>
        <v>8742.55</v>
      </c>
      <c r="F3981" s="3">
        <f>IFERROR(__xludf.DUMMYFUNCTION("""COMPUTED_VALUE"""),0.0)</f>
        <v>0</v>
      </c>
    </row>
    <row r="3982">
      <c r="A3982" s="7">
        <f>IFERROR(__xludf.DUMMYFUNCTION("""COMPUTED_VALUE"""),42629.64583333333)</f>
        <v>42629.64583</v>
      </c>
      <c r="B3982" s="3">
        <f>IFERROR(__xludf.DUMMYFUNCTION("""COMPUTED_VALUE"""),8780.85)</f>
        <v>8780.85</v>
      </c>
      <c r="C3982" s="3">
        <f>IFERROR(__xludf.DUMMYFUNCTION("""COMPUTED_VALUE"""),8847.65)</f>
        <v>8847.65</v>
      </c>
      <c r="D3982" s="3">
        <f>IFERROR(__xludf.DUMMYFUNCTION("""COMPUTED_VALUE"""),8750.5)</f>
        <v>8750.5</v>
      </c>
      <c r="E3982" s="3">
        <f>IFERROR(__xludf.DUMMYFUNCTION("""COMPUTED_VALUE"""),8779.85)</f>
        <v>8779.85</v>
      </c>
      <c r="F3982" s="3">
        <f>IFERROR(__xludf.DUMMYFUNCTION("""COMPUTED_VALUE"""),0.0)</f>
        <v>0</v>
      </c>
    </row>
    <row r="3983">
      <c r="A3983" s="7">
        <f>IFERROR(__xludf.DUMMYFUNCTION("""COMPUTED_VALUE"""),42632.64583333333)</f>
        <v>42632.64583</v>
      </c>
      <c r="B3983" s="3">
        <f>IFERROR(__xludf.DUMMYFUNCTION("""COMPUTED_VALUE"""),8788.45)</f>
        <v>8788.45</v>
      </c>
      <c r="C3983" s="3">
        <f>IFERROR(__xludf.DUMMYFUNCTION("""COMPUTED_VALUE"""),8824.3)</f>
        <v>8824.3</v>
      </c>
      <c r="D3983" s="3">
        <f>IFERROR(__xludf.DUMMYFUNCTION("""COMPUTED_VALUE"""),8774.2)</f>
        <v>8774.2</v>
      </c>
      <c r="E3983" s="3">
        <f>IFERROR(__xludf.DUMMYFUNCTION("""COMPUTED_VALUE"""),8808.4)</f>
        <v>8808.4</v>
      </c>
      <c r="F3983" s="3">
        <f>IFERROR(__xludf.DUMMYFUNCTION("""COMPUTED_VALUE"""),0.0)</f>
        <v>0</v>
      </c>
    </row>
    <row r="3984">
      <c r="A3984" s="7">
        <f>IFERROR(__xludf.DUMMYFUNCTION("""COMPUTED_VALUE"""),42633.64583333333)</f>
        <v>42633.64583</v>
      </c>
      <c r="B3984" s="3">
        <f>IFERROR(__xludf.DUMMYFUNCTION("""COMPUTED_VALUE"""),8816.1)</f>
        <v>8816.1</v>
      </c>
      <c r="C3984" s="3">
        <f>IFERROR(__xludf.DUMMYFUNCTION("""COMPUTED_VALUE"""),8816.45)</f>
        <v>8816.45</v>
      </c>
      <c r="D3984" s="3">
        <f>IFERROR(__xludf.DUMMYFUNCTION("""COMPUTED_VALUE"""),8759.3)</f>
        <v>8759.3</v>
      </c>
      <c r="E3984" s="3">
        <f>IFERROR(__xludf.DUMMYFUNCTION("""COMPUTED_VALUE"""),8775.9)</f>
        <v>8775.9</v>
      </c>
      <c r="F3984" s="3">
        <f>IFERROR(__xludf.DUMMYFUNCTION("""COMPUTED_VALUE"""),0.0)</f>
        <v>0</v>
      </c>
    </row>
    <row r="3985">
      <c r="A3985" s="7">
        <f>IFERROR(__xludf.DUMMYFUNCTION("""COMPUTED_VALUE"""),42634.64583333333)</f>
        <v>42634.64583</v>
      </c>
      <c r="B3985" s="3">
        <f>IFERROR(__xludf.DUMMYFUNCTION("""COMPUTED_VALUE"""),8790.3)</f>
        <v>8790.3</v>
      </c>
      <c r="C3985" s="3">
        <f>IFERROR(__xludf.DUMMYFUNCTION("""COMPUTED_VALUE"""),8826.85)</f>
        <v>8826.85</v>
      </c>
      <c r="D3985" s="3">
        <f>IFERROR(__xludf.DUMMYFUNCTION("""COMPUTED_VALUE"""),8757.3)</f>
        <v>8757.3</v>
      </c>
      <c r="E3985" s="3">
        <f>IFERROR(__xludf.DUMMYFUNCTION("""COMPUTED_VALUE"""),8777.15)</f>
        <v>8777.15</v>
      </c>
      <c r="F3985" s="3">
        <f>IFERROR(__xludf.DUMMYFUNCTION("""COMPUTED_VALUE"""),0.0)</f>
        <v>0</v>
      </c>
    </row>
    <row r="3986">
      <c r="A3986" s="7">
        <f>IFERROR(__xludf.DUMMYFUNCTION("""COMPUTED_VALUE"""),42635.64583333333)</f>
        <v>42635.64583</v>
      </c>
      <c r="B3986" s="3">
        <f>IFERROR(__xludf.DUMMYFUNCTION("""COMPUTED_VALUE"""),8873.35)</f>
        <v>8873.35</v>
      </c>
      <c r="C3986" s="3">
        <f>IFERROR(__xludf.DUMMYFUNCTION("""COMPUTED_VALUE"""),8893.35)</f>
        <v>8893.35</v>
      </c>
      <c r="D3986" s="3">
        <f>IFERROR(__xludf.DUMMYFUNCTION("""COMPUTED_VALUE"""),8837.8)</f>
        <v>8837.8</v>
      </c>
      <c r="E3986" s="3">
        <f>IFERROR(__xludf.DUMMYFUNCTION("""COMPUTED_VALUE"""),8867.45)</f>
        <v>8867.45</v>
      </c>
      <c r="F3986" s="3">
        <f>IFERROR(__xludf.DUMMYFUNCTION("""COMPUTED_VALUE"""),0.0)</f>
        <v>0</v>
      </c>
    </row>
    <row r="3987">
      <c r="A3987" s="7">
        <f>IFERROR(__xludf.DUMMYFUNCTION("""COMPUTED_VALUE"""),42636.64583333333)</f>
        <v>42636.64583</v>
      </c>
      <c r="B3987" s="3">
        <f>IFERROR(__xludf.DUMMYFUNCTION("""COMPUTED_VALUE"""),8880.75)</f>
        <v>8880.75</v>
      </c>
      <c r="C3987" s="3">
        <f>IFERROR(__xludf.DUMMYFUNCTION("""COMPUTED_VALUE"""),8885.2)</f>
        <v>8885.2</v>
      </c>
      <c r="D3987" s="3">
        <f>IFERROR(__xludf.DUMMYFUNCTION("""COMPUTED_VALUE"""),8820.3)</f>
        <v>8820.3</v>
      </c>
      <c r="E3987" s="3">
        <f>IFERROR(__xludf.DUMMYFUNCTION("""COMPUTED_VALUE"""),8831.55)</f>
        <v>8831.55</v>
      </c>
      <c r="F3987" s="3">
        <f>IFERROR(__xludf.DUMMYFUNCTION("""COMPUTED_VALUE"""),0.0)</f>
        <v>0</v>
      </c>
    </row>
    <row r="3988">
      <c r="A3988" s="7">
        <f>IFERROR(__xludf.DUMMYFUNCTION("""COMPUTED_VALUE"""),42639.64583333333)</f>
        <v>42639.64583</v>
      </c>
      <c r="B3988" s="3">
        <f>IFERROR(__xludf.DUMMYFUNCTION("""COMPUTED_VALUE"""),8807.9)</f>
        <v>8807.9</v>
      </c>
      <c r="C3988" s="3">
        <f>IFERROR(__xludf.DUMMYFUNCTION("""COMPUTED_VALUE"""),8809.55)</f>
        <v>8809.55</v>
      </c>
      <c r="D3988" s="3">
        <f>IFERROR(__xludf.DUMMYFUNCTION("""COMPUTED_VALUE"""),8715.1)</f>
        <v>8715.1</v>
      </c>
      <c r="E3988" s="3">
        <f>IFERROR(__xludf.DUMMYFUNCTION("""COMPUTED_VALUE"""),8723.05)</f>
        <v>8723.05</v>
      </c>
      <c r="F3988" s="3">
        <f>IFERROR(__xludf.DUMMYFUNCTION("""COMPUTED_VALUE"""),0.0)</f>
        <v>0</v>
      </c>
    </row>
    <row r="3989">
      <c r="A3989" s="7">
        <f>IFERROR(__xludf.DUMMYFUNCTION("""COMPUTED_VALUE"""),42640.64583333333)</f>
        <v>42640.64583</v>
      </c>
      <c r="B3989" s="3">
        <f>IFERROR(__xludf.DUMMYFUNCTION("""COMPUTED_VALUE"""),8748.9)</f>
        <v>8748.9</v>
      </c>
      <c r="C3989" s="3">
        <f>IFERROR(__xludf.DUMMYFUNCTION("""COMPUTED_VALUE"""),8768.5)</f>
        <v>8768.5</v>
      </c>
      <c r="D3989" s="3">
        <f>IFERROR(__xludf.DUMMYFUNCTION("""COMPUTED_VALUE"""),8690.5)</f>
        <v>8690.5</v>
      </c>
      <c r="E3989" s="3">
        <f>IFERROR(__xludf.DUMMYFUNCTION("""COMPUTED_VALUE"""),8706.4)</f>
        <v>8706.4</v>
      </c>
      <c r="F3989" s="3">
        <f>IFERROR(__xludf.DUMMYFUNCTION("""COMPUTED_VALUE"""),0.0)</f>
        <v>0</v>
      </c>
    </row>
    <row r="3990">
      <c r="A3990" s="7">
        <f>IFERROR(__xludf.DUMMYFUNCTION("""COMPUTED_VALUE"""),42641.64583333333)</f>
        <v>42641.64583</v>
      </c>
      <c r="B3990" s="3">
        <f>IFERROR(__xludf.DUMMYFUNCTION("""COMPUTED_VALUE"""),8711.2)</f>
        <v>8711.2</v>
      </c>
      <c r="C3990" s="3">
        <f>IFERROR(__xludf.DUMMYFUNCTION("""COMPUTED_VALUE"""),8767.05)</f>
        <v>8767.05</v>
      </c>
      <c r="D3990" s="3">
        <f>IFERROR(__xludf.DUMMYFUNCTION("""COMPUTED_VALUE"""),8703.15)</f>
        <v>8703.15</v>
      </c>
      <c r="E3990" s="3">
        <f>IFERROR(__xludf.DUMMYFUNCTION("""COMPUTED_VALUE"""),8745.15)</f>
        <v>8745.15</v>
      </c>
      <c r="F3990" s="3">
        <f>IFERROR(__xludf.DUMMYFUNCTION("""COMPUTED_VALUE"""),0.0)</f>
        <v>0</v>
      </c>
    </row>
    <row r="3991">
      <c r="A3991" s="7">
        <f>IFERROR(__xludf.DUMMYFUNCTION("""COMPUTED_VALUE"""),42642.64583333333)</f>
        <v>42642.64583</v>
      </c>
      <c r="B3991" s="3">
        <f>IFERROR(__xludf.DUMMYFUNCTION("""COMPUTED_VALUE"""),8792.7)</f>
        <v>8792.7</v>
      </c>
      <c r="C3991" s="3">
        <f>IFERROR(__xludf.DUMMYFUNCTION("""COMPUTED_VALUE"""),8800.65)</f>
        <v>8800.65</v>
      </c>
      <c r="D3991" s="3">
        <f>IFERROR(__xludf.DUMMYFUNCTION("""COMPUTED_VALUE"""),8558.25)</f>
        <v>8558.25</v>
      </c>
      <c r="E3991" s="3">
        <f>IFERROR(__xludf.DUMMYFUNCTION("""COMPUTED_VALUE"""),8591.25)</f>
        <v>8591.25</v>
      </c>
      <c r="F3991" s="3">
        <f>IFERROR(__xludf.DUMMYFUNCTION("""COMPUTED_VALUE"""),0.0)</f>
        <v>0</v>
      </c>
    </row>
    <row r="3992">
      <c r="A3992" s="7">
        <f>IFERROR(__xludf.DUMMYFUNCTION("""COMPUTED_VALUE"""),42643.64583333333)</f>
        <v>42643.64583</v>
      </c>
      <c r="B3992" s="3">
        <f>IFERROR(__xludf.DUMMYFUNCTION("""COMPUTED_VALUE"""),8581.5)</f>
        <v>8581.5</v>
      </c>
      <c r="C3992" s="3">
        <f>IFERROR(__xludf.DUMMYFUNCTION("""COMPUTED_VALUE"""),8637.15)</f>
        <v>8637.15</v>
      </c>
      <c r="D3992" s="3">
        <f>IFERROR(__xludf.DUMMYFUNCTION("""COMPUTED_VALUE"""),8555.2)</f>
        <v>8555.2</v>
      </c>
      <c r="E3992" s="3">
        <f>IFERROR(__xludf.DUMMYFUNCTION("""COMPUTED_VALUE"""),8611.15)</f>
        <v>8611.15</v>
      </c>
      <c r="F3992" s="3">
        <f>IFERROR(__xludf.DUMMYFUNCTION("""COMPUTED_VALUE"""),0.0)</f>
        <v>0</v>
      </c>
    </row>
    <row r="3993">
      <c r="A3993" s="7">
        <f>IFERROR(__xludf.DUMMYFUNCTION("""COMPUTED_VALUE"""),42646.64583333333)</f>
        <v>42646.64583</v>
      </c>
      <c r="B3993" s="3">
        <f>IFERROR(__xludf.DUMMYFUNCTION("""COMPUTED_VALUE"""),8666.15)</f>
        <v>8666.15</v>
      </c>
      <c r="C3993" s="3">
        <f>IFERROR(__xludf.DUMMYFUNCTION("""COMPUTED_VALUE"""),8745.2)</f>
        <v>8745.2</v>
      </c>
      <c r="D3993" s="3">
        <f>IFERROR(__xludf.DUMMYFUNCTION("""COMPUTED_VALUE"""),8635.0)</f>
        <v>8635</v>
      </c>
      <c r="E3993" s="3">
        <f>IFERROR(__xludf.DUMMYFUNCTION("""COMPUTED_VALUE"""),8738.1)</f>
        <v>8738.1</v>
      </c>
      <c r="F3993" s="3">
        <f>IFERROR(__xludf.DUMMYFUNCTION("""COMPUTED_VALUE"""),0.0)</f>
        <v>0</v>
      </c>
    </row>
    <row r="3994">
      <c r="A3994" s="7">
        <f>IFERROR(__xludf.DUMMYFUNCTION("""COMPUTED_VALUE"""),42647.64583333333)</f>
        <v>42647.64583</v>
      </c>
      <c r="B3994" s="3">
        <f>IFERROR(__xludf.DUMMYFUNCTION("""COMPUTED_VALUE"""),8770.0)</f>
        <v>8770</v>
      </c>
      <c r="C3994" s="3">
        <f>IFERROR(__xludf.DUMMYFUNCTION("""COMPUTED_VALUE"""),8783.65)</f>
        <v>8783.65</v>
      </c>
      <c r="D3994" s="3">
        <f>IFERROR(__xludf.DUMMYFUNCTION("""COMPUTED_VALUE"""),8736.1)</f>
        <v>8736.1</v>
      </c>
      <c r="E3994" s="3">
        <f>IFERROR(__xludf.DUMMYFUNCTION("""COMPUTED_VALUE"""),8769.15)</f>
        <v>8769.15</v>
      </c>
      <c r="F3994" s="3">
        <f>IFERROR(__xludf.DUMMYFUNCTION("""COMPUTED_VALUE"""),0.0)</f>
        <v>0</v>
      </c>
    </row>
    <row r="3995">
      <c r="A3995" s="7">
        <f>IFERROR(__xludf.DUMMYFUNCTION("""COMPUTED_VALUE"""),42648.64583333333)</f>
        <v>42648.64583</v>
      </c>
      <c r="B3995" s="3">
        <f>IFERROR(__xludf.DUMMYFUNCTION("""COMPUTED_VALUE"""),8806.35)</f>
        <v>8806.35</v>
      </c>
      <c r="C3995" s="3">
        <f>IFERROR(__xludf.DUMMYFUNCTION("""COMPUTED_VALUE"""),8806.95)</f>
        <v>8806.95</v>
      </c>
      <c r="D3995" s="3">
        <f>IFERROR(__xludf.DUMMYFUNCTION("""COMPUTED_VALUE"""),8731.4)</f>
        <v>8731.4</v>
      </c>
      <c r="E3995" s="3">
        <f>IFERROR(__xludf.DUMMYFUNCTION("""COMPUTED_VALUE"""),8743.95)</f>
        <v>8743.95</v>
      </c>
      <c r="F3995" s="3">
        <f>IFERROR(__xludf.DUMMYFUNCTION("""COMPUTED_VALUE"""),0.0)</f>
        <v>0</v>
      </c>
    </row>
    <row r="3996">
      <c r="A3996" s="7">
        <f>IFERROR(__xludf.DUMMYFUNCTION("""COMPUTED_VALUE"""),42649.64583333333)</f>
        <v>42649.64583</v>
      </c>
      <c r="B3996" s="3">
        <f>IFERROR(__xludf.DUMMYFUNCTION("""COMPUTED_VALUE"""),8768.7)</f>
        <v>8768.7</v>
      </c>
      <c r="C3996" s="3">
        <f>IFERROR(__xludf.DUMMYFUNCTION("""COMPUTED_VALUE"""),8781.15)</f>
        <v>8781.15</v>
      </c>
      <c r="D3996" s="3">
        <f>IFERROR(__xludf.DUMMYFUNCTION("""COMPUTED_VALUE"""),8684.65)</f>
        <v>8684.65</v>
      </c>
      <c r="E3996" s="3">
        <f>IFERROR(__xludf.DUMMYFUNCTION("""COMPUTED_VALUE"""),8709.55)</f>
        <v>8709.55</v>
      </c>
      <c r="F3996" s="3">
        <f>IFERROR(__xludf.DUMMYFUNCTION("""COMPUTED_VALUE"""),0.0)</f>
        <v>0</v>
      </c>
    </row>
    <row r="3997">
      <c r="A3997" s="7">
        <f>IFERROR(__xludf.DUMMYFUNCTION("""COMPUTED_VALUE"""),42650.64583333333)</f>
        <v>42650.64583</v>
      </c>
      <c r="B3997" s="3">
        <f>IFERROR(__xludf.DUMMYFUNCTION("""COMPUTED_VALUE"""),8721.7)</f>
        <v>8721.7</v>
      </c>
      <c r="C3997" s="3">
        <f>IFERROR(__xludf.DUMMYFUNCTION("""COMPUTED_VALUE"""),8723.7)</f>
        <v>8723.7</v>
      </c>
      <c r="D3997" s="3">
        <f>IFERROR(__xludf.DUMMYFUNCTION("""COMPUTED_VALUE"""),8663.8)</f>
        <v>8663.8</v>
      </c>
      <c r="E3997" s="3">
        <f>IFERROR(__xludf.DUMMYFUNCTION("""COMPUTED_VALUE"""),8697.6)</f>
        <v>8697.6</v>
      </c>
      <c r="F3997" s="3">
        <f>IFERROR(__xludf.DUMMYFUNCTION("""COMPUTED_VALUE"""),0.0)</f>
        <v>0</v>
      </c>
    </row>
    <row r="3998">
      <c r="A3998" s="7">
        <f>IFERROR(__xludf.DUMMYFUNCTION("""COMPUTED_VALUE"""),42653.64583333333)</f>
        <v>42653.64583</v>
      </c>
      <c r="B3998" s="3">
        <f>IFERROR(__xludf.DUMMYFUNCTION("""COMPUTED_VALUE"""),8735.35)</f>
        <v>8735.35</v>
      </c>
      <c r="C3998" s="3">
        <f>IFERROR(__xludf.DUMMYFUNCTION("""COMPUTED_VALUE"""),8745.8)</f>
        <v>8745.8</v>
      </c>
      <c r="D3998" s="3">
        <f>IFERROR(__xludf.DUMMYFUNCTION("""COMPUTED_VALUE"""),8703.95)</f>
        <v>8703.95</v>
      </c>
      <c r="E3998" s="3">
        <f>IFERROR(__xludf.DUMMYFUNCTION("""COMPUTED_VALUE"""),8708.8)</f>
        <v>8708.8</v>
      </c>
      <c r="F3998" s="3">
        <f>IFERROR(__xludf.DUMMYFUNCTION("""COMPUTED_VALUE"""),0.0)</f>
        <v>0</v>
      </c>
    </row>
    <row r="3999">
      <c r="A3999" s="7">
        <f>IFERROR(__xludf.DUMMYFUNCTION("""COMPUTED_VALUE"""),42656.64583333333)</f>
        <v>42656.64583</v>
      </c>
      <c r="B3999" s="3">
        <f>IFERROR(__xludf.DUMMYFUNCTION("""COMPUTED_VALUE"""),8671.5)</f>
        <v>8671.5</v>
      </c>
      <c r="C3999" s="3">
        <f>IFERROR(__xludf.DUMMYFUNCTION("""COMPUTED_VALUE"""),8681.55)</f>
        <v>8681.55</v>
      </c>
      <c r="D3999" s="3">
        <f>IFERROR(__xludf.DUMMYFUNCTION("""COMPUTED_VALUE"""),8541.35)</f>
        <v>8541.35</v>
      </c>
      <c r="E3999" s="3">
        <f>IFERROR(__xludf.DUMMYFUNCTION("""COMPUTED_VALUE"""),8573.35)</f>
        <v>8573.35</v>
      </c>
      <c r="F3999" s="3">
        <f>IFERROR(__xludf.DUMMYFUNCTION("""COMPUTED_VALUE"""),0.0)</f>
        <v>0</v>
      </c>
    </row>
    <row r="4000">
      <c r="A4000" s="7">
        <f>IFERROR(__xludf.DUMMYFUNCTION("""COMPUTED_VALUE"""),42657.64583333333)</f>
        <v>42657.64583</v>
      </c>
      <c r="B4000" s="3">
        <f>IFERROR(__xludf.DUMMYFUNCTION("""COMPUTED_VALUE"""),8594.0)</f>
        <v>8594</v>
      </c>
      <c r="C4000" s="3">
        <f>IFERROR(__xludf.DUMMYFUNCTION("""COMPUTED_VALUE"""),8604.45)</f>
        <v>8604.45</v>
      </c>
      <c r="D4000" s="3">
        <f>IFERROR(__xludf.DUMMYFUNCTION("""COMPUTED_VALUE"""),8549.8)</f>
        <v>8549.8</v>
      </c>
      <c r="E4000" s="3">
        <f>IFERROR(__xludf.DUMMYFUNCTION("""COMPUTED_VALUE"""),8583.4)</f>
        <v>8583.4</v>
      </c>
      <c r="F4000" s="3">
        <f>IFERROR(__xludf.DUMMYFUNCTION("""COMPUTED_VALUE"""),0.0)</f>
        <v>0</v>
      </c>
    </row>
    <row r="4001">
      <c r="A4001" s="7">
        <f>IFERROR(__xludf.DUMMYFUNCTION("""COMPUTED_VALUE"""),42660.64583333333)</f>
        <v>42660.64583</v>
      </c>
      <c r="B4001" s="3">
        <f>IFERROR(__xludf.DUMMYFUNCTION("""COMPUTED_VALUE"""),8612.95)</f>
        <v>8612.95</v>
      </c>
      <c r="C4001" s="3">
        <f>IFERROR(__xludf.DUMMYFUNCTION("""COMPUTED_VALUE"""),8615.4)</f>
        <v>8615.4</v>
      </c>
      <c r="D4001" s="3">
        <f>IFERROR(__xludf.DUMMYFUNCTION("""COMPUTED_VALUE"""),8506.15)</f>
        <v>8506.15</v>
      </c>
      <c r="E4001" s="3">
        <f>IFERROR(__xludf.DUMMYFUNCTION("""COMPUTED_VALUE"""),8520.4)</f>
        <v>8520.4</v>
      </c>
      <c r="F4001" s="3">
        <f>IFERROR(__xludf.DUMMYFUNCTION("""COMPUTED_VALUE"""),0.0)</f>
        <v>0</v>
      </c>
    </row>
    <row r="4002">
      <c r="A4002" s="7">
        <f>IFERROR(__xludf.DUMMYFUNCTION("""COMPUTED_VALUE"""),42661.64583333333)</f>
        <v>42661.64583</v>
      </c>
      <c r="B4002" s="3">
        <f>IFERROR(__xludf.DUMMYFUNCTION("""COMPUTED_VALUE"""),8556.05)</f>
        <v>8556.05</v>
      </c>
      <c r="C4002" s="3">
        <f>IFERROR(__xludf.DUMMYFUNCTION("""COMPUTED_VALUE"""),8685.1)</f>
        <v>8685.1</v>
      </c>
      <c r="D4002" s="3">
        <f>IFERROR(__xludf.DUMMYFUNCTION("""COMPUTED_VALUE"""),8555.9)</f>
        <v>8555.9</v>
      </c>
      <c r="E4002" s="3">
        <f>IFERROR(__xludf.DUMMYFUNCTION("""COMPUTED_VALUE"""),8677.9)</f>
        <v>8677.9</v>
      </c>
      <c r="F4002" s="3">
        <f>IFERROR(__xludf.DUMMYFUNCTION("""COMPUTED_VALUE"""),0.0)</f>
        <v>0</v>
      </c>
    </row>
    <row r="4003">
      <c r="A4003" s="7">
        <f>IFERROR(__xludf.DUMMYFUNCTION("""COMPUTED_VALUE"""),42662.64583333333)</f>
        <v>42662.64583</v>
      </c>
      <c r="B4003" s="3">
        <f>IFERROR(__xludf.DUMMYFUNCTION("""COMPUTED_VALUE"""),8697.5)</f>
        <v>8697.5</v>
      </c>
      <c r="C4003" s="3">
        <f>IFERROR(__xludf.DUMMYFUNCTION("""COMPUTED_VALUE"""),8698.75)</f>
        <v>8698.75</v>
      </c>
      <c r="D4003" s="3">
        <f>IFERROR(__xludf.DUMMYFUNCTION("""COMPUTED_VALUE"""),8636.7)</f>
        <v>8636.7</v>
      </c>
      <c r="E4003" s="3">
        <f>IFERROR(__xludf.DUMMYFUNCTION("""COMPUTED_VALUE"""),8659.1)</f>
        <v>8659.1</v>
      </c>
      <c r="F4003" s="3">
        <f>IFERROR(__xludf.DUMMYFUNCTION("""COMPUTED_VALUE"""),0.0)</f>
        <v>0</v>
      </c>
    </row>
    <row r="4004">
      <c r="A4004" s="7">
        <f>IFERROR(__xludf.DUMMYFUNCTION("""COMPUTED_VALUE"""),42663.64583333333)</f>
        <v>42663.64583</v>
      </c>
      <c r="B4004" s="3">
        <f>IFERROR(__xludf.DUMMYFUNCTION("""COMPUTED_VALUE"""),8693.35)</f>
        <v>8693.35</v>
      </c>
      <c r="C4004" s="3">
        <f>IFERROR(__xludf.DUMMYFUNCTION("""COMPUTED_VALUE"""),8727.0)</f>
        <v>8727</v>
      </c>
      <c r="D4004" s="3">
        <f>IFERROR(__xludf.DUMMYFUNCTION("""COMPUTED_VALUE"""),8678.3)</f>
        <v>8678.3</v>
      </c>
      <c r="E4004" s="3">
        <f>IFERROR(__xludf.DUMMYFUNCTION("""COMPUTED_VALUE"""),8699.4)</f>
        <v>8699.4</v>
      </c>
      <c r="F4004" s="3">
        <f>IFERROR(__xludf.DUMMYFUNCTION("""COMPUTED_VALUE"""),0.0)</f>
        <v>0</v>
      </c>
    </row>
    <row r="4005">
      <c r="A4005" s="7">
        <f>IFERROR(__xludf.DUMMYFUNCTION("""COMPUTED_VALUE"""),42664.64583333333)</f>
        <v>42664.64583</v>
      </c>
      <c r="B4005" s="3">
        <f>IFERROR(__xludf.DUMMYFUNCTION("""COMPUTED_VALUE"""),8708.6)</f>
        <v>8708.6</v>
      </c>
      <c r="C4005" s="3">
        <f>IFERROR(__xludf.DUMMYFUNCTION("""COMPUTED_VALUE"""),8709.1)</f>
        <v>8709.1</v>
      </c>
      <c r="D4005" s="3">
        <f>IFERROR(__xludf.DUMMYFUNCTION("""COMPUTED_VALUE"""),8652.05)</f>
        <v>8652.05</v>
      </c>
      <c r="E4005" s="3">
        <f>IFERROR(__xludf.DUMMYFUNCTION("""COMPUTED_VALUE"""),8693.05)</f>
        <v>8693.05</v>
      </c>
      <c r="F4005" s="3">
        <f>IFERROR(__xludf.DUMMYFUNCTION("""COMPUTED_VALUE"""),0.0)</f>
        <v>0</v>
      </c>
    </row>
    <row r="4006">
      <c r="A4006" s="7">
        <f>IFERROR(__xludf.DUMMYFUNCTION("""COMPUTED_VALUE"""),42667.64583333333)</f>
        <v>42667.64583</v>
      </c>
      <c r="B4006" s="3">
        <f>IFERROR(__xludf.DUMMYFUNCTION("""COMPUTED_VALUE"""),8709.85)</f>
        <v>8709.85</v>
      </c>
      <c r="C4006" s="3">
        <f>IFERROR(__xludf.DUMMYFUNCTION("""COMPUTED_VALUE"""),8736.95)</f>
        <v>8736.95</v>
      </c>
      <c r="D4006" s="3">
        <f>IFERROR(__xludf.DUMMYFUNCTION("""COMPUTED_VALUE"""),8684.15)</f>
        <v>8684.15</v>
      </c>
      <c r="E4006" s="3">
        <f>IFERROR(__xludf.DUMMYFUNCTION("""COMPUTED_VALUE"""),8708.95)</f>
        <v>8708.95</v>
      </c>
      <c r="F4006" s="3">
        <f>IFERROR(__xludf.DUMMYFUNCTION("""COMPUTED_VALUE"""),0.0)</f>
        <v>0</v>
      </c>
    </row>
    <row r="4007">
      <c r="A4007" s="7">
        <f>IFERROR(__xludf.DUMMYFUNCTION("""COMPUTED_VALUE"""),42668.64583333333)</f>
        <v>42668.64583</v>
      </c>
      <c r="B4007" s="3">
        <f>IFERROR(__xludf.DUMMYFUNCTION("""COMPUTED_VALUE"""),8721.7)</f>
        <v>8721.7</v>
      </c>
      <c r="C4007" s="3">
        <f>IFERROR(__xludf.DUMMYFUNCTION("""COMPUTED_VALUE"""),8722.65)</f>
        <v>8722.65</v>
      </c>
      <c r="D4007" s="3">
        <f>IFERROR(__xludf.DUMMYFUNCTION("""COMPUTED_VALUE"""),8663.45)</f>
        <v>8663.45</v>
      </c>
      <c r="E4007" s="3">
        <f>IFERROR(__xludf.DUMMYFUNCTION("""COMPUTED_VALUE"""),8691.3)</f>
        <v>8691.3</v>
      </c>
      <c r="F4007" s="3">
        <f>IFERROR(__xludf.DUMMYFUNCTION("""COMPUTED_VALUE"""),0.0)</f>
        <v>0</v>
      </c>
    </row>
    <row r="4008">
      <c r="A4008" s="7">
        <f>IFERROR(__xludf.DUMMYFUNCTION("""COMPUTED_VALUE"""),42669.64583333333)</f>
        <v>42669.64583</v>
      </c>
      <c r="B4008" s="3">
        <f>IFERROR(__xludf.DUMMYFUNCTION("""COMPUTED_VALUE"""),8657.3)</f>
        <v>8657.3</v>
      </c>
      <c r="C4008" s="3">
        <f>IFERROR(__xludf.DUMMYFUNCTION("""COMPUTED_VALUE"""),8657.3)</f>
        <v>8657.3</v>
      </c>
      <c r="D4008" s="3">
        <f>IFERROR(__xludf.DUMMYFUNCTION("""COMPUTED_VALUE"""),8596.6)</f>
        <v>8596.6</v>
      </c>
      <c r="E4008" s="3">
        <f>IFERROR(__xludf.DUMMYFUNCTION("""COMPUTED_VALUE"""),8615.25)</f>
        <v>8615.25</v>
      </c>
      <c r="F4008" s="3">
        <f>IFERROR(__xludf.DUMMYFUNCTION("""COMPUTED_VALUE"""),0.0)</f>
        <v>0</v>
      </c>
    </row>
    <row r="4009">
      <c r="A4009" s="7">
        <f>IFERROR(__xludf.DUMMYFUNCTION("""COMPUTED_VALUE"""),42670.64583333333)</f>
        <v>42670.64583</v>
      </c>
      <c r="B4009" s="3">
        <f>IFERROR(__xludf.DUMMYFUNCTION("""COMPUTED_VALUE"""),8607.1)</f>
        <v>8607.1</v>
      </c>
      <c r="C4009" s="3">
        <f>IFERROR(__xludf.DUMMYFUNCTION("""COMPUTED_VALUE"""),8624.85)</f>
        <v>8624.85</v>
      </c>
      <c r="D4009" s="3">
        <f>IFERROR(__xludf.DUMMYFUNCTION("""COMPUTED_VALUE"""),8550.25)</f>
        <v>8550.25</v>
      </c>
      <c r="E4009" s="3">
        <f>IFERROR(__xludf.DUMMYFUNCTION("""COMPUTED_VALUE"""),8615.25)</f>
        <v>8615.25</v>
      </c>
      <c r="F4009" s="3">
        <f>IFERROR(__xludf.DUMMYFUNCTION("""COMPUTED_VALUE"""),0.0)</f>
        <v>0</v>
      </c>
    </row>
    <row r="4010">
      <c r="A4010" s="7">
        <f>IFERROR(__xludf.DUMMYFUNCTION("""COMPUTED_VALUE"""),42671.64583333333)</f>
        <v>42671.64583</v>
      </c>
      <c r="B4010" s="3">
        <f>IFERROR(__xludf.DUMMYFUNCTION("""COMPUTED_VALUE"""),8625.0)</f>
        <v>8625</v>
      </c>
      <c r="C4010" s="3">
        <f>IFERROR(__xludf.DUMMYFUNCTION("""COMPUTED_VALUE"""),8653.75)</f>
        <v>8653.75</v>
      </c>
      <c r="D4010" s="3">
        <f>IFERROR(__xludf.DUMMYFUNCTION("""COMPUTED_VALUE"""),8581.75)</f>
        <v>8581.75</v>
      </c>
      <c r="E4010" s="3">
        <f>IFERROR(__xludf.DUMMYFUNCTION("""COMPUTED_VALUE"""),8638.0)</f>
        <v>8638</v>
      </c>
      <c r="F4010" s="3">
        <f>IFERROR(__xludf.DUMMYFUNCTION("""COMPUTED_VALUE"""),0.0)</f>
        <v>0</v>
      </c>
    </row>
    <row r="4011">
      <c r="A4011" s="7">
        <f>IFERROR(__xludf.DUMMYFUNCTION("""COMPUTED_VALUE"""),42675.64583333333)</f>
        <v>42675.64583</v>
      </c>
      <c r="B4011" s="3">
        <f>IFERROR(__xludf.DUMMYFUNCTION("""COMPUTED_VALUE"""),8653.15)</f>
        <v>8653.15</v>
      </c>
      <c r="C4011" s="3">
        <f>IFERROR(__xludf.DUMMYFUNCTION("""COMPUTED_VALUE"""),8669.6)</f>
        <v>8669.6</v>
      </c>
      <c r="D4011" s="3">
        <f>IFERROR(__xludf.DUMMYFUNCTION("""COMPUTED_VALUE"""),8614.5)</f>
        <v>8614.5</v>
      </c>
      <c r="E4011" s="3">
        <f>IFERROR(__xludf.DUMMYFUNCTION("""COMPUTED_VALUE"""),8626.25)</f>
        <v>8626.25</v>
      </c>
      <c r="F4011" s="3">
        <f>IFERROR(__xludf.DUMMYFUNCTION("""COMPUTED_VALUE"""),0.0)</f>
        <v>0</v>
      </c>
    </row>
    <row r="4012">
      <c r="A4012" s="7">
        <f>IFERROR(__xludf.DUMMYFUNCTION("""COMPUTED_VALUE"""),42676.64583333333)</f>
        <v>42676.64583</v>
      </c>
      <c r="B4012" s="3">
        <f>IFERROR(__xludf.DUMMYFUNCTION("""COMPUTED_VALUE"""),8542.8)</f>
        <v>8542.8</v>
      </c>
      <c r="C4012" s="3">
        <f>IFERROR(__xludf.DUMMYFUNCTION("""COMPUTED_VALUE"""),8549.5)</f>
        <v>8549.5</v>
      </c>
      <c r="D4012" s="3">
        <f>IFERROR(__xludf.DUMMYFUNCTION("""COMPUTED_VALUE"""),8504.85)</f>
        <v>8504.85</v>
      </c>
      <c r="E4012" s="3">
        <f>IFERROR(__xludf.DUMMYFUNCTION("""COMPUTED_VALUE"""),8514.0)</f>
        <v>8514</v>
      </c>
      <c r="F4012" s="3">
        <f>IFERROR(__xludf.DUMMYFUNCTION("""COMPUTED_VALUE"""),0.0)</f>
        <v>0</v>
      </c>
    </row>
    <row r="4013">
      <c r="A4013" s="7">
        <f>IFERROR(__xludf.DUMMYFUNCTION("""COMPUTED_VALUE"""),42677.64583333333)</f>
        <v>42677.64583</v>
      </c>
      <c r="B4013" s="3">
        <f>IFERROR(__xludf.DUMMYFUNCTION("""COMPUTED_VALUE"""),8499.85)</f>
        <v>8499.85</v>
      </c>
      <c r="C4013" s="3">
        <f>IFERROR(__xludf.DUMMYFUNCTION("""COMPUTED_VALUE"""),8537.65)</f>
        <v>8537.65</v>
      </c>
      <c r="D4013" s="3">
        <f>IFERROR(__xludf.DUMMYFUNCTION("""COMPUTED_VALUE"""),8476.15)</f>
        <v>8476.15</v>
      </c>
      <c r="E4013" s="3">
        <f>IFERROR(__xludf.DUMMYFUNCTION("""COMPUTED_VALUE"""),8484.95)</f>
        <v>8484.95</v>
      </c>
      <c r="F4013" s="3">
        <f>IFERROR(__xludf.DUMMYFUNCTION("""COMPUTED_VALUE"""),0.0)</f>
        <v>0</v>
      </c>
    </row>
    <row r="4014">
      <c r="A4014" s="7">
        <f>IFERROR(__xludf.DUMMYFUNCTION("""COMPUTED_VALUE"""),42678.64583333333)</f>
        <v>42678.64583</v>
      </c>
      <c r="B4014" s="3">
        <f>IFERROR(__xludf.DUMMYFUNCTION("""COMPUTED_VALUE"""),8503.6)</f>
        <v>8503.6</v>
      </c>
      <c r="C4014" s="3">
        <f>IFERROR(__xludf.DUMMYFUNCTION("""COMPUTED_VALUE"""),8504.0)</f>
        <v>8504</v>
      </c>
      <c r="D4014" s="3">
        <f>IFERROR(__xludf.DUMMYFUNCTION("""COMPUTED_VALUE"""),8400.25)</f>
        <v>8400.25</v>
      </c>
      <c r="E4014" s="3">
        <f>IFERROR(__xludf.DUMMYFUNCTION("""COMPUTED_VALUE"""),8433.75)</f>
        <v>8433.75</v>
      </c>
      <c r="F4014" s="3">
        <f>IFERROR(__xludf.DUMMYFUNCTION("""COMPUTED_VALUE"""),0.0)</f>
        <v>0</v>
      </c>
    </row>
    <row r="4015">
      <c r="A4015" s="7">
        <f>IFERROR(__xludf.DUMMYFUNCTION("""COMPUTED_VALUE"""),42681.64583333333)</f>
        <v>42681.64583</v>
      </c>
      <c r="B4015" s="3">
        <f>IFERROR(__xludf.DUMMYFUNCTION("""COMPUTED_VALUE"""),8535.75)</f>
        <v>8535.75</v>
      </c>
      <c r="C4015" s="3">
        <f>IFERROR(__xludf.DUMMYFUNCTION("""COMPUTED_VALUE"""),8535.85)</f>
        <v>8535.85</v>
      </c>
      <c r="D4015" s="3">
        <f>IFERROR(__xludf.DUMMYFUNCTION("""COMPUTED_VALUE"""),8481.45)</f>
        <v>8481.45</v>
      </c>
      <c r="E4015" s="3">
        <f>IFERROR(__xludf.DUMMYFUNCTION("""COMPUTED_VALUE"""),8497.05)</f>
        <v>8497.05</v>
      </c>
      <c r="F4015" s="3">
        <f>IFERROR(__xludf.DUMMYFUNCTION("""COMPUTED_VALUE"""),0.0)</f>
        <v>0</v>
      </c>
    </row>
    <row r="4016">
      <c r="A4016" s="7">
        <f>IFERROR(__xludf.DUMMYFUNCTION("""COMPUTED_VALUE"""),42682.64583333333)</f>
        <v>42682.64583</v>
      </c>
      <c r="B4016" s="3">
        <f>IFERROR(__xludf.DUMMYFUNCTION("""COMPUTED_VALUE"""),8540.0)</f>
        <v>8540</v>
      </c>
      <c r="C4016" s="3">
        <f>IFERROR(__xludf.DUMMYFUNCTION("""COMPUTED_VALUE"""),8559.4)</f>
        <v>8559.4</v>
      </c>
      <c r="D4016" s="3">
        <f>IFERROR(__xludf.DUMMYFUNCTION("""COMPUTED_VALUE"""),8480.1)</f>
        <v>8480.1</v>
      </c>
      <c r="E4016" s="3">
        <f>IFERROR(__xludf.DUMMYFUNCTION("""COMPUTED_VALUE"""),8543.55)</f>
        <v>8543.55</v>
      </c>
      <c r="F4016" s="3">
        <f>IFERROR(__xludf.DUMMYFUNCTION("""COMPUTED_VALUE"""),0.0)</f>
        <v>0</v>
      </c>
    </row>
    <row r="4017">
      <c r="A4017" s="7">
        <f>IFERROR(__xludf.DUMMYFUNCTION("""COMPUTED_VALUE"""),42683.64583333333)</f>
        <v>42683.64583</v>
      </c>
      <c r="B4017" s="3">
        <f>IFERROR(__xludf.DUMMYFUNCTION("""COMPUTED_VALUE"""),8067.5)</f>
        <v>8067.5</v>
      </c>
      <c r="C4017" s="3">
        <f>IFERROR(__xludf.DUMMYFUNCTION("""COMPUTED_VALUE"""),8476.2)</f>
        <v>8476.2</v>
      </c>
      <c r="D4017" s="3">
        <f>IFERROR(__xludf.DUMMYFUNCTION("""COMPUTED_VALUE"""),8002.25)</f>
        <v>8002.25</v>
      </c>
      <c r="E4017" s="3">
        <f>IFERROR(__xludf.DUMMYFUNCTION("""COMPUTED_VALUE"""),8432.0)</f>
        <v>8432</v>
      </c>
      <c r="F4017" s="3">
        <f>IFERROR(__xludf.DUMMYFUNCTION("""COMPUTED_VALUE"""),0.0)</f>
        <v>0</v>
      </c>
    </row>
    <row r="4018">
      <c r="A4018" s="7">
        <f>IFERROR(__xludf.DUMMYFUNCTION("""COMPUTED_VALUE"""),42684.64583333333)</f>
        <v>42684.64583</v>
      </c>
      <c r="B4018" s="3">
        <f>IFERROR(__xludf.DUMMYFUNCTION("""COMPUTED_VALUE"""),8555.6)</f>
        <v>8555.6</v>
      </c>
      <c r="C4018" s="3">
        <f>IFERROR(__xludf.DUMMYFUNCTION("""COMPUTED_VALUE"""),8598.45)</f>
        <v>8598.45</v>
      </c>
      <c r="D4018" s="3">
        <f>IFERROR(__xludf.DUMMYFUNCTION("""COMPUTED_VALUE"""),8510.7)</f>
        <v>8510.7</v>
      </c>
      <c r="E4018" s="3">
        <f>IFERROR(__xludf.DUMMYFUNCTION("""COMPUTED_VALUE"""),8525.75)</f>
        <v>8525.75</v>
      </c>
      <c r="F4018" s="3">
        <f>IFERROR(__xludf.DUMMYFUNCTION("""COMPUTED_VALUE"""),0.0)</f>
        <v>0</v>
      </c>
    </row>
    <row r="4019">
      <c r="A4019" s="7">
        <f>IFERROR(__xludf.DUMMYFUNCTION("""COMPUTED_VALUE"""),42685.64583333333)</f>
        <v>42685.64583</v>
      </c>
      <c r="B4019" s="3">
        <f>IFERROR(__xludf.DUMMYFUNCTION("""COMPUTED_VALUE"""),8456.65)</f>
        <v>8456.65</v>
      </c>
      <c r="C4019" s="3">
        <f>IFERROR(__xludf.DUMMYFUNCTION("""COMPUTED_VALUE"""),8460.6)</f>
        <v>8460.6</v>
      </c>
      <c r="D4019" s="3">
        <f>IFERROR(__xludf.DUMMYFUNCTION("""COMPUTED_VALUE"""),8284.95)</f>
        <v>8284.95</v>
      </c>
      <c r="E4019" s="3">
        <f>IFERROR(__xludf.DUMMYFUNCTION("""COMPUTED_VALUE"""),8296.3)</f>
        <v>8296.3</v>
      </c>
      <c r="F4019" s="3">
        <f>IFERROR(__xludf.DUMMYFUNCTION("""COMPUTED_VALUE"""),0.0)</f>
        <v>0</v>
      </c>
    </row>
    <row r="4020">
      <c r="A4020" s="7">
        <f>IFERROR(__xludf.DUMMYFUNCTION("""COMPUTED_VALUE"""),42689.64583333333)</f>
        <v>42689.64583</v>
      </c>
      <c r="B4020" s="3">
        <f>IFERROR(__xludf.DUMMYFUNCTION("""COMPUTED_VALUE"""),8284.85)</f>
        <v>8284.85</v>
      </c>
      <c r="C4020" s="3">
        <f>IFERROR(__xludf.DUMMYFUNCTION("""COMPUTED_VALUE"""),8288.55)</f>
        <v>8288.55</v>
      </c>
      <c r="D4020" s="3">
        <f>IFERROR(__xludf.DUMMYFUNCTION("""COMPUTED_VALUE"""),8093.2)</f>
        <v>8093.2</v>
      </c>
      <c r="E4020" s="3">
        <f>IFERROR(__xludf.DUMMYFUNCTION("""COMPUTED_VALUE"""),8108.45)</f>
        <v>8108.45</v>
      </c>
      <c r="F4020" s="3">
        <f>IFERROR(__xludf.DUMMYFUNCTION("""COMPUTED_VALUE"""),0.0)</f>
        <v>0</v>
      </c>
    </row>
    <row r="4021">
      <c r="A4021" s="7">
        <f>IFERROR(__xludf.DUMMYFUNCTION("""COMPUTED_VALUE"""),42690.64583333333)</f>
        <v>42690.64583</v>
      </c>
      <c r="B4021" s="3">
        <f>IFERROR(__xludf.DUMMYFUNCTION("""COMPUTED_VALUE"""),8205.65)</f>
        <v>8205.65</v>
      </c>
      <c r="C4021" s="3">
        <f>IFERROR(__xludf.DUMMYFUNCTION("""COMPUTED_VALUE"""),8210.05)</f>
        <v>8210.05</v>
      </c>
      <c r="D4021" s="3">
        <f>IFERROR(__xludf.DUMMYFUNCTION("""COMPUTED_VALUE"""),8089.4)</f>
        <v>8089.4</v>
      </c>
      <c r="E4021" s="3">
        <f>IFERROR(__xludf.DUMMYFUNCTION("""COMPUTED_VALUE"""),8111.6)</f>
        <v>8111.6</v>
      </c>
      <c r="F4021" s="3">
        <f>IFERROR(__xludf.DUMMYFUNCTION("""COMPUTED_VALUE"""),0.0)</f>
        <v>0</v>
      </c>
    </row>
    <row r="4022">
      <c r="A4022" s="7">
        <f>IFERROR(__xludf.DUMMYFUNCTION("""COMPUTED_VALUE"""),42691.64583333333)</f>
        <v>42691.64583</v>
      </c>
      <c r="B4022" s="3">
        <f>IFERROR(__xludf.DUMMYFUNCTION("""COMPUTED_VALUE"""),8105.1)</f>
        <v>8105.1</v>
      </c>
      <c r="C4022" s="3">
        <f>IFERROR(__xludf.DUMMYFUNCTION("""COMPUTED_VALUE"""),8151.25)</f>
        <v>8151.25</v>
      </c>
      <c r="D4022" s="3">
        <f>IFERROR(__xludf.DUMMYFUNCTION("""COMPUTED_VALUE"""),8060.3)</f>
        <v>8060.3</v>
      </c>
      <c r="E4022" s="3">
        <f>IFERROR(__xludf.DUMMYFUNCTION("""COMPUTED_VALUE"""),8079.95)</f>
        <v>8079.95</v>
      </c>
      <c r="F4022" s="3">
        <f>IFERROR(__xludf.DUMMYFUNCTION("""COMPUTED_VALUE"""),0.0)</f>
        <v>0</v>
      </c>
    </row>
    <row r="4023">
      <c r="A4023" s="7">
        <f>IFERROR(__xludf.DUMMYFUNCTION("""COMPUTED_VALUE"""),42692.64583333333)</f>
        <v>42692.64583</v>
      </c>
      <c r="B4023" s="3">
        <f>IFERROR(__xludf.DUMMYFUNCTION("""COMPUTED_VALUE"""),8097.55)</f>
        <v>8097.55</v>
      </c>
      <c r="C4023" s="3">
        <f>IFERROR(__xludf.DUMMYFUNCTION("""COMPUTED_VALUE"""),8128.95)</f>
        <v>8128.95</v>
      </c>
      <c r="D4023" s="3">
        <f>IFERROR(__xludf.DUMMYFUNCTION("""COMPUTED_VALUE"""),8048.3)</f>
        <v>8048.3</v>
      </c>
      <c r="E4023" s="3">
        <f>IFERROR(__xludf.DUMMYFUNCTION("""COMPUTED_VALUE"""),8074.1)</f>
        <v>8074.1</v>
      </c>
      <c r="F4023" s="3">
        <f>IFERROR(__xludf.DUMMYFUNCTION("""COMPUTED_VALUE"""),0.0)</f>
        <v>0</v>
      </c>
    </row>
    <row r="4024">
      <c r="A4024" s="7">
        <f>IFERROR(__xludf.DUMMYFUNCTION("""COMPUTED_VALUE"""),42695.64583333333)</f>
        <v>42695.64583</v>
      </c>
      <c r="B4024" s="3">
        <f>IFERROR(__xludf.DUMMYFUNCTION("""COMPUTED_VALUE"""),8102.1)</f>
        <v>8102.1</v>
      </c>
      <c r="C4024" s="3">
        <f>IFERROR(__xludf.DUMMYFUNCTION("""COMPUTED_VALUE"""),8102.45)</f>
        <v>8102.45</v>
      </c>
      <c r="D4024" s="3">
        <f>IFERROR(__xludf.DUMMYFUNCTION("""COMPUTED_VALUE"""),7916.4)</f>
        <v>7916.4</v>
      </c>
      <c r="E4024" s="3">
        <f>IFERROR(__xludf.DUMMYFUNCTION("""COMPUTED_VALUE"""),7929.1)</f>
        <v>7929.1</v>
      </c>
      <c r="F4024" s="3">
        <f>IFERROR(__xludf.DUMMYFUNCTION("""COMPUTED_VALUE"""),0.0)</f>
        <v>0</v>
      </c>
    </row>
    <row r="4025">
      <c r="A4025" s="7">
        <f>IFERROR(__xludf.DUMMYFUNCTION("""COMPUTED_VALUE"""),42696.64583333333)</f>
        <v>42696.64583</v>
      </c>
      <c r="B4025" s="3">
        <f>IFERROR(__xludf.DUMMYFUNCTION("""COMPUTED_VALUE"""),7989.15)</f>
        <v>7989.15</v>
      </c>
      <c r="C4025" s="3">
        <f>IFERROR(__xludf.DUMMYFUNCTION("""COMPUTED_VALUE"""),8019.05)</f>
        <v>8019.05</v>
      </c>
      <c r="D4025" s="3">
        <f>IFERROR(__xludf.DUMMYFUNCTION("""COMPUTED_VALUE"""),7938.15)</f>
        <v>7938.15</v>
      </c>
      <c r="E4025" s="3">
        <f>IFERROR(__xludf.DUMMYFUNCTION("""COMPUTED_VALUE"""),8002.3)</f>
        <v>8002.3</v>
      </c>
      <c r="F4025" s="3">
        <f>IFERROR(__xludf.DUMMYFUNCTION("""COMPUTED_VALUE"""),0.0)</f>
        <v>0</v>
      </c>
    </row>
    <row r="4026">
      <c r="A4026" s="7">
        <f>IFERROR(__xludf.DUMMYFUNCTION("""COMPUTED_VALUE"""),42697.64583333333)</f>
        <v>42697.64583</v>
      </c>
      <c r="B4026" s="3">
        <f>IFERROR(__xludf.DUMMYFUNCTION("""COMPUTED_VALUE"""),8051.2)</f>
        <v>8051.2</v>
      </c>
      <c r="C4026" s="3">
        <f>IFERROR(__xludf.DUMMYFUNCTION("""COMPUTED_VALUE"""),8055.2)</f>
        <v>8055.2</v>
      </c>
      <c r="D4026" s="3">
        <f>IFERROR(__xludf.DUMMYFUNCTION("""COMPUTED_VALUE"""),7973.1)</f>
        <v>7973.1</v>
      </c>
      <c r="E4026" s="3">
        <f>IFERROR(__xludf.DUMMYFUNCTION("""COMPUTED_VALUE"""),8033.3)</f>
        <v>8033.3</v>
      </c>
      <c r="F4026" s="3">
        <f>IFERROR(__xludf.DUMMYFUNCTION("""COMPUTED_VALUE"""),0.0)</f>
        <v>0</v>
      </c>
    </row>
    <row r="4027">
      <c r="A4027" s="7">
        <f>IFERROR(__xludf.DUMMYFUNCTION("""COMPUTED_VALUE"""),42698.64583333333)</f>
        <v>42698.64583</v>
      </c>
      <c r="B4027" s="3">
        <f>IFERROR(__xludf.DUMMYFUNCTION("""COMPUTED_VALUE"""),8011.8)</f>
        <v>8011.8</v>
      </c>
      <c r="C4027" s="3">
        <f>IFERROR(__xludf.DUMMYFUNCTION("""COMPUTED_VALUE"""),8024.85)</f>
        <v>8024.85</v>
      </c>
      <c r="D4027" s="3">
        <f>IFERROR(__xludf.DUMMYFUNCTION("""COMPUTED_VALUE"""),7952.55)</f>
        <v>7952.55</v>
      </c>
      <c r="E4027" s="3">
        <f>IFERROR(__xludf.DUMMYFUNCTION("""COMPUTED_VALUE"""),7965.5)</f>
        <v>7965.5</v>
      </c>
      <c r="F4027" s="3">
        <f>IFERROR(__xludf.DUMMYFUNCTION("""COMPUTED_VALUE"""),0.0)</f>
        <v>0</v>
      </c>
    </row>
    <row r="4028">
      <c r="A4028" s="7">
        <f>IFERROR(__xludf.DUMMYFUNCTION("""COMPUTED_VALUE"""),42699.64583333333)</f>
        <v>42699.64583</v>
      </c>
      <c r="B4028" s="3">
        <f>IFERROR(__xludf.DUMMYFUNCTION("""COMPUTED_VALUE"""),8007.95)</f>
        <v>8007.95</v>
      </c>
      <c r="C4028" s="3">
        <f>IFERROR(__xludf.DUMMYFUNCTION("""COMPUTED_VALUE"""),8122.25)</f>
        <v>8122.25</v>
      </c>
      <c r="D4028" s="3">
        <f>IFERROR(__xludf.DUMMYFUNCTION("""COMPUTED_VALUE"""),7976.75)</f>
        <v>7976.75</v>
      </c>
      <c r="E4028" s="3">
        <f>IFERROR(__xludf.DUMMYFUNCTION("""COMPUTED_VALUE"""),8114.3)</f>
        <v>8114.3</v>
      </c>
      <c r="F4028" s="3">
        <f>IFERROR(__xludf.DUMMYFUNCTION("""COMPUTED_VALUE"""),0.0)</f>
        <v>0</v>
      </c>
    </row>
    <row r="4029">
      <c r="A4029" s="7">
        <f>IFERROR(__xludf.DUMMYFUNCTION("""COMPUTED_VALUE"""),42702.64583333333)</f>
        <v>42702.64583</v>
      </c>
      <c r="B4029" s="3">
        <f>IFERROR(__xludf.DUMMYFUNCTION("""COMPUTED_VALUE"""),8080.65)</f>
        <v>8080.65</v>
      </c>
      <c r="C4029" s="3">
        <f>IFERROR(__xludf.DUMMYFUNCTION("""COMPUTED_VALUE"""),8146.5)</f>
        <v>8146.5</v>
      </c>
      <c r="D4029" s="3">
        <f>IFERROR(__xludf.DUMMYFUNCTION("""COMPUTED_VALUE"""),8066.5)</f>
        <v>8066.5</v>
      </c>
      <c r="E4029" s="3">
        <f>IFERROR(__xludf.DUMMYFUNCTION("""COMPUTED_VALUE"""),8126.9)</f>
        <v>8126.9</v>
      </c>
      <c r="F4029" s="3">
        <f>IFERROR(__xludf.DUMMYFUNCTION("""COMPUTED_VALUE"""),0.0)</f>
        <v>0</v>
      </c>
    </row>
    <row r="4030">
      <c r="A4030" s="7">
        <f>IFERROR(__xludf.DUMMYFUNCTION("""COMPUTED_VALUE"""),42703.64583333333)</f>
        <v>42703.64583</v>
      </c>
      <c r="B4030" s="3">
        <f>IFERROR(__xludf.DUMMYFUNCTION("""COMPUTED_VALUE"""),8131.55)</f>
        <v>8131.55</v>
      </c>
      <c r="C4030" s="3">
        <f>IFERROR(__xludf.DUMMYFUNCTION("""COMPUTED_VALUE"""),8197.35)</f>
        <v>8197.35</v>
      </c>
      <c r="D4030" s="3">
        <f>IFERROR(__xludf.DUMMYFUNCTION("""COMPUTED_VALUE"""),8128.7)</f>
        <v>8128.7</v>
      </c>
      <c r="E4030" s="3">
        <f>IFERROR(__xludf.DUMMYFUNCTION("""COMPUTED_VALUE"""),8142.15)</f>
        <v>8142.15</v>
      </c>
      <c r="F4030" s="3">
        <f>IFERROR(__xludf.DUMMYFUNCTION("""COMPUTED_VALUE"""),0.0)</f>
        <v>0</v>
      </c>
    </row>
    <row r="4031">
      <c r="A4031" s="7">
        <f>IFERROR(__xludf.DUMMYFUNCTION("""COMPUTED_VALUE"""),42704.64583333333)</f>
        <v>42704.64583</v>
      </c>
      <c r="B4031" s="3">
        <f>IFERROR(__xludf.DUMMYFUNCTION("""COMPUTED_VALUE"""),8172.15)</f>
        <v>8172.15</v>
      </c>
      <c r="C4031" s="3">
        <f>IFERROR(__xludf.DUMMYFUNCTION("""COMPUTED_VALUE"""),8234.25)</f>
        <v>8234.25</v>
      </c>
      <c r="D4031" s="3">
        <f>IFERROR(__xludf.DUMMYFUNCTION("""COMPUTED_VALUE"""),8139.25)</f>
        <v>8139.25</v>
      </c>
      <c r="E4031" s="3">
        <f>IFERROR(__xludf.DUMMYFUNCTION("""COMPUTED_VALUE"""),8224.5)</f>
        <v>8224.5</v>
      </c>
      <c r="F4031" s="3">
        <f>IFERROR(__xludf.DUMMYFUNCTION("""COMPUTED_VALUE"""),0.0)</f>
        <v>0</v>
      </c>
    </row>
    <row r="4032">
      <c r="A4032" s="7">
        <f>IFERROR(__xludf.DUMMYFUNCTION("""COMPUTED_VALUE"""),42705.64583333333)</f>
        <v>42705.64583</v>
      </c>
      <c r="B4032" s="3">
        <f>IFERROR(__xludf.DUMMYFUNCTION("""COMPUTED_VALUE"""),8244.0)</f>
        <v>8244</v>
      </c>
      <c r="C4032" s="3">
        <f>IFERROR(__xludf.DUMMYFUNCTION("""COMPUTED_VALUE"""),8250.8)</f>
        <v>8250.8</v>
      </c>
      <c r="D4032" s="3">
        <f>IFERROR(__xludf.DUMMYFUNCTION("""COMPUTED_VALUE"""),8185.05)</f>
        <v>8185.05</v>
      </c>
      <c r="E4032" s="3">
        <f>IFERROR(__xludf.DUMMYFUNCTION("""COMPUTED_VALUE"""),8192.9)</f>
        <v>8192.9</v>
      </c>
      <c r="F4032" s="3">
        <f>IFERROR(__xludf.DUMMYFUNCTION("""COMPUTED_VALUE"""),0.0)</f>
        <v>0</v>
      </c>
    </row>
    <row r="4033">
      <c r="A4033" s="7">
        <f>IFERROR(__xludf.DUMMYFUNCTION("""COMPUTED_VALUE"""),42706.64583333333)</f>
        <v>42706.64583</v>
      </c>
      <c r="B4033" s="3">
        <f>IFERROR(__xludf.DUMMYFUNCTION("""COMPUTED_VALUE"""),8153.55)</f>
        <v>8153.55</v>
      </c>
      <c r="C4033" s="3">
        <f>IFERROR(__xludf.DUMMYFUNCTION("""COMPUTED_VALUE"""),8159.3)</f>
        <v>8159.3</v>
      </c>
      <c r="D4033" s="3">
        <f>IFERROR(__xludf.DUMMYFUNCTION("""COMPUTED_VALUE"""),8070.05)</f>
        <v>8070.05</v>
      </c>
      <c r="E4033" s="3">
        <f>IFERROR(__xludf.DUMMYFUNCTION("""COMPUTED_VALUE"""),8086.8)</f>
        <v>8086.8</v>
      </c>
      <c r="F4033" s="3">
        <f>IFERROR(__xludf.DUMMYFUNCTION("""COMPUTED_VALUE"""),0.0)</f>
        <v>0</v>
      </c>
    </row>
    <row r="4034">
      <c r="A4034" s="7">
        <f>IFERROR(__xludf.DUMMYFUNCTION("""COMPUTED_VALUE"""),42709.64583333333)</f>
        <v>42709.64583</v>
      </c>
      <c r="B4034" s="3">
        <f>IFERROR(__xludf.DUMMYFUNCTION("""COMPUTED_VALUE"""),8088.75)</f>
        <v>8088.75</v>
      </c>
      <c r="C4034" s="3">
        <f>IFERROR(__xludf.DUMMYFUNCTION("""COMPUTED_VALUE"""),8141.9)</f>
        <v>8141.9</v>
      </c>
      <c r="D4034" s="3">
        <f>IFERROR(__xludf.DUMMYFUNCTION("""COMPUTED_VALUE"""),8056.85)</f>
        <v>8056.85</v>
      </c>
      <c r="E4034" s="3">
        <f>IFERROR(__xludf.DUMMYFUNCTION("""COMPUTED_VALUE"""),8128.75)</f>
        <v>8128.75</v>
      </c>
      <c r="F4034" s="3">
        <f>IFERROR(__xludf.DUMMYFUNCTION("""COMPUTED_VALUE"""),0.0)</f>
        <v>0</v>
      </c>
    </row>
    <row r="4035">
      <c r="A4035" s="7">
        <f>IFERROR(__xludf.DUMMYFUNCTION("""COMPUTED_VALUE"""),42710.64583333333)</f>
        <v>42710.64583</v>
      </c>
      <c r="B4035" s="3">
        <f>IFERROR(__xludf.DUMMYFUNCTION("""COMPUTED_VALUE"""),8153.15)</f>
        <v>8153.15</v>
      </c>
      <c r="C4035" s="3">
        <f>IFERROR(__xludf.DUMMYFUNCTION("""COMPUTED_VALUE"""),8178.7)</f>
        <v>8178.7</v>
      </c>
      <c r="D4035" s="3">
        <f>IFERROR(__xludf.DUMMYFUNCTION("""COMPUTED_VALUE"""),8130.85)</f>
        <v>8130.85</v>
      </c>
      <c r="E4035" s="3">
        <f>IFERROR(__xludf.DUMMYFUNCTION("""COMPUTED_VALUE"""),8143.15)</f>
        <v>8143.15</v>
      </c>
      <c r="F4035" s="3">
        <f>IFERROR(__xludf.DUMMYFUNCTION("""COMPUTED_VALUE"""),0.0)</f>
        <v>0</v>
      </c>
    </row>
    <row r="4036">
      <c r="A4036" s="7">
        <f>IFERROR(__xludf.DUMMYFUNCTION("""COMPUTED_VALUE"""),42711.64583333333)</f>
        <v>42711.64583</v>
      </c>
      <c r="B4036" s="3">
        <f>IFERROR(__xludf.DUMMYFUNCTION("""COMPUTED_VALUE"""),8168.4)</f>
        <v>8168.4</v>
      </c>
      <c r="C4036" s="3">
        <f>IFERROR(__xludf.DUMMYFUNCTION("""COMPUTED_VALUE"""),8190.45)</f>
        <v>8190.45</v>
      </c>
      <c r="D4036" s="3">
        <f>IFERROR(__xludf.DUMMYFUNCTION("""COMPUTED_VALUE"""),8077.5)</f>
        <v>8077.5</v>
      </c>
      <c r="E4036" s="3">
        <f>IFERROR(__xludf.DUMMYFUNCTION("""COMPUTED_VALUE"""),8102.05)</f>
        <v>8102.05</v>
      </c>
      <c r="F4036" s="3">
        <f>IFERROR(__xludf.DUMMYFUNCTION("""COMPUTED_VALUE"""),0.0)</f>
        <v>0</v>
      </c>
    </row>
    <row r="4037">
      <c r="A4037" s="7">
        <f>IFERROR(__xludf.DUMMYFUNCTION("""COMPUTED_VALUE"""),42712.64583333333)</f>
        <v>42712.64583</v>
      </c>
      <c r="B4037" s="3">
        <f>IFERROR(__xludf.DUMMYFUNCTION("""COMPUTED_VALUE"""),8152.1)</f>
        <v>8152.1</v>
      </c>
      <c r="C4037" s="3">
        <f>IFERROR(__xludf.DUMMYFUNCTION("""COMPUTED_VALUE"""),8256.25)</f>
        <v>8256.25</v>
      </c>
      <c r="D4037" s="3">
        <f>IFERROR(__xludf.DUMMYFUNCTION("""COMPUTED_VALUE"""),8151.75)</f>
        <v>8151.75</v>
      </c>
      <c r="E4037" s="3">
        <f>IFERROR(__xludf.DUMMYFUNCTION("""COMPUTED_VALUE"""),8246.85)</f>
        <v>8246.85</v>
      </c>
      <c r="F4037" s="3">
        <f>IFERROR(__xludf.DUMMYFUNCTION("""COMPUTED_VALUE"""),0.0)</f>
        <v>0</v>
      </c>
    </row>
    <row r="4038">
      <c r="A4038" s="7">
        <f>IFERROR(__xludf.DUMMYFUNCTION("""COMPUTED_VALUE"""),42713.64583333333)</f>
        <v>42713.64583</v>
      </c>
      <c r="B4038" s="3">
        <f>IFERROR(__xludf.DUMMYFUNCTION("""COMPUTED_VALUE"""),8271.7)</f>
        <v>8271.7</v>
      </c>
      <c r="C4038" s="3">
        <f>IFERROR(__xludf.DUMMYFUNCTION("""COMPUTED_VALUE"""),8274.95)</f>
        <v>8274.95</v>
      </c>
      <c r="D4038" s="3">
        <f>IFERROR(__xludf.DUMMYFUNCTION("""COMPUTED_VALUE"""),8241.95)</f>
        <v>8241.95</v>
      </c>
      <c r="E4038" s="3">
        <f>IFERROR(__xludf.DUMMYFUNCTION("""COMPUTED_VALUE"""),8261.75)</f>
        <v>8261.75</v>
      </c>
      <c r="F4038" s="3">
        <f>IFERROR(__xludf.DUMMYFUNCTION("""COMPUTED_VALUE"""),0.0)</f>
        <v>0</v>
      </c>
    </row>
    <row r="4039">
      <c r="A4039" s="7">
        <f>IFERROR(__xludf.DUMMYFUNCTION("""COMPUTED_VALUE"""),42716.64583333333)</f>
        <v>42716.64583</v>
      </c>
      <c r="B4039" s="3">
        <f>IFERROR(__xludf.DUMMYFUNCTION("""COMPUTED_VALUE"""),8230.65)</f>
        <v>8230.65</v>
      </c>
      <c r="C4039" s="3">
        <f>IFERROR(__xludf.DUMMYFUNCTION("""COMPUTED_VALUE"""),8230.65)</f>
        <v>8230.65</v>
      </c>
      <c r="D4039" s="3">
        <f>IFERROR(__xludf.DUMMYFUNCTION("""COMPUTED_VALUE"""),8154.45)</f>
        <v>8154.45</v>
      </c>
      <c r="E4039" s="3">
        <f>IFERROR(__xludf.DUMMYFUNCTION("""COMPUTED_VALUE"""),8170.8)</f>
        <v>8170.8</v>
      </c>
      <c r="F4039" s="3">
        <f>IFERROR(__xludf.DUMMYFUNCTION("""COMPUTED_VALUE"""),0.0)</f>
        <v>0</v>
      </c>
    </row>
    <row r="4040">
      <c r="A4040" s="7">
        <f>IFERROR(__xludf.DUMMYFUNCTION("""COMPUTED_VALUE"""),42717.64583333333)</f>
        <v>42717.64583</v>
      </c>
      <c r="B4040" s="3">
        <f>IFERROR(__xludf.DUMMYFUNCTION("""COMPUTED_VALUE"""),8196.15)</f>
        <v>8196.15</v>
      </c>
      <c r="C4040" s="3">
        <f>IFERROR(__xludf.DUMMYFUNCTION("""COMPUTED_VALUE"""),8228.85)</f>
        <v>8228.85</v>
      </c>
      <c r="D4040" s="3">
        <f>IFERROR(__xludf.DUMMYFUNCTION("""COMPUTED_VALUE"""),8155.8)</f>
        <v>8155.8</v>
      </c>
      <c r="E4040" s="3">
        <f>IFERROR(__xludf.DUMMYFUNCTION("""COMPUTED_VALUE"""),8221.8)</f>
        <v>8221.8</v>
      </c>
      <c r="F4040" s="3">
        <f>IFERROR(__xludf.DUMMYFUNCTION("""COMPUTED_VALUE"""),0.0)</f>
        <v>0</v>
      </c>
    </row>
    <row r="4041">
      <c r="A4041" s="7">
        <f>IFERROR(__xludf.DUMMYFUNCTION("""COMPUTED_VALUE"""),42718.64583333333)</f>
        <v>42718.64583</v>
      </c>
      <c r="B4041" s="3">
        <f>IFERROR(__xludf.DUMMYFUNCTION("""COMPUTED_VALUE"""),8229.35)</f>
        <v>8229.35</v>
      </c>
      <c r="C4041" s="3">
        <f>IFERROR(__xludf.DUMMYFUNCTION("""COMPUTED_VALUE"""),8229.4)</f>
        <v>8229.4</v>
      </c>
      <c r="D4041" s="3">
        <f>IFERROR(__xludf.DUMMYFUNCTION("""COMPUTED_VALUE"""),8165.1)</f>
        <v>8165.1</v>
      </c>
      <c r="E4041" s="3">
        <f>IFERROR(__xludf.DUMMYFUNCTION("""COMPUTED_VALUE"""),8182.45)</f>
        <v>8182.45</v>
      </c>
      <c r="F4041" s="3">
        <f>IFERROR(__xludf.DUMMYFUNCTION("""COMPUTED_VALUE"""),0.0)</f>
        <v>0</v>
      </c>
    </row>
    <row r="4042">
      <c r="A4042" s="7">
        <f>IFERROR(__xludf.DUMMYFUNCTION("""COMPUTED_VALUE"""),42719.64583333333)</f>
        <v>42719.64583</v>
      </c>
      <c r="B4042" s="3">
        <f>IFERROR(__xludf.DUMMYFUNCTION("""COMPUTED_VALUE"""),8128.4)</f>
        <v>8128.4</v>
      </c>
      <c r="C4042" s="3">
        <f>IFERROR(__xludf.DUMMYFUNCTION("""COMPUTED_VALUE"""),8225.9)</f>
        <v>8225.9</v>
      </c>
      <c r="D4042" s="3">
        <f>IFERROR(__xludf.DUMMYFUNCTION("""COMPUTED_VALUE"""),8121.95)</f>
        <v>8121.95</v>
      </c>
      <c r="E4042" s="3">
        <f>IFERROR(__xludf.DUMMYFUNCTION("""COMPUTED_VALUE"""),8153.6)</f>
        <v>8153.6</v>
      </c>
      <c r="F4042" s="3">
        <f>IFERROR(__xludf.DUMMYFUNCTION("""COMPUTED_VALUE"""),0.0)</f>
        <v>0</v>
      </c>
    </row>
    <row r="4043">
      <c r="A4043" s="7">
        <f>IFERROR(__xludf.DUMMYFUNCTION("""COMPUTED_VALUE"""),42720.64583333333)</f>
        <v>42720.64583</v>
      </c>
      <c r="B4043" s="3">
        <f>IFERROR(__xludf.DUMMYFUNCTION("""COMPUTED_VALUE"""),8178.2)</f>
        <v>8178.2</v>
      </c>
      <c r="C4043" s="3">
        <f>IFERROR(__xludf.DUMMYFUNCTION("""COMPUTED_VALUE"""),8178.7)</f>
        <v>8178.7</v>
      </c>
      <c r="D4043" s="3">
        <f>IFERROR(__xludf.DUMMYFUNCTION("""COMPUTED_VALUE"""),8127.45)</f>
        <v>8127.45</v>
      </c>
      <c r="E4043" s="3">
        <f>IFERROR(__xludf.DUMMYFUNCTION("""COMPUTED_VALUE"""),8139.45)</f>
        <v>8139.45</v>
      </c>
      <c r="F4043" s="3">
        <f>IFERROR(__xludf.DUMMYFUNCTION("""COMPUTED_VALUE"""),0.0)</f>
        <v>0</v>
      </c>
    </row>
    <row r="4044">
      <c r="A4044" s="7">
        <f>IFERROR(__xludf.DUMMYFUNCTION("""COMPUTED_VALUE"""),42723.64583333333)</f>
        <v>42723.64583</v>
      </c>
      <c r="B4044" s="3">
        <f>IFERROR(__xludf.DUMMYFUNCTION("""COMPUTED_VALUE"""),8126.0)</f>
        <v>8126</v>
      </c>
      <c r="C4044" s="3">
        <f>IFERROR(__xludf.DUMMYFUNCTION("""COMPUTED_VALUE"""),8132.5)</f>
        <v>8132.5</v>
      </c>
      <c r="D4044" s="3">
        <f>IFERROR(__xludf.DUMMYFUNCTION("""COMPUTED_VALUE"""),8094.85)</f>
        <v>8094.85</v>
      </c>
      <c r="E4044" s="3">
        <f>IFERROR(__xludf.DUMMYFUNCTION("""COMPUTED_VALUE"""),8104.35)</f>
        <v>8104.35</v>
      </c>
      <c r="F4044" s="3">
        <f>IFERROR(__xludf.DUMMYFUNCTION("""COMPUTED_VALUE"""),0.0)</f>
        <v>0</v>
      </c>
    </row>
    <row r="4045">
      <c r="A4045" s="7">
        <f>IFERROR(__xludf.DUMMYFUNCTION("""COMPUTED_VALUE"""),42724.64583333333)</f>
        <v>42724.64583</v>
      </c>
      <c r="B4045" s="3">
        <f>IFERROR(__xludf.DUMMYFUNCTION("""COMPUTED_VALUE"""),8110.6)</f>
        <v>8110.6</v>
      </c>
      <c r="C4045" s="3">
        <f>IFERROR(__xludf.DUMMYFUNCTION("""COMPUTED_VALUE"""),8124.1)</f>
        <v>8124.1</v>
      </c>
      <c r="D4045" s="3">
        <f>IFERROR(__xludf.DUMMYFUNCTION("""COMPUTED_VALUE"""),8062.75)</f>
        <v>8062.75</v>
      </c>
      <c r="E4045" s="3">
        <f>IFERROR(__xludf.DUMMYFUNCTION("""COMPUTED_VALUE"""),8082.4)</f>
        <v>8082.4</v>
      </c>
      <c r="F4045" s="3">
        <f>IFERROR(__xludf.DUMMYFUNCTION("""COMPUTED_VALUE"""),0.0)</f>
        <v>0</v>
      </c>
    </row>
    <row r="4046">
      <c r="A4046" s="7">
        <f>IFERROR(__xludf.DUMMYFUNCTION("""COMPUTED_VALUE"""),42725.64583333333)</f>
        <v>42725.64583</v>
      </c>
      <c r="B4046" s="3">
        <f>IFERROR(__xludf.DUMMYFUNCTION("""COMPUTED_VALUE"""),8105.85)</f>
        <v>8105.85</v>
      </c>
      <c r="C4046" s="3">
        <f>IFERROR(__xludf.DUMMYFUNCTION("""COMPUTED_VALUE"""),8112.55)</f>
        <v>8112.55</v>
      </c>
      <c r="D4046" s="3">
        <f>IFERROR(__xludf.DUMMYFUNCTION("""COMPUTED_VALUE"""),8053.25)</f>
        <v>8053.25</v>
      </c>
      <c r="E4046" s="3">
        <f>IFERROR(__xludf.DUMMYFUNCTION("""COMPUTED_VALUE"""),8061.3)</f>
        <v>8061.3</v>
      </c>
      <c r="F4046" s="3">
        <f>IFERROR(__xludf.DUMMYFUNCTION("""COMPUTED_VALUE"""),0.0)</f>
        <v>0</v>
      </c>
    </row>
    <row r="4047">
      <c r="A4047" s="7">
        <f>IFERROR(__xludf.DUMMYFUNCTION("""COMPUTED_VALUE"""),42726.64583333333)</f>
        <v>42726.64583</v>
      </c>
      <c r="B4047" s="3">
        <f>IFERROR(__xludf.DUMMYFUNCTION("""COMPUTED_VALUE"""),8043.85)</f>
        <v>8043.85</v>
      </c>
      <c r="C4047" s="3">
        <f>IFERROR(__xludf.DUMMYFUNCTION("""COMPUTED_VALUE"""),8046.45)</f>
        <v>8046.45</v>
      </c>
      <c r="D4047" s="3">
        <f>IFERROR(__xludf.DUMMYFUNCTION("""COMPUTED_VALUE"""),7964.95)</f>
        <v>7964.95</v>
      </c>
      <c r="E4047" s="3">
        <f>IFERROR(__xludf.DUMMYFUNCTION("""COMPUTED_VALUE"""),7979.1)</f>
        <v>7979.1</v>
      </c>
      <c r="F4047" s="3">
        <f>IFERROR(__xludf.DUMMYFUNCTION("""COMPUTED_VALUE"""),0.0)</f>
        <v>0</v>
      </c>
    </row>
    <row r="4048">
      <c r="A4048" s="7">
        <f>IFERROR(__xludf.DUMMYFUNCTION("""COMPUTED_VALUE"""),42727.64583333333)</f>
        <v>42727.64583</v>
      </c>
      <c r="B4048" s="3">
        <f>IFERROR(__xludf.DUMMYFUNCTION("""COMPUTED_VALUE"""),7972.5)</f>
        <v>7972.5</v>
      </c>
      <c r="C4048" s="3">
        <f>IFERROR(__xludf.DUMMYFUNCTION("""COMPUTED_VALUE"""),8022.6)</f>
        <v>8022.6</v>
      </c>
      <c r="D4048" s="3">
        <f>IFERROR(__xludf.DUMMYFUNCTION("""COMPUTED_VALUE"""),7942.05)</f>
        <v>7942.05</v>
      </c>
      <c r="E4048" s="3">
        <f>IFERROR(__xludf.DUMMYFUNCTION("""COMPUTED_VALUE"""),7985.75)</f>
        <v>7985.75</v>
      </c>
      <c r="F4048" s="3">
        <f>IFERROR(__xludf.DUMMYFUNCTION("""COMPUTED_VALUE"""),0.0)</f>
        <v>0</v>
      </c>
    </row>
    <row r="4049">
      <c r="A4049" s="7">
        <f>IFERROR(__xludf.DUMMYFUNCTION("""COMPUTED_VALUE"""),42730.64583333333)</f>
        <v>42730.64583</v>
      </c>
      <c r="B4049" s="3">
        <f>IFERROR(__xludf.DUMMYFUNCTION("""COMPUTED_VALUE"""),7965.1)</f>
        <v>7965.1</v>
      </c>
      <c r="C4049" s="3">
        <f>IFERROR(__xludf.DUMMYFUNCTION("""COMPUTED_VALUE"""),7970.05)</f>
        <v>7970.05</v>
      </c>
      <c r="D4049" s="3">
        <f>IFERROR(__xludf.DUMMYFUNCTION("""COMPUTED_VALUE"""),7893.8)</f>
        <v>7893.8</v>
      </c>
      <c r="E4049" s="3">
        <f>IFERROR(__xludf.DUMMYFUNCTION("""COMPUTED_VALUE"""),7908.25)</f>
        <v>7908.25</v>
      </c>
      <c r="F4049" s="3">
        <f>IFERROR(__xludf.DUMMYFUNCTION("""COMPUTED_VALUE"""),0.0)</f>
        <v>0</v>
      </c>
    </row>
    <row r="4050">
      <c r="A4050" s="7">
        <f>IFERROR(__xludf.DUMMYFUNCTION("""COMPUTED_VALUE"""),42731.64583333333)</f>
        <v>42731.64583</v>
      </c>
      <c r="B4050" s="3">
        <f>IFERROR(__xludf.DUMMYFUNCTION("""COMPUTED_VALUE"""),7915.05)</f>
        <v>7915.05</v>
      </c>
      <c r="C4050" s="3">
        <f>IFERROR(__xludf.DUMMYFUNCTION("""COMPUTED_VALUE"""),8044.65)</f>
        <v>8044.65</v>
      </c>
      <c r="D4050" s="3">
        <f>IFERROR(__xludf.DUMMYFUNCTION("""COMPUTED_VALUE"""),7903.7)</f>
        <v>7903.7</v>
      </c>
      <c r="E4050" s="3">
        <f>IFERROR(__xludf.DUMMYFUNCTION("""COMPUTED_VALUE"""),8032.85)</f>
        <v>8032.85</v>
      </c>
      <c r="F4050" s="3">
        <f>IFERROR(__xludf.DUMMYFUNCTION("""COMPUTED_VALUE"""),0.0)</f>
        <v>0</v>
      </c>
    </row>
    <row r="4051">
      <c r="A4051" s="7">
        <f>IFERROR(__xludf.DUMMYFUNCTION("""COMPUTED_VALUE"""),42732.64583333333)</f>
        <v>42732.64583</v>
      </c>
      <c r="B4051" s="3">
        <f>IFERROR(__xludf.DUMMYFUNCTION("""COMPUTED_VALUE"""),8047.55)</f>
        <v>8047.55</v>
      </c>
      <c r="C4051" s="3">
        <f>IFERROR(__xludf.DUMMYFUNCTION("""COMPUTED_VALUE"""),8100.55)</f>
        <v>8100.55</v>
      </c>
      <c r="D4051" s="3">
        <f>IFERROR(__xludf.DUMMYFUNCTION("""COMPUTED_VALUE"""),8028.4)</f>
        <v>8028.4</v>
      </c>
      <c r="E4051" s="3">
        <f>IFERROR(__xludf.DUMMYFUNCTION("""COMPUTED_VALUE"""),8034.85)</f>
        <v>8034.85</v>
      </c>
      <c r="F4051" s="3">
        <f>IFERROR(__xludf.DUMMYFUNCTION("""COMPUTED_VALUE"""),0.0)</f>
        <v>0</v>
      </c>
    </row>
    <row r="4052">
      <c r="A4052" s="7">
        <f>IFERROR(__xludf.DUMMYFUNCTION("""COMPUTED_VALUE"""),42733.64583333333)</f>
        <v>42733.64583</v>
      </c>
      <c r="B4052" s="3">
        <f>IFERROR(__xludf.DUMMYFUNCTION("""COMPUTED_VALUE"""),8030.6)</f>
        <v>8030.6</v>
      </c>
      <c r="C4052" s="3">
        <f>IFERROR(__xludf.DUMMYFUNCTION("""COMPUTED_VALUE"""),8111.1)</f>
        <v>8111.1</v>
      </c>
      <c r="D4052" s="3">
        <f>IFERROR(__xludf.DUMMYFUNCTION("""COMPUTED_VALUE"""),8020.8)</f>
        <v>8020.8</v>
      </c>
      <c r="E4052" s="3">
        <f>IFERROR(__xludf.DUMMYFUNCTION("""COMPUTED_VALUE"""),8103.6)</f>
        <v>8103.6</v>
      </c>
      <c r="F4052" s="3">
        <f>IFERROR(__xludf.DUMMYFUNCTION("""COMPUTED_VALUE"""),0.0)</f>
        <v>0</v>
      </c>
    </row>
    <row r="4053">
      <c r="A4053" s="7">
        <f>IFERROR(__xludf.DUMMYFUNCTION("""COMPUTED_VALUE"""),42734.64583333333)</f>
        <v>42734.64583</v>
      </c>
      <c r="B4053" s="3">
        <f>IFERROR(__xludf.DUMMYFUNCTION("""COMPUTED_VALUE"""),8119.65)</f>
        <v>8119.65</v>
      </c>
      <c r="C4053" s="3">
        <f>IFERROR(__xludf.DUMMYFUNCTION("""COMPUTED_VALUE"""),8197.0)</f>
        <v>8197</v>
      </c>
      <c r="D4053" s="3">
        <f>IFERROR(__xludf.DUMMYFUNCTION("""COMPUTED_VALUE"""),8114.75)</f>
        <v>8114.75</v>
      </c>
      <c r="E4053" s="3">
        <f>IFERROR(__xludf.DUMMYFUNCTION("""COMPUTED_VALUE"""),8185.8)</f>
        <v>8185.8</v>
      </c>
      <c r="F4053" s="3">
        <f>IFERROR(__xludf.DUMMYFUNCTION("""COMPUTED_VALUE"""),0.0)</f>
        <v>0</v>
      </c>
    </row>
    <row r="4054">
      <c r="A4054" s="7">
        <f>IFERROR(__xludf.DUMMYFUNCTION("""COMPUTED_VALUE"""),42737.64583333333)</f>
        <v>42737.64583</v>
      </c>
      <c r="B4054" s="3">
        <f>IFERROR(__xludf.DUMMYFUNCTION("""COMPUTED_VALUE"""),8210.1)</f>
        <v>8210.1</v>
      </c>
      <c r="C4054" s="3">
        <f>IFERROR(__xludf.DUMMYFUNCTION("""COMPUTED_VALUE"""),8212.0)</f>
        <v>8212</v>
      </c>
      <c r="D4054" s="3">
        <f>IFERROR(__xludf.DUMMYFUNCTION("""COMPUTED_VALUE"""),8133.8)</f>
        <v>8133.8</v>
      </c>
      <c r="E4054" s="3">
        <f>IFERROR(__xludf.DUMMYFUNCTION("""COMPUTED_VALUE"""),8179.5)</f>
        <v>8179.5</v>
      </c>
      <c r="F4054" s="3">
        <f>IFERROR(__xludf.DUMMYFUNCTION("""COMPUTED_VALUE"""),0.0)</f>
        <v>0</v>
      </c>
    </row>
    <row r="4055">
      <c r="A4055" s="7">
        <f>IFERROR(__xludf.DUMMYFUNCTION("""COMPUTED_VALUE"""),42738.64583333333)</f>
        <v>42738.64583</v>
      </c>
      <c r="B4055" s="3">
        <f>IFERROR(__xludf.DUMMYFUNCTION("""COMPUTED_VALUE"""),8196.05)</f>
        <v>8196.05</v>
      </c>
      <c r="C4055" s="3">
        <f>IFERROR(__xludf.DUMMYFUNCTION("""COMPUTED_VALUE"""),8219.1)</f>
        <v>8219.1</v>
      </c>
      <c r="D4055" s="3">
        <f>IFERROR(__xludf.DUMMYFUNCTION("""COMPUTED_VALUE"""),8148.6)</f>
        <v>8148.6</v>
      </c>
      <c r="E4055" s="3">
        <f>IFERROR(__xludf.DUMMYFUNCTION("""COMPUTED_VALUE"""),8192.25)</f>
        <v>8192.25</v>
      </c>
      <c r="F4055" s="3">
        <f>IFERROR(__xludf.DUMMYFUNCTION("""COMPUTED_VALUE"""),0.0)</f>
        <v>0</v>
      </c>
    </row>
    <row r="4056">
      <c r="A4056" s="7">
        <f>IFERROR(__xludf.DUMMYFUNCTION("""COMPUTED_VALUE"""),42739.64583333333)</f>
        <v>42739.64583</v>
      </c>
      <c r="B4056" s="3">
        <f>IFERROR(__xludf.DUMMYFUNCTION("""COMPUTED_VALUE"""),8202.65)</f>
        <v>8202.65</v>
      </c>
      <c r="C4056" s="3">
        <f>IFERROR(__xludf.DUMMYFUNCTION("""COMPUTED_VALUE"""),8218.5)</f>
        <v>8218.5</v>
      </c>
      <c r="D4056" s="3">
        <f>IFERROR(__xludf.DUMMYFUNCTION("""COMPUTED_VALUE"""),8180.9)</f>
        <v>8180.9</v>
      </c>
      <c r="E4056" s="3">
        <f>IFERROR(__xludf.DUMMYFUNCTION("""COMPUTED_VALUE"""),8190.5)</f>
        <v>8190.5</v>
      </c>
      <c r="F4056" s="3">
        <f>IFERROR(__xludf.DUMMYFUNCTION("""COMPUTED_VALUE"""),0.0)</f>
        <v>0</v>
      </c>
    </row>
    <row r="4057">
      <c r="A4057" s="7">
        <f>IFERROR(__xludf.DUMMYFUNCTION("""COMPUTED_VALUE"""),42740.64583333333)</f>
        <v>42740.64583</v>
      </c>
      <c r="B4057" s="3">
        <f>IFERROR(__xludf.DUMMYFUNCTION("""COMPUTED_VALUE"""),8226.65)</f>
        <v>8226.65</v>
      </c>
      <c r="C4057" s="3">
        <f>IFERROR(__xludf.DUMMYFUNCTION("""COMPUTED_VALUE"""),8282.65)</f>
        <v>8282.65</v>
      </c>
      <c r="D4057" s="3">
        <f>IFERROR(__xludf.DUMMYFUNCTION("""COMPUTED_VALUE"""),8223.7)</f>
        <v>8223.7</v>
      </c>
      <c r="E4057" s="3">
        <f>IFERROR(__xludf.DUMMYFUNCTION("""COMPUTED_VALUE"""),8273.8)</f>
        <v>8273.8</v>
      </c>
      <c r="F4057" s="3">
        <f>IFERROR(__xludf.DUMMYFUNCTION("""COMPUTED_VALUE"""),0.0)</f>
        <v>0</v>
      </c>
    </row>
    <row r="4058">
      <c r="A4058" s="7">
        <f>IFERROR(__xludf.DUMMYFUNCTION("""COMPUTED_VALUE"""),42741.64583333333)</f>
        <v>42741.64583</v>
      </c>
      <c r="B4058" s="3">
        <f>IFERROR(__xludf.DUMMYFUNCTION("""COMPUTED_VALUE"""),8281.85)</f>
        <v>8281.85</v>
      </c>
      <c r="C4058" s="3">
        <f>IFERROR(__xludf.DUMMYFUNCTION("""COMPUTED_VALUE"""),8306.85)</f>
        <v>8306.85</v>
      </c>
      <c r="D4058" s="3">
        <f>IFERROR(__xludf.DUMMYFUNCTION("""COMPUTED_VALUE"""),8233.25)</f>
        <v>8233.25</v>
      </c>
      <c r="E4058" s="3">
        <f>IFERROR(__xludf.DUMMYFUNCTION("""COMPUTED_VALUE"""),8243.8)</f>
        <v>8243.8</v>
      </c>
      <c r="F4058" s="3">
        <f>IFERROR(__xludf.DUMMYFUNCTION("""COMPUTED_VALUE"""),0.0)</f>
        <v>0</v>
      </c>
    </row>
    <row r="4059">
      <c r="A4059" s="7">
        <f>IFERROR(__xludf.DUMMYFUNCTION("""COMPUTED_VALUE"""),42744.64583333333)</f>
        <v>42744.64583</v>
      </c>
      <c r="B4059" s="3">
        <f>IFERROR(__xludf.DUMMYFUNCTION("""COMPUTED_VALUE"""),8259.35)</f>
        <v>8259.35</v>
      </c>
      <c r="C4059" s="3">
        <f>IFERROR(__xludf.DUMMYFUNCTION("""COMPUTED_VALUE"""),8263.0)</f>
        <v>8263</v>
      </c>
      <c r="D4059" s="3">
        <f>IFERROR(__xludf.DUMMYFUNCTION("""COMPUTED_VALUE"""),8227.75)</f>
        <v>8227.75</v>
      </c>
      <c r="E4059" s="3">
        <f>IFERROR(__xludf.DUMMYFUNCTION("""COMPUTED_VALUE"""),8236.05)</f>
        <v>8236.05</v>
      </c>
      <c r="F4059" s="3">
        <f>IFERROR(__xludf.DUMMYFUNCTION("""COMPUTED_VALUE"""),0.0)</f>
        <v>0</v>
      </c>
    </row>
    <row r="4060">
      <c r="A4060" s="7">
        <f>IFERROR(__xludf.DUMMYFUNCTION("""COMPUTED_VALUE"""),42745.64583333333)</f>
        <v>42745.64583</v>
      </c>
      <c r="B4060" s="3">
        <f>IFERROR(__xludf.DUMMYFUNCTION("""COMPUTED_VALUE"""),8262.7)</f>
        <v>8262.7</v>
      </c>
      <c r="C4060" s="3">
        <f>IFERROR(__xludf.DUMMYFUNCTION("""COMPUTED_VALUE"""),8293.8)</f>
        <v>8293.8</v>
      </c>
      <c r="D4060" s="3">
        <f>IFERROR(__xludf.DUMMYFUNCTION("""COMPUTED_VALUE"""),8261.0)</f>
        <v>8261</v>
      </c>
      <c r="E4060" s="3">
        <f>IFERROR(__xludf.DUMMYFUNCTION("""COMPUTED_VALUE"""),8288.6)</f>
        <v>8288.6</v>
      </c>
      <c r="F4060" s="3">
        <f>IFERROR(__xludf.DUMMYFUNCTION("""COMPUTED_VALUE"""),0.0)</f>
        <v>0</v>
      </c>
    </row>
    <row r="4061">
      <c r="A4061" s="7">
        <f>IFERROR(__xludf.DUMMYFUNCTION("""COMPUTED_VALUE"""),42746.64583333333)</f>
        <v>42746.64583</v>
      </c>
      <c r="B4061" s="3">
        <f>IFERROR(__xludf.DUMMYFUNCTION("""COMPUTED_VALUE"""),8327.8)</f>
        <v>8327.8</v>
      </c>
      <c r="C4061" s="3">
        <f>IFERROR(__xludf.DUMMYFUNCTION("""COMPUTED_VALUE"""),8389.0)</f>
        <v>8389</v>
      </c>
      <c r="D4061" s="3">
        <f>IFERROR(__xludf.DUMMYFUNCTION("""COMPUTED_VALUE"""),8322.25)</f>
        <v>8322.25</v>
      </c>
      <c r="E4061" s="3">
        <f>IFERROR(__xludf.DUMMYFUNCTION("""COMPUTED_VALUE"""),8380.65)</f>
        <v>8380.65</v>
      </c>
      <c r="F4061" s="3">
        <f>IFERROR(__xludf.DUMMYFUNCTION("""COMPUTED_VALUE"""),0.0)</f>
        <v>0</v>
      </c>
    </row>
    <row r="4062">
      <c r="A4062" s="7">
        <f>IFERROR(__xludf.DUMMYFUNCTION("""COMPUTED_VALUE"""),42747.64583333333)</f>
        <v>42747.64583</v>
      </c>
      <c r="B4062" s="3">
        <f>IFERROR(__xludf.DUMMYFUNCTION("""COMPUTED_VALUE"""),8391.05)</f>
        <v>8391.05</v>
      </c>
      <c r="C4062" s="3">
        <f>IFERROR(__xludf.DUMMYFUNCTION("""COMPUTED_VALUE"""),8417.2)</f>
        <v>8417.2</v>
      </c>
      <c r="D4062" s="3">
        <f>IFERROR(__xludf.DUMMYFUNCTION("""COMPUTED_VALUE"""),8382.3)</f>
        <v>8382.3</v>
      </c>
      <c r="E4062" s="3">
        <f>IFERROR(__xludf.DUMMYFUNCTION("""COMPUTED_VALUE"""),8407.2)</f>
        <v>8407.2</v>
      </c>
      <c r="F4062" s="3">
        <f>IFERROR(__xludf.DUMMYFUNCTION("""COMPUTED_VALUE"""),0.0)</f>
        <v>0</v>
      </c>
    </row>
    <row r="4063">
      <c r="A4063" s="7">
        <f>IFERROR(__xludf.DUMMYFUNCTION("""COMPUTED_VALUE"""),42748.64583333333)</f>
        <v>42748.64583</v>
      </c>
      <c r="B4063" s="3">
        <f>IFERROR(__xludf.DUMMYFUNCTION("""COMPUTED_VALUE"""),8457.65)</f>
        <v>8457.65</v>
      </c>
      <c r="C4063" s="3">
        <f>IFERROR(__xludf.DUMMYFUNCTION("""COMPUTED_VALUE"""),8461.05)</f>
        <v>8461.05</v>
      </c>
      <c r="D4063" s="3">
        <f>IFERROR(__xludf.DUMMYFUNCTION("""COMPUTED_VALUE"""),8373.15)</f>
        <v>8373.15</v>
      </c>
      <c r="E4063" s="3">
        <f>IFERROR(__xludf.DUMMYFUNCTION("""COMPUTED_VALUE"""),8400.35)</f>
        <v>8400.35</v>
      </c>
      <c r="F4063" s="3">
        <f>IFERROR(__xludf.DUMMYFUNCTION("""COMPUTED_VALUE"""),0.0)</f>
        <v>0</v>
      </c>
    </row>
    <row r="4064">
      <c r="A4064" s="7">
        <f>IFERROR(__xludf.DUMMYFUNCTION("""COMPUTED_VALUE"""),42751.64583333333)</f>
        <v>42751.64583</v>
      </c>
      <c r="B4064" s="3">
        <f>IFERROR(__xludf.DUMMYFUNCTION("""COMPUTED_VALUE"""),8390.95)</f>
        <v>8390.95</v>
      </c>
      <c r="C4064" s="3">
        <f>IFERROR(__xludf.DUMMYFUNCTION("""COMPUTED_VALUE"""),8426.7)</f>
        <v>8426.7</v>
      </c>
      <c r="D4064" s="3">
        <f>IFERROR(__xludf.DUMMYFUNCTION("""COMPUTED_VALUE"""),8374.4)</f>
        <v>8374.4</v>
      </c>
      <c r="E4064" s="3">
        <f>IFERROR(__xludf.DUMMYFUNCTION("""COMPUTED_VALUE"""),8412.8)</f>
        <v>8412.8</v>
      </c>
      <c r="F4064" s="3">
        <f>IFERROR(__xludf.DUMMYFUNCTION("""COMPUTED_VALUE"""),0.0)</f>
        <v>0</v>
      </c>
    </row>
    <row r="4065">
      <c r="A4065" s="7">
        <f>IFERROR(__xludf.DUMMYFUNCTION("""COMPUTED_VALUE"""),42752.64583333333)</f>
        <v>42752.64583</v>
      </c>
      <c r="B4065" s="3">
        <f>IFERROR(__xludf.DUMMYFUNCTION("""COMPUTED_VALUE"""),8415.05)</f>
        <v>8415.05</v>
      </c>
      <c r="C4065" s="3">
        <f>IFERROR(__xludf.DUMMYFUNCTION("""COMPUTED_VALUE"""),8440.9)</f>
        <v>8440.9</v>
      </c>
      <c r="D4065" s="3">
        <f>IFERROR(__xludf.DUMMYFUNCTION("""COMPUTED_VALUE"""),8378.3)</f>
        <v>8378.3</v>
      </c>
      <c r="E4065" s="3">
        <f>IFERROR(__xludf.DUMMYFUNCTION("""COMPUTED_VALUE"""),8398.0)</f>
        <v>8398</v>
      </c>
      <c r="F4065" s="3">
        <f>IFERROR(__xludf.DUMMYFUNCTION("""COMPUTED_VALUE"""),0.0)</f>
        <v>0</v>
      </c>
    </row>
    <row r="4066">
      <c r="A4066" s="7">
        <f>IFERROR(__xludf.DUMMYFUNCTION("""COMPUTED_VALUE"""),42753.64583333333)</f>
        <v>42753.64583</v>
      </c>
      <c r="B4066" s="3">
        <f>IFERROR(__xludf.DUMMYFUNCTION("""COMPUTED_VALUE"""),8403.85)</f>
        <v>8403.85</v>
      </c>
      <c r="C4066" s="3">
        <f>IFERROR(__xludf.DUMMYFUNCTION("""COMPUTED_VALUE"""),8460.3)</f>
        <v>8460.3</v>
      </c>
      <c r="D4066" s="3">
        <f>IFERROR(__xludf.DUMMYFUNCTION("""COMPUTED_VALUE"""),8397.4)</f>
        <v>8397.4</v>
      </c>
      <c r="E4066" s="3">
        <f>IFERROR(__xludf.DUMMYFUNCTION("""COMPUTED_VALUE"""),8417.0)</f>
        <v>8417</v>
      </c>
      <c r="F4066" s="3">
        <f>IFERROR(__xludf.DUMMYFUNCTION("""COMPUTED_VALUE"""),0.0)</f>
        <v>0</v>
      </c>
    </row>
    <row r="4067">
      <c r="A4067" s="7">
        <f>IFERROR(__xludf.DUMMYFUNCTION("""COMPUTED_VALUE"""),42754.64583333333)</f>
        <v>42754.64583</v>
      </c>
      <c r="B4067" s="3">
        <f>IFERROR(__xludf.DUMMYFUNCTION("""COMPUTED_VALUE"""),8418.4)</f>
        <v>8418.4</v>
      </c>
      <c r="C4067" s="3">
        <f>IFERROR(__xludf.DUMMYFUNCTION("""COMPUTED_VALUE"""),8445.15)</f>
        <v>8445.15</v>
      </c>
      <c r="D4067" s="3">
        <f>IFERROR(__xludf.DUMMYFUNCTION("""COMPUTED_VALUE"""),8404.05)</f>
        <v>8404.05</v>
      </c>
      <c r="E4067" s="3">
        <f>IFERROR(__xludf.DUMMYFUNCTION("""COMPUTED_VALUE"""),8435.1)</f>
        <v>8435.1</v>
      </c>
      <c r="F4067" s="3">
        <f>IFERROR(__xludf.DUMMYFUNCTION("""COMPUTED_VALUE"""),0.0)</f>
        <v>0</v>
      </c>
    </row>
    <row r="4068">
      <c r="A4068" s="7">
        <f>IFERROR(__xludf.DUMMYFUNCTION("""COMPUTED_VALUE"""),42755.64583333333)</f>
        <v>42755.64583</v>
      </c>
      <c r="B4068" s="3">
        <f>IFERROR(__xludf.DUMMYFUNCTION("""COMPUTED_VALUE"""),8404.35)</f>
        <v>8404.35</v>
      </c>
      <c r="C4068" s="3">
        <f>IFERROR(__xludf.DUMMYFUNCTION("""COMPUTED_VALUE"""),8423.65)</f>
        <v>8423.65</v>
      </c>
      <c r="D4068" s="3">
        <f>IFERROR(__xludf.DUMMYFUNCTION("""COMPUTED_VALUE"""),8340.95)</f>
        <v>8340.95</v>
      </c>
      <c r="E4068" s="3">
        <f>IFERROR(__xludf.DUMMYFUNCTION("""COMPUTED_VALUE"""),8349.35)</f>
        <v>8349.35</v>
      </c>
      <c r="F4068" s="3">
        <f>IFERROR(__xludf.DUMMYFUNCTION("""COMPUTED_VALUE"""),0.0)</f>
        <v>0</v>
      </c>
    </row>
    <row r="4069">
      <c r="A4069" s="7">
        <f>IFERROR(__xludf.DUMMYFUNCTION("""COMPUTED_VALUE"""),42758.64583333333)</f>
        <v>42758.64583</v>
      </c>
      <c r="B4069" s="3">
        <f>IFERROR(__xludf.DUMMYFUNCTION("""COMPUTED_VALUE"""),8329.6)</f>
        <v>8329.6</v>
      </c>
      <c r="C4069" s="3">
        <f>IFERROR(__xludf.DUMMYFUNCTION("""COMPUTED_VALUE"""),8404.15)</f>
        <v>8404.15</v>
      </c>
      <c r="D4069" s="3">
        <f>IFERROR(__xludf.DUMMYFUNCTION("""COMPUTED_VALUE"""),8327.2)</f>
        <v>8327.2</v>
      </c>
      <c r="E4069" s="3">
        <f>IFERROR(__xludf.DUMMYFUNCTION("""COMPUTED_VALUE"""),8391.5)</f>
        <v>8391.5</v>
      </c>
      <c r="F4069" s="3">
        <f>IFERROR(__xludf.DUMMYFUNCTION("""COMPUTED_VALUE"""),0.0)</f>
        <v>0</v>
      </c>
    </row>
    <row r="4070">
      <c r="A4070" s="7">
        <f>IFERROR(__xludf.DUMMYFUNCTION("""COMPUTED_VALUE"""),42759.64583333333)</f>
        <v>42759.64583</v>
      </c>
      <c r="B4070" s="3">
        <f>IFERROR(__xludf.DUMMYFUNCTION("""COMPUTED_VALUE"""),8407.05)</f>
        <v>8407.05</v>
      </c>
      <c r="C4070" s="3">
        <f>IFERROR(__xludf.DUMMYFUNCTION("""COMPUTED_VALUE"""),8480.95)</f>
        <v>8480.95</v>
      </c>
      <c r="D4070" s="3">
        <f>IFERROR(__xludf.DUMMYFUNCTION("""COMPUTED_VALUE"""),8398.15)</f>
        <v>8398.15</v>
      </c>
      <c r="E4070" s="3">
        <f>IFERROR(__xludf.DUMMYFUNCTION("""COMPUTED_VALUE"""),8475.8)</f>
        <v>8475.8</v>
      </c>
      <c r="F4070" s="3">
        <f>IFERROR(__xludf.DUMMYFUNCTION("""COMPUTED_VALUE"""),0.0)</f>
        <v>0</v>
      </c>
    </row>
    <row r="4071">
      <c r="A4071" s="7">
        <f>IFERROR(__xludf.DUMMYFUNCTION("""COMPUTED_VALUE"""),42760.64583333333)</f>
        <v>42760.64583</v>
      </c>
      <c r="B4071" s="3">
        <f>IFERROR(__xludf.DUMMYFUNCTION("""COMPUTED_VALUE"""),8499.45)</f>
        <v>8499.45</v>
      </c>
      <c r="C4071" s="3">
        <f>IFERROR(__xludf.DUMMYFUNCTION("""COMPUTED_VALUE"""),8612.6)</f>
        <v>8612.6</v>
      </c>
      <c r="D4071" s="3">
        <f>IFERROR(__xludf.DUMMYFUNCTION("""COMPUTED_VALUE"""),8493.95)</f>
        <v>8493.95</v>
      </c>
      <c r="E4071" s="3">
        <f>IFERROR(__xludf.DUMMYFUNCTION("""COMPUTED_VALUE"""),8602.75)</f>
        <v>8602.75</v>
      </c>
      <c r="F4071" s="3">
        <f>IFERROR(__xludf.DUMMYFUNCTION("""COMPUTED_VALUE"""),0.0)</f>
        <v>0</v>
      </c>
    </row>
    <row r="4072">
      <c r="A4072" s="7">
        <f>IFERROR(__xludf.DUMMYFUNCTION("""COMPUTED_VALUE"""),42762.64583333333)</f>
        <v>42762.64583</v>
      </c>
      <c r="B4072" s="3">
        <f>IFERROR(__xludf.DUMMYFUNCTION("""COMPUTED_VALUE"""),8610.5)</f>
        <v>8610.5</v>
      </c>
      <c r="C4072" s="3">
        <f>IFERROR(__xludf.DUMMYFUNCTION("""COMPUTED_VALUE"""),8672.7)</f>
        <v>8672.7</v>
      </c>
      <c r="D4072" s="3">
        <f>IFERROR(__xludf.DUMMYFUNCTION("""COMPUTED_VALUE"""),8606.9)</f>
        <v>8606.9</v>
      </c>
      <c r="E4072" s="3">
        <f>IFERROR(__xludf.DUMMYFUNCTION("""COMPUTED_VALUE"""),8641.25)</f>
        <v>8641.25</v>
      </c>
      <c r="F4072" s="3">
        <f>IFERROR(__xludf.DUMMYFUNCTION("""COMPUTED_VALUE"""),0.0)</f>
        <v>0</v>
      </c>
    </row>
    <row r="4073">
      <c r="A4073" s="7">
        <f>IFERROR(__xludf.DUMMYFUNCTION("""COMPUTED_VALUE"""),42765.64583333333)</f>
        <v>42765.64583</v>
      </c>
      <c r="B4073" s="3">
        <f>IFERROR(__xludf.DUMMYFUNCTION("""COMPUTED_VALUE"""),8635.55)</f>
        <v>8635.55</v>
      </c>
      <c r="C4073" s="3">
        <f>IFERROR(__xludf.DUMMYFUNCTION("""COMPUTED_VALUE"""),8662.6)</f>
        <v>8662.6</v>
      </c>
      <c r="D4073" s="3">
        <f>IFERROR(__xludf.DUMMYFUNCTION("""COMPUTED_VALUE"""),8617.75)</f>
        <v>8617.75</v>
      </c>
      <c r="E4073" s="3">
        <f>IFERROR(__xludf.DUMMYFUNCTION("""COMPUTED_VALUE"""),8632.75)</f>
        <v>8632.75</v>
      </c>
      <c r="F4073" s="3">
        <f>IFERROR(__xludf.DUMMYFUNCTION("""COMPUTED_VALUE"""),0.0)</f>
        <v>0</v>
      </c>
    </row>
    <row r="4074">
      <c r="A4074" s="7">
        <f>IFERROR(__xludf.DUMMYFUNCTION("""COMPUTED_VALUE"""),42766.64583333333)</f>
        <v>42766.64583</v>
      </c>
      <c r="B4074" s="3">
        <f>IFERROR(__xludf.DUMMYFUNCTION("""COMPUTED_VALUE"""),8629.45)</f>
        <v>8629.45</v>
      </c>
      <c r="C4074" s="3">
        <f>IFERROR(__xludf.DUMMYFUNCTION("""COMPUTED_VALUE"""),8631.75)</f>
        <v>8631.75</v>
      </c>
      <c r="D4074" s="3">
        <f>IFERROR(__xludf.DUMMYFUNCTION("""COMPUTED_VALUE"""),8552.4)</f>
        <v>8552.4</v>
      </c>
      <c r="E4074" s="3">
        <f>IFERROR(__xludf.DUMMYFUNCTION("""COMPUTED_VALUE"""),8561.3)</f>
        <v>8561.3</v>
      </c>
      <c r="F4074" s="3">
        <f>IFERROR(__xludf.DUMMYFUNCTION("""COMPUTED_VALUE"""),0.0)</f>
        <v>0</v>
      </c>
    </row>
    <row r="4075">
      <c r="A4075" s="7">
        <f>IFERROR(__xludf.DUMMYFUNCTION("""COMPUTED_VALUE"""),42767.64583333333)</f>
        <v>42767.64583</v>
      </c>
      <c r="B4075" s="3">
        <f>IFERROR(__xludf.DUMMYFUNCTION("""COMPUTED_VALUE"""),8570.35)</f>
        <v>8570.35</v>
      </c>
      <c r="C4075" s="3">
        <f>IFERROR(__xludf.DUMMYFUNCTION("""COMPUTED_VALUE"""),8722.4)</f>
        <v>8722.4</v>
      </c>
      <c r="D4075" s="3">
        <f>IFERROR(__xludf.DUMMYFUNCTION("""COMPUTED_VALUE"""),8537.5)</f>
        <v>8537.5</v>
      </c>
      <c r="E4075" s="3">
        <f>IFERROR(__xludf.DUMMYFUNCTION("""COMPUTED_VALUE"""),8716.4)</f>
        <v>8716.4</v>
      </c>
      <c r="F4075" s="3">
        <f>IFERROR(__xludf.DUMMYFUNCTION("""COMPUTED_VALUE"""),0.0)</f>
        <v>0</v>
      </c>
    </row>
    <row r="4076">
      <c r="A4076" s="7">
        <f>IFERROR(__xludf.DUMMYFUNCTION("""COMPUTED_VALUE"""),42768.64583333333)</f>
        <v>42768.64583</v>
      </c>
      <c r="B4076" s="3">
        <f>IFERROR(__xludf.DUMMYFUNCTION("""COMPUTED_VALUE"""),8724.75)</f>
        <v>8724.75</v>
      </c>
      <c r="C4076" s="3">
        <f>IFERROR(__xludf.DUMMYFUNCTION("""COMPUTED_VALUE"""),8757.6)</f>
        <v>8757.6</v>
      </c>
      <c r="D4076" s="3">
        <f>IFERROR(__xludf.DUMMYFUNCTION("""COMPUTED_VALUE"""),8685.8)</f>
        <v>8685.8</v>
      </c>
      <c r="E4076" s="3">
        <f>IFERROR(__xludf.DUMMYFUNCTION("""COMPUTED_VALUE"""),8734.25)</f>
        <v>8734.25</v>
      </c>
      <c r="F4076" s="3">
        <f>IFERROR(__xludf.DUMMYFUNCTION("""COMPUTED_VALUE"""),0.0)</f>
        <v>0</v>
      </c>
    </row>
    <row r="4077">
      <c r="A4077" s="7">
        <f>IFERROR(__xludf.DUMMYFUNCTION("""COMPUTED_VALUE"""),42769.64583333333)</f>
        <v>42769.64583</v>
      </c>
      <c r="B4077" s="3">
        <f>IFERROR(__xludf.DUMMYFUNCTION("""COMPUTED_VALUE"""),8735.15)</f>
        <v>8735.15</v>
      </c>
      <c r="C4077" s="3">
        <f>IFERROR(__xludf.DUMMYFUNCTION("""COMPUTED_VALUE"""),8748.25)</f>
        <v>8748.25</v>
      </c>
      <c r="D4077" s="3">
        <f>IFERROR(__xludf.DUMMYFUNCTION("""COMPUTED_VALUE"""),8707.75)</f>
        <v>8707.75</v>
      </c>
      <c r="E4077" s="3">
        <f>IFERROR(__xludf.DUMMYFUNCTION("""COMPUTED_VALUE"""),8740.95)</f>
        <v>8740.95</v>
      </c>
      <c r="F4077" s="3">
        <f>IFERROR(__xludf.DUMMYFUNCTION("""COMPUTED_VALUE"""),0.0)</f>
        <v>0</v>
      </c>
    </row>
    <row r="4078">
      <c r="A4078" s="7">
        <f>IFERROR(__xludf.DUMMYFUNCTION("""COMPUTED_VALUE"""),42772.64583333333)</f>
        <v>42772.64583</v>
      </c>
      <c r="B4078" s="3">
        <f>IFERROR(__xludf.DUMMYFUNCTION("""COMPUTED_VALUE"""),8785.45)</f>
        <v>8785.45</v>
      </c>
      <c r="C4078" s="3">
        <f>IFERROR(__xludf.DUMMYFUNCTION("""COMPUTED_VALUE"""),8814.1)</f>
        <v>8814.1</v>
      </c>
      <c r="D4078" s="3">
        <f>IFERROR(__xludf.DUMMYFUNCTION("""COMPUTED_VALUE"""),8770.2)</f>
        <v>8770.2</v>
      </c>
      <c r="E4078" s="3">
        <f>IFERROR(__xludf.DUMMYFUNCTION("""COMPUTED_VALUE"""),8801.05)</f>
        <v>8801.05</v>
      </c>
      <c r="F4078" s="3">
        <f>IFERROR(__xludf.DUMMYFUNCTION("""COMPUTED_VALUE"""),0.0)</f>
        <v>0</v>
      </c>
    </row>
    <row r="4079">
      <c r="A4079" s="7">
        <f>IFERROR(__xludf.DUMMYFUNCTION("""COMPUTED_VALUE"""),42773.64583333333)</f>
        <v>42773.64583</v>
      </c>
      <c r="B4079" s="3">
        <f>IFERROR(__xludf.DUMMYFUNCTION("""COMPUTED_VALUE"""),8805.7)</f>
        <v>8805.7</v>
      </c>
      <c r="C4079" s="3">
        <f>IFERROR(__xludf.DUMMYFUNCTION("""COMPUTED_VALUE"""),8809.3)</f>
        <v>8809.3</v>
      </c>
      <c r="D4079" s="3">
        <f>IFERROR(__xludf.DUMMYFUNCTION("""COMPUTED_VALUE"""),8741.05)</f>
        <v>8741.05</v>
      </c>
      <c r="E4079" s="3">
        <f>IFERROR(__xludf.DUMMYFUNCTION("""COMPUTED_VALUE"""),8768.3)</f>
        <v>8768.3</v>
      </c>
      <c r="F4079" s="3">
        <f>IFERROR(__xludf.DUMMYFUNCTION("""COMPUTED_VALUE"""),0.0)</f>
        <v>0</v>
      </c>
    </row>
    <row r="4080">
      <c r="A4080" s="7">
        <f>IFERROR(__xludf.DUMMYFUNCTION("""COMPUTED_VALUE"""),42774.64583333333)</f>
        <v>42774.64583</v>
      </c>
      <c r="B4080" s="3">
        <f>IFERROR(__xludf.DUMMYFUNCTION("""COMPUTED_VALUE"""),8774.55)</f>
        <v>8774.55</v>
      </c>
      <c r="C4080" s="3">
        <f>IFERROR(__xludf.DUMMYFUNCTION("""COMPUTED_VALUE"""),8791.25)</f>
        <v>8791.25</v>
      </c>
      <c r="D4080" s="3">
        <f>IFERROR(__xludf.DUMMYFUNCTION("""COMPUTED_VALUE"""),8715.0)</f>
        <v>8715</v>
      </c>
      <c r="E4080" s="3">
        <f>IFERROR(__xludf.DUMMYFUNCTION("""COMPUTED_VALUE"""),8769.05)</f>
        <v>8769.05</v>
      </c>
      <c r="F4080" s="3">
        <f>IFERROR(__xludf.DUMMYFUNCTION("""COMPUTED_VALUE"""),0.0)</f>
        <v>0</v>
      </c>
    </row>
    <row r="4081">
      <c r="A4081" s="7">
        <f>IFERROR(__xludf.DUMMYFUNCTION("""COMPUTED_VALUE"""),42775.64583333333)</f>
        <v>42775.64583</v>
      </c>
      <c r="B4081" s="3">
        <f>IFERROR(__xludf.DUMMYFUNCTION("""COMPUTED_VALUE"""),8795.55)</f>
        <v>8795.55</v>
      </c>
      <c r="C4081" s="3">
        <f>IFERROR(__xludf.DUMMYFUNCTION("""COMPUTED_VALUE"""),8821.4)</f>
        <v>8821.4</v>
      </c>
      <c r="D4081" s="3">
        <f>IFERROR(__xludf.DUMMYFUNCTION("""COMPUTED_VALUE"""),8724.1)</f>
        <v>8724.1</v>
      </c>
      <c r="E4081" s="3">
        <f>IFERROR(__xludf.DUMMYFUNCTION("""COMPUTED_VALUE"""),8778.4)</f>
        <v>8778.4</v>
      </c>
      <c r="F4081" s="3">
        <f>IFERROR(__xludf.DUMMYFUNCTION("""COMPUTED_VALUE"""),0.0)</f>
        <v>0</v>
      </c>
    </row>
    <row r="4082">
      <c r="A4082" s="7">
        <f>IFERROR(__xludf.DUMMYFUNCTION("""COMPUTED_VALUE"""),42776.64583333333)</f>
        <v>42776.64583</v>
      </c>
      <c r="B4082" s="3">
        <f>IFERROR(__xludf.DUMMYFUNCTION("""COMPUTED_VALUE"""),8812.35)</f>
        <v>8812.35</v>
      </c>
      <c r="C4082" s="3">
        <f>IFERROR(__xludf.DUMMYFUNCTION("""COMPUTED_VALUE"""),8822.1)</f>
        <v>8822.1</v>
      </c>
      <c r="D4082" s="3">
        <f>IFERROR(__xludf.DUMMYFUNCTION("""COMPUTED_VALUE"""),8771.2)</f>
        <v>8771.2</v>
      </c>
      <c r="E4082" s="3">
        <f>IFERROR(__xludf.DUMMYFUNCTION("""COMPUTED_VALUE"""),8793.55)</f>
        <v>8793.55</v>
      </c>
      <c r="F4082" s="3">
        <f>IFERROR(__xludf.DUMMYFUNCTION("""COMPUTED_VALUE"""),0.0)</f>
        <v>0</v>
      </c>
    </row>
    <row r="4083">
      <c r="A4083" s="7">
        <f>IFERROR(__xludf.DUMMYFUNCTION("""COMPUTED_VALUE"""),42779.64583333333)</f>
        <v>42779.64583</v>
      </c>
      <c r="B4083" s="3">
        <f>IFERROR(__xludf.DUMMYFUNCTION("""COMPUTED_VALUE"""),8819.8)</f>
        <v>8819.8</v>
      </c>
      <c r="C4083" s="3">
        <f>IFERROR(__xludf.DUMMYFUNCTION("""COMPUTED_VALUE"""),8826.9)</f>
        <v>8826.9</v>
      </c>
      <c r="D4083" s="3">
        <f>IFERROR(__xludf.DUMMYFUNCTION("""COMPUTED_VALUE"""),8754.2)</f>
        <v>8754.2</v>
      </c>
      <c r="E4083" s="3">
        <f>IFERROR(__xludf.DUMMYFUNCTION("""COMPUTED_VALUE"""),8805.05)</f>
        <v>8805.05</v>
      </c>
      <c r="F4083" s="3">
        <f>IFERROR(__xludf.DUMMYFUNCTION("""COMPUTED_VALUE"""),0.0)</f>
        <v>0</v>
      </c>
    </row>
    <row r="4084">
      <c r="A4084" s="7">
        <f>IFERROR(__xludf.DUMMYFUNCTION("""COMPUTED_VALUE"""),42780.64583333333)</f>
        <v>42780.64583</v>
      </c>
      <c r="B4084" s="3">
        <f>IFERROR(__xludf.DUMMYFUNCTION("""COMPUTED_VALUE"""),8819.9)</f>
        <v>8819.9</v>
      </c>
      <c r="C4084" s="3">
        <f>IFERROR(__xludf.DUMMYFUNCTION("""COMPUTED_VALUE"""),8820.45)</f>
        <v>8820.45</v>
      </c>
      <c r="D4084" s="3">
        <f>IFERROR(__xludf.DUMMYFUNCTION("""COMPUTED_VALUE"""),8772.5)</f>
        <v>8772.5</v>
      </c>
      <c r="E4084" s="3">
        <f>IFERROR(__xludf.DUMMYFUNCTION("""COMPUTED_VALUE"""),8792.3)</f>
        <v>8792.3</v>
      </c>
      <c r="F4084" s="3">
        <f>IFERROR(__xludf.DUMMYFUNCTION("""COMPUTED_VALUE"""),0.0)</f>
        <v>0</v>
      </c>
    </row>
    <row r="4085">
      <c r="A4085" s="7">
        <f>IFERROR(__xludf.DUMMYFUNCTION("""COMPUTED_VALUE"""),42781.64583333333)</f>
        <v>42781.64583</v>
      </c>
      <c r="B4085" s="3">
        <f>IFERROR(__xludf.DUMMYFUNCTION("""COMPUTED_VALUE"""),8778.95)</f>
        <v>8778.95</v>
      </c>
      <c r="C4085" s="3">
        <f>IFERROR(__xludf.DUMMYFUNCTION("""COMPUTED_VALUE"""),8807.9)</f>
        <v>8807.9</v>
      </c>
      <c r="D4085" s="3">
        <f>IFERROR(__xludf.DUMMYFUNCTION("""COMPUTED_VALUE"""),8712.85)</f>
        <v>8712.85</v>
      </c>
      <c r="E4085" s="3">
        <f>IFERROR(__xludf.DUMMYFUNCTION("""COMPUTED_VALUE"""),8724.7)</f>
        <v>8724.7</v>
      </c>
      <c r="F4085" s="3">
        <f>IFERROR(__xludf.DUMMYFUNCTION("""COMPUTED_VALUE"""),0.0)</f>
        <v>0</v>
      </c>
    </row>
    <row r="4086">
      <c r="A4086" s="7">
        <f>IFERROR(__xludf.DUMMYFUNCTION("""COMPUTED_VALUE"""),42782.64583333333)</f>
        <v>42782.64583</v>
      </c>
      <c r="B4086" s="3">
        <f>IFERROR(__xludf.DUMMYFUNCTION("""COMPUTED_VALUE"""),8739.0)</f>
        <v>8739</v>
      </c>
      <c r="C4086" s="3">
        <f>IFERROR(__xludf.DUMMYFUNCTION("""COMPUTED_VALUE"""),8783.95)</f>
        <v>8783.95</v>
      </c>
      <c r="D4086" s="3">
        <f>IFERROR(__xludf.DUMMYFUNCTION("""COMPUTED_VALUE"""),8719.6)</f>
        <v>8719.6</v>
      </c>
      <c r="E4086" s="3">
        <f>IFERROR(__xludf.DUMMYFUNCTION("""COMPUTED_VALUE"""),8778.0)</f>
        <v>8778</v>
      </c>
      <c r="F4086" s="3">
        <f>IFERROR(__xludf.DUMMYFUNCTION("""COMPUTED_VALUE"""),0.0)</f>
        <v>0</v>
      </c>
    </row>
    <row r="4087">
      <c r="A4087" s="7">
        <f>IFERROR(__xludf.DUMMYFUNCTION("""COMPUTED_VALUE"""),42783.64583333333)</f>
        <v>42783.64583</v>
      </c>
      <c r="B4087" s="3">
        <f>IFERROR(__xludf.DUMMYFUNCTION("""COMPUTED_VALUE"""),8883.7)</f>
        <v>8883.7</v>
      </c>
      <c r="C4087" s="3">
        <f>IFERROR(__xludf.DUMMYFUNCTION("""COMPUTED_VALUE"""),8896.45)</f>
        <v>8896.45</v>
      </c>
      <c r="D4087" s="3">
        <f>IFERROR(__xludf.DUMMYFUNCTION("""COMPUTED_VALUE"""),8804.25)</f>
        <v>8804.25</v>
      </c>
      <c r="E4087" s="3">
        <f>IFERROR(__xludf.DUMMYFUNCTION("""COMPUTED_VALUE"""),8821.7)</f>
        <v>8821.7</v>
      </c>
      <c r="F4087" s="3">
        <f>IFERROR(__xludf.DUMMYFUNCTION("""COMPUTED_VALUE"""),0.0)</f>
        <v>0</v>
      </c>
    </row>
    <row r="4088">
      <c r="A4088" s="7">
        <f>IFERROR(__xludf.DUMMYFUNCTION("""COMPUTED_VALUE"""),42786.64583333333)</f>
        <v>42786.64583</v>
      </c>
      <c r="B4088" s="3">
        <f>IFERROR(__xludf.DUMMYFUNCTION("""COMPUTED_VALUE"""),8818.55)</f>
        <v>8818.55</v>
      </c>
      <c r="C4088" s="3">
        <f>IFERROR(__xludf.DUMMYFUNCTION("""COMPUTED_VALUE"""),8886.25)</f>
        <v>8886.25</v>
      </c>
      <c r="D4088" s="3">
        <f>IFERROR(__xludf.DUMMYFUNCTION("""COMPUTED_VALUE"""),8809.8)</f>
        <v>8809.8</v>
      </c>
      <c r="E4088" s="3">
        <f>IFERROR(__xludf.DUMMYFUNCTION("""COMPUTED_VALUE"""),8879.2)</f>
        <v>8879.2</v>
      </c>
      <c r="F4088" s="3">
        <f>IFERROR(__xludf.DUMMYFUNCTION("""COMPUTED_VALUE"""),0.0)</f>
        <v>0</v>
      </c>
    </row>
    <row r="4089">
      <c r="A4089" s="7">
        <f>IFERROR(__xludf.DUMMYFUNCTION("""COMPUTED_VALUE"""),42787.64583333333)</f>
        <v>42787.64583</v>
      </c>
      <c r="B4089" s="3">
        <f>IFERROR(__xludf.DUMMYFUNCTION("""COMPUTED_VALUE"""),8890.75)</f>
        <v>8890.75</v>
      </c>
      <c r="C4089" s="3">
        <f>IFERROR(__xludf.DUMMYFUNCTION("""COMPUTED_VALUE"""),8920.8)</f>
        <v>8920.8</v>
      </c>
      <c r="D4089" s="3">
        <f>IFERROR(__xludf.DUMMYFUNCTION("""COMPUTED_VALUE"""),8860.95)</f>
        <v>8860.95</v>
      </c>
      <c r="E4089" s="3">
        <f>IFERROR(__xludf.DUMMYFUNCTION("""COMPUTED_VALUE"""),8907.85)</f>
        <v>8907.85</v>
      </c>
      <c r="F4089" s="3">
        <f>IFERROR(__xludf.DUMMYFUNCTION("""COMPUTED_VALUE"""),0.0)</f>
        <v>0</v>
      </c>
    </row>
    <row r="4090">
      <c r="A4090" s="7">
        <f>IFERROR(__xludf.DUMMYFUNCTION("""COMPUTED_VALUE"""),42788.64583333333)</f>
        <v>42788.64583</v>
      </c>
      <c r="B4090" s="3">
        <f>IFERROR(__xludf.DUMMYFUNCTION("""COMPUTED_VALUE"""),8931.6)</f>
        <v>8931.6</v>
      </c>
      <c r="C4090" s="3">
        <f>IFERROR(__xludf.DUMMYFUNCTION("""COMPUTED_VALUE"""),8960.75)</f>
        <v>8960.75</v>
      </c>
      <c r="D4090" s="3">
        <f>IFERROR(__xludf.DUMMYFUNCTION("""COMPUTED_VALUE"""),8905.25)</f>
        <v>8905.25</v>
      </c>
      <c r="E4090" s="3">
        <f>IFERROR(__xludf.DUMMYFUNCTION("""COMPUTED_VALUE"""),8926.9)</f>
        <v>8926.9</v>
      </c>
      <c r="F4090" s="3">
        <f>IFERROR(__xludf.DUMMYFUNCTION("""COMPUTED_VALUE"""),0.0)</f>
        <v>0</v>
      </c>
    </row>
    <row r="4091">
      <c r="A4091" s="7">
        <f>IFERROR(__xludf.DUMMYFUNCTION("""COMPUTED_VALUE"""),42789.64583333333)</f>
        <v>42789.64583</v>
      </c>
      <c r="B4091" s="3">
        <f>IFERROR(__xludf.DUMMYFUNCTION("""COMPUTED_VALUE"""),8956.4)</f>
        <v>8956.4</v>
      </c>
      <c r="C4091" s="3">
        <f>IFERROR(__xludf.DUMMYFUNCTION("""COMPUTED_VALUE"""),8982.15)</f>
        <v>8982.15</v>
      </c>
      <c r="D4091" s="3">
        <f>IFERROR(__xludf.DUMMYFUNCTION("""COMPUTED_VALUE"""),8927.55)</f>
        <v>8927.55</v>
      </c>
      <c r="E4091" s="3">
        <f>IFERROR(__xludf.DUMMYFUNCTION("""COMPUTED_VALUE"""),8939.5)</f>
        <v>8939.5</v>
      </c>
      <c r="F4091" s="3">
        <f>IFERROR(__xludf.DUMMYFUNCTION("""COMPUTED_VALUE"""),0.0)</f>
        <v>0</v>
      </c>
    </row>
    <row r="4092">
      <c r="A4092" s="7">
        <f>IFERROR(__xludf.DUMMYFUNCTION("""COMPUTED_VALUE"""),42793.64583333333)</f>
        <v>42793.64583</v>
      </c>
      <c r="B4092" s="3">
        <f>IFERROR(__xludf.DUMMYFUNCTION("""COMPUTED_VALUE"""),8943.7)</f>
        <v>8943.7</v>
      </c>
      <c r="C4092" s="3">
        <f>IFERROR(__xludf.DUMMYFUNCTION("""COMPUTED_VALUE"""),8951.8)</f>
        <v>8951.8</v>
      </c>
      <c r="D4092" s="3">
        <f>IFERROR(__xludf.DUMMYFUNCTION("""COMPUTED_VALUE"""),8888.65)</f>
        <v>8888.65</v>
      </c>
      <c r="E4092" s="3">
        <f>IFERROR(__xludf.DUMMYFUNCTION("""COMPUTED_VALUE"""),8896.7)</f>
        <v>8896.7</v>
      </c>
      <c r="F4092" s="3">
        <f>IFERROR(__xludf.DUMMYFUNCTION("""COMPUTED_VALUE"""),0.0)</f>
        <v>0</v>
      </c>
    </row>
    <row r="4093">
      <c r="A4093" s="7">
        <f>IFERROR(__xludf.DUMMYFUNCTION("""COMPUTED_VALUE"""),42794.64583333333)</f>
        <v>42794.64583</v>
      </c>
      <c r="B4093" s="3">
        <f>IFERROR(__xludf.DUMMYFUNCTION("""COMPUTED_VALUE"""),8898.95)</f>
        <v>8898.95</v>
      </c>
      <c r="C4093" s="3">
        <f>IFERROR(__xludf.DUMMYFUNCTION("""COMPUTED_VALUE"""),8914.75)</f>
        <v>8914.75</v>
      </c>
      <c r="D4093" s="3">
        <f>IFERROR(__xludf.DUMMYFUNCTION("""COMPUTED_VALUE"""),8867.6)</f>
        <v>8867.6</v>
      </c>
      <c r="E4093" s="3">
        <f>IFERROR(__xludf.DUMMYFUNCTION("""COMPUTED_VALUE"""),8879.6)</f>
        <v>8879.6</v>
      </c>
      <c r="F4093" s="3">
        <f>IFERROR(__xludf.DUMMYFUNCTION("""COMPUTED_VALUE"""),0.0)</f>
        <v>0</v>
      </c>
    </row>
    <row r="4094">
      <c r="A4094" s="7">
        <f>IFERROR(__xludf.DUMMYFUNCTION("""COMPUTED_VALUE"""),42795.64583333333)</f>
        <v>42795.64583</v>
      </c>
      <c r="B4094" s="3">
        <f>IFERROR(__xludf.DUMMYFUNCTION("""COMPUTED_VALUE"""),8904.4)</f>
        <v>8904.4</v>
      </c>
      <c r="C4094" s="3">
        <f>IFERROR(__xludf.DUMMYFUNCTION("""COMPUTED_VALUE"""),8960.8)</f>
        <v>8960.8</v>
      </c>
      <c r="D4094" s="3">
        <f>IFERROR(__xludf.DUMMYFUNCTION("""COMPUTED_VALUE"""),8898.6)</f>
        <v>8898.6</v>
      </c>
      <c r="E4094" s="3">
        <f>IFERROR(__xludf.DUMMYFUNCTION("""COMPUTED_VALUE"""),8945.8)</f>
        <v>8945.8</v>
      </c>
      <c r="F4094" s="3">
        <f>IFERROR(__xludf.DUMMYFUNCTION("""COMPUTED_VALUE"""),0.0)</f>
        <v>0</v>
      </c>
    </row>
    <row r="4095">
      <c r="A4095" s="7">
        <f>IFERROR(__xludf.DUMMYFUNCTION("""COMPUTED_VALUE"""),42796.64583333333)</f>
        <v>42796.64583</v>
      </c>
      <c r="B4095" s="3">
        <f>IFERROR(__xludf.DUMMYFUNCTION("""COMPUTED_VALUE"""),8982.85)</f>
        <v>8982.85</v>
      </c>
      <c r="C4095" s="3">
        <f>IFERROR(__xludf.DUMMYFUNCTION("""COMPUTED_VALUE"""),8992.5)</f>
        <v>8992.5</v>
      </c>
      <c r="D4095" s="3">
        <f>IFERROR(__xludf.DUMMYFUNCTION("""COMPUTED_VALUE"""),8879.8)</f>
        <v>8879.8</v>
      </c>
      <c r="E4095" s="3">
        <f>IFERROR(__xludf.DUMMYFUNCTION("""COMPUTED_VALUE"""),8899.75)</f>
        <v>8899.75</v>
      </c>
      <c r="F4095" s="3">
        <f>IFERROR(__xludf.DUMMYFUNCTION("""COMPUTED_VALUE"""),0.0)</f>
        <v>0</v>
      </c>
    </row>
    <row r="4096">
      <c r="A4096" s="7">
        <f>IFERROR(__xludf.DUMMYFUNCTION("""COMPUTED_VALUE"""),42797.64583333333)</f>
        <v>42797.64583</v>
      </c>
      <c r="B4096" s="3">
        <f>IFERROR(__xludf.DUMMYFUNCTION("""COMPUTED_VALUE"""),8883.5)</f>
        <v>8883.5</v>
      </c>
      <c r="C4096" s="3">
        <f>IFERROR(__xludf.DUMMYFUNCTION("""COMPUTED_VALUE"""),8907.1)</f>
        <v>8907.1</v>
      </c>
      <c r="D4096" s="3">
        <f>IFERROR(__xludf.DUMMYFUNCTION("""COMPUTED_VALUE"""),8860.1)</f>
        <v>8860.1</v>
      </c>
      <c r="E4096" s="3">
        <f>IFERROR(__xludf.DUMMYFUNCTION("""COMPUTED_VALUE"""),8897.55)</f>
        <v>8897.55</v>
      </c>
      <c r="F4096" s="3">
        <f>IFERROR(__xludf.DUMMYFUNCTION("""COMPUTED_VALUE"""),0.0)</f>
        <v>0</v>
      </c>
    </row>
    <row r="4097">
      <c r="A4097" s="7">
        <f>IFERROR(__xludf.DUMMYFUNCTION("""COMPUTED_VALUE"""),42800.64583333333)</f>
        <v>42800.64583</v>
      </c>
      <c r="B4097" s="3">
        <f>IFERROR(__xludf.DUMMYFUNCTION("""COMPUTED_VALUE"""),8915.1)</f>
        <v>8915.1</v>
      </c>
      <c r="C4097" s="3">
        <f>IFERROR(__xludf.DUMMYFUNCTION("""COMPUTED_VALUE"""),8967.8)</f>
        <v>8967.8</v>
      </c>
      <c r="D4097" s="3">
        <f>IFERROR(__xludf.DUMMYFUNCTION("""COMPUTED_VALUE"""),8914.0)</f>
        <v>8914</v>
      </c>
      <c r="E4097" s="3">
        <f>IFERROR(__xludf.DUMMYFUNCTION("""COMPUTED_VALUE"""),8963.45)</f>
        <v>8963.45</v>
      </c>
      <c r="F4097" s="3">
        <f>IFERROR(__xludf.DUMMYFUNCTION("""COMPUTED_VALUE"""),0.0)</f>
        <v>0</v>
      </c>
    </row>
    <row r="4098">
      <c r="A4098" s="7">
        <f>IFERROR(__xludf.DUMMYFUNCTION("""COMPUTED_VALUE"""),42801.64583333333)</f>
        <v>42801.64583</v>
      </c>
      <c r="B4098" s="3">
        <f>IFERROR(__xludf.DUMMYFUNCTION("""COMPUTED_VALUE"""),8977.75)</f>
        <v>8977.75</v>
      </c>
      <c r="C4098" s="3">
        <f>IFERROR(__xludf.DUMMYFUNCTION("""COMPUTED_VALUE"""),8977.85)</f>
        <v>8977.85</v>
      </c>
      <c r="D4098" s="3">
        <f>IFERROR(__xludf.DUMMYFUNCTION("""COMPUTED_VALUE"""),8932.8)</f>
        <v>8932.8</v>
      </c>
      <c r="E4098" s="3">
        <f>IFERROR(__xludf.DUMMYFUNCTION("""COMPUTED_VALUE"""),8946.9)</f>
        <v>8946.9</v>
      </c>
      <c r="F4098" s="3">
        <f>IFERROR(__xludf.DUMMYFUNCTION("""COMPUTED_VALUE"""),0.0)</f>
        <v>0</v>
      </c>
    </row>
    <row r="4099">
      <c r="A4099" s="7">
        <f>IFERROR(__xludf.DUMMYFUNCTION("""COMPUTED_VALUE"""),42802.64583333333)</f>
        <v>42802.64583</v>
      </c>
      <c r="B4099" s="3">
        <f>IFERROR(__xludf.DUMMYFUNCTION("""COMPUTED_VALUE"""),8950.7)</f>
        <v>8950.7</v>
      </c>
      <c r="C4099" s="3">
        <f>IFERROR(__xludf.DUMMYFUNCTION("""COMPUTED_VALUE"""),8957.05)</f>
        <v>8957.05</v>
      </c>
      <c r="D4099" s="3">
        <f>IFERROR(__xludf.DUMMYFUNCTION("""COMPUTED_VALUE"""),8891.95)</f>
        <v>8891.95</v>
      </c>
      <c r="E4099" s="3">
        <f>IFERROR(__xludf.DUMMYFUNCTION("""COMPUTED_VALUE"""),8924.3)</f>
        <v>8924.3</v>
      </c>
      <c r="F4099" s="3">
        <f>IFERROR(__xludf.DUMMYFUNCTION("""COMPUTED_VALUE"""),0.0)</f>
        <v>0</v>
      </c>
    </row>
    <row r="4100">
      <c r="A4100" s="7">
        <f>IFERROR(__xludf.DUMMYFUNCTION("""COMPUTED_VALUE"""),42803.64583333333)</f>
        <v>42803.64583</v>
      </c>
      <c r="B4100" s="3">
        <f>IFERROR(__xludf.DUMMYFUNCTION("""COMPUTED_VALUE"""),8914.5)</f>
        <v>8914.5</v>
      </c>
      <c r="C4100" s="3">
        <f>IFERROR(__xludf.DUMMYFUNCTION("""COMPUTED_VALUE"""),8945.8)</f>
        <v>8945.8</v>
      </c>
      <c r="D4100" s="3">
        <f>IFERROR(__xludf.DUMMYFUNCTION("""COMPUTED_VALUE"""),8899.5)</f>
        <v>8899.5</v>
      </c>
      <c r="E4100" s="3">
        <f>IFERROR(__xludf.DUMMYFUNCTION("""COMPUTED_VALUE"""),8927.0)</f>
        <v>8927</v>
      </c>
      <c r="F4100" s="3">
        <f>IFERROR(__xludf.DUMMYFUNCTION("""COMPUTED_VALUE"""),0.0)</f>
        <v>0</v>
      </c>
    </row>
    <row r="4101">
      <c r="A4101" s="7">
        <f>IFERROR(__xludf.DUMMYFUNCTION("""COMPUTED_VALUE"""),42804.64583333333)</f>
        <v>42804.64583</v>
      </c>
      <c r="B4101" s="3">
        <f>IFERROR(__xludf.DUMMYFUNCTION("""COMPUTED_VALUE"""),8953.7)</f>
        <v>8953.7</v>
      </c>
      <c r="C4101" s="3">
        <f>IFERROR(__xludf.DUMMYFUNCTION("""COMPUTED_VALUE"""),8975.7)</f>
        <v>8975.7</v>
      </c>
      <c r="D4101" s="3">
        <f>IFERROR(__xludf.DUMMYFUNCTION("""COMPUTED_VALUE"""),8903.95)</f>
        <v>8903.95</v>
      </c>
      <c r="E4101" s="3">
        <f>IFERROR(__xludf.DUMMYFUNCTION("""COMPUTED_VALUE"""),8934.55)</f>
        <v>8934.55</v>
      </c>
      <c r="F4101" s="3">
        <f>IFERROR(__xludf.DUMMYFUNCTION("""COMPUTED_VALUE"""),0.0)</f>
        <v>0</v>
      </c>
    </row>
    <row r="4102">
      <c r="A4102" s="7">
        <f>IFERROR(__xludf.DUMMYFUNCTION("""COMPUTED_VALUE"""),42808.64583333333)</f>
        <v>42808.64583</v>
      </c>
      <c r="B4102" s="3">
        <f>IFERROR(__xludf.DUMMYFUNCTION("""COMPUTED_VALUE"""),9091.65)</f>
        <v>9091.65</v>
      </c>
      <c r="C4102" s="3">
        <f>IFERROR(__xludf.DUMMYFUNCTION("""COMPUTED_VALUE"""),9122.75)</f>
        <v>9122.75</v>
      </c>
      <c r="D4102" s="3">
        <f>IFERROR(__xludf.DUMMYFUNCTION("""COMPUTED_VALUE"""),9060.5)</f>
        <v>9060.5</v>
      </c>
      <c r="E4102" s="3">
        <f>IFERROR(__xludf.DUMMYFUNCTION("""COMPUTED_VALUE"""),9087.0)</f>
        <v>9087</v>
      </c>
      <c r="F4102" s="3">
        <f>IFERROR(__xludf.DUMMYFUNCTION("""COMPUTED_VALUE"""),0.0)</f>
        <v>0</v>
      </c>
    </row>
    <row r="4103">
      <c r="A4103" s="7">
        <f>IFERROR(__xludf.DUMMYFUNCTION("""COMPUTED_VALUE"""),42809.64583333333)</f>
        <v>42809.64583</v>
      </c>
      <c r="B4103" s="3">
        <f>IFERROR(__xludf.DUMMYFUNCTION("""COMPUTED_VALUE"""),9086.85)</f>
        <v>9086.85</v>
      </c>
      <c r="C4103" s="3">
        <f>IFERROR(__xludf.DUMMYFUNCTION("""COMPUTED_VALUE"""),9106.55)</f>
        <v>9106.55</v>
      </c>
      <c r="D4103" s="3">
        <f>IFERROR(__xludf.DUMMYFUNCTION("""COMPUTED_VALUE"""),9075.5)</f>
        <v>9075.5</v>
      </c>
      <c r="E4103" s="3">
        <f>IFERROR(__xludf.DUMMYFUNCTION("""COMPUTED_VALUE"""),9084.8)</f>
        <v>9084.8</v>
      </c>
      <c r="F4103" s="3">
        <f>IFERROR(__xludf.DUMMYFUNCTION("""COMPUTED_VALUE"""),0.0)</f>
        <v>0</v>
      </c>
    </row>
    <row r="4104">
      <c r="A4104" s="7">
        <f>IFERROR(__xludf.DUMMYFUNCTION("""COMPUTED_VALUE"""),42810.64583333333)</f>
        <v>42810.64583</v>
      </c>
      <c r="B4104" s="3">
        <f>IFERROR(__xludf.DUMMYFUNCTION("""COMPUTED_VALUE"""),9129.65)</f>
        <v>9129.65</v>
      </c>
      <c r="C4104" s="3">
        <f>IFERROR(__xludf.DUMMYFUNCTION("""COMPUTED_VALUE"""),9158.45)</f>
        <v>9158.45</v>
      </c>
      <c r="D4104" s="3">
        <f>IFERROR(__xludf.DUMMYFUNCTION("""COMPUTED_VALUE"""),9128.55)</f>
        <v>9128.55</v>
      </c>
      <c r="E4104" s="3">
        <f>IFERROR(__xludf.DUMMYFUNCTION("""COMPUTED_VALUE"""),9153.7)</f>
        <v>9153.7</v>
      </c>
      <c r="F4104" s="3">
        <f>IFERROR(__xludf.DUMMYFUNCTION("""COMPUTED_VALUE"""),0.0)</f>
        <v>0</v>
      </c>
    </row>
    <row r="4105">
      <c r="A4105" s="7">
        <f>IFERROR(__xludf.DUMMYFUNCTION("""COMPUTED_VALUE"""),42811.64583333333)</f>
        <v>42811.64583</v>
      </c>
      <c r="B4105" s="3">
        <f>IFERROR(__xludf.DUMMYFUNCTION("""COMPUTED_VALUE"""),9207.8)</f>
        <v>9207.8</v>
      </c>
      <c r="C4105" s="3">
        <f>IFERROR(__xludf.DUMMYFUNCTION("""COMPUTED_VALUE"""),9218.4)</f>
        <v>9218.4</v>
      </c>
      <c r="D4105" s="3">
        <f>IFERROR(__xludf.DUMMYFUNCTION("""COMPUTED_VALUE"""),9147.6)</f>
        <v>9147.6</v>
      </c>
      <c r="E4105" s="3">
        <f>IFERROR(__xludf.DUMMYFUNCTION("""COMPUTED_VALUE"""),9160.05)</f>
        <v>9160.05</v>
      </c>
      <c r="F4105" s="3">
        <f>IFERROR(__xludf.DUMMYFUNCTION("""COMPUTED_VALUE"""),0.0)</f>
        <v>0</v>
      </c>
    </row>
    <row r="4106">
      <c r="A4106" s="7">
        <f>IFERROR(__xludf.DUMMYFUNCTION("""COMPUTED_VALUE"""),42814.64583333333)</f>
        <v>42814.64583</v>
      </c>
      <c r="B4106" s="3">
        <f>IFERROR(__xludf.DUMMYFUNCTION("""COMPUTED_VALUE"""),9166.95)</f>
        <v>9166.95</v>
      </c>
      <c r="C4106" s="3">
        <f>IFERROR(__xludf.DUMMYFUNCTION("""COMPUTED_VALUE"""),9167.6)</f>
        <v>9167.6</v>
      </c>
      <c r="D4106" s="3">
        <f>IFERROR(__xludf.DUMMYFUNCTION("""COMPUTED_VALUE"""),9116.3)</f>
        <v>9116.3</v>
      </c>
      <c r="E4106" s="3">
        <f>IFERROR(__xludf.DUMMYFUNCTION("""COMPUTED_VALUE"""),9126.85)</f>
        <v>9126.85</v>
      </c>
      <c r="F4106" s="3">
        <f>IFERROR(__xludf.DUMMYFUNCTION("""COMPUTED_VALUE"""),0.0)</f>
        <v>0</v>
      </c>
    </row>
    <row r="4107">
      <c r="A4107" s="7">
        <f>IFERROR(__xludf.DUMMYFUNCTION("""COMPUTED_VALUE"""),42815.64583333333)</f>
        <v>42815.64583</v>
      </c>
      <c r="B4107" s="3">
        <f>IFERROR(__xludf.DUMMYFUNCTION("""COMPUTED_VALUE"""),9133.95)</f>
        <v>9133.95</v>
      </c>
      <c r="C4107" s="3">
        <f>IFERROR(__xludf.DUMMYFUNCTION("""COMPUTED_VALUE"""),9147.75)</f>
        <v>9147.75</v>
      </c>
      <c r="D4107" s="3">
        <f>IFERROR(__xludf.DUMMYFUNCTION("""COMPUTED_VALUE"""),9087.2)</f>
        <v>9087.2</v>
      </c>
      <c r="E4107" s="3">
        <f>IFERROR(__xludf.DUMMYFUNCTION("""COMPUTED_VALUE"""),9121.5)</f>
        <v>9121.5</v>
      </c>
      <c r="F4107" s="3">
        <f>IFERROR(__xludf.DUMMYFUNCTION("""COMPUTED_VALUE"""),0.0)</f>
        <v>0</v>
      </c>
    </row>
    <row r="4108">
      <c r="A4108" s="7">
        <f>IFERROR(__xludf.DUMMYFUNCTION("""COMPUTED_VALUE"""),42816.64583333333)</f>
        <v>42816.64583</v>
      </c>
      <c r="B4108" s="3">
        <f>IFERROR(__xludf.DUMMYFUNCTION("""COMPUTED_VALUE"""),9047.2)</f>
        <v>9047.2</v>
      </c>
      <c r="C4108" s="3">
        <f>IFERROR(__xludf.DUMMYFUNCTION("""COMPUTED_VALUE"""),9072.9)</f>
        <v>9072.9</v>
      </c>
      <c r="D4108" s="3">
        <f>IFERROR(__xludf.DUMMYFUNCTION("""COMPUTED_VALUE"""),9019.3)</f>
        <v>9019.3</v>
      </c>
      <c r="E4108" s="3">
        <f>IFERROR(__xludf.DUMMYFUNCTION("""COMPUTED_VALUE"""),9030.45)</f>
        <v>9030.45</v>
      </c>
      <c r="F4108" s="3">
        <f>IFERROR(__xludf.DUMMYFUNCTION("""COMPUTED_VALUE"""),0.0)</f>
        <v>0</v>
      </c>
    </row>
    <row r="4109">
      <c r="A4109" s="7">
        <f>IFERROR(__xludf.DUMMYFUNCTION("""COMPUTED_VALUE"""),42817.64583333333)</f>
        <v>42817.64583</v>
      </c>
      <c r="B4109" s="3">
        <f>IFERROR(__xludf.DUMMYFUNCTION("""COMPUTED_VALUE"""),9048.75)</f>
        <v>9048.75</v>
      </c>
      <c r="C4109" s="3">
        <f>IFERROR(__xludf.DUMMYFUNCTION("""COMPUTED_VALUE"""),9099.05)</f>
        <v>9099.05</v>
      </c>
      <c r="D4109" s="3">
        <f>IFERROR(__xludf.DUMMYFUNCTION("""COMPUTED_VALUE"""),9048.6)</f>
        <v>9048.6</v>
      </c>
      <c r="E4109" s="3">
        <f>IFERROR(__xludf.DUMMYFUNCTION("""COMPUTED_VALUE"""),9086.3)</f>
        <v>9086.3</v>
      </c>
      <c r="F4109" s="3">
        <f>IFERROR(__xludf.DUMMYFUNCTION("""COMPUTED_VALUE"""),0.0)</f>
        <v>0</v>
      </c>
    </row>
    <row r="4110">
      <c r="A4110" s="7">
        <f>IFERROR(__xludf.DUMMYFUNCTION("""COMPUTED_VALUE"""),42818.64583333333)</f>
        <v>42818.64583</v>
      </c>
      <c r="B4110" s="3">
        <f>IFERROR(__xludf.DUMMYFUNCTION("""COMPUTED_VALUE"""),9104.0)</f>
        <v>9104</v>
      </c>
      <c r="C4110" s="3">
        <f>IFERROR(__xludf.DUMMYFUNCTION("""COMPUTED_VALUE"""),9133.55)</f>
        <v>9133.55</v>
      </c>
      <c r="D4110" s="3">
        <f>IFERROR(__xludf.DUMMYFUNCTION("""COMPUTED_VALUE"""),9089.4)</f>
        <v>9089.4</v>
      </c>
      <c r="E4110" s="3">
        <f>IFERROR(__xludf.DUMMYFUNCTION("""COMPUTED_VALUE"""),9108.0)</f>
        <v>9108</v>
      </c>
      <c r="F4110" s="3">
        <f>IFERROR(__xludf.DUMMYFUNCTION("""COMPUTED_VALUE"""),0.0)</f>
        <v>0</v>
      </c>
    </row>
    <row r="4111">
      <c r="A4111" s="7">
        <f>IFERROR(__xludf.DUMMYFUNCTION("""COMPUTED_VALUE"""),42821.64583333333)</f>
        <v>42821.64583</v>
      </c>
      <c r="B4111" s="3">
        <f>IFERROR(__xludf.DUMMYFUNCTION("""COMPUTED_VALUE"""),9093.45)</f>
        <v>9093.45</v>
      </c>
      <c r="C4111" s="3">
        <f>IFERROR(__xludf.DUMMYFUNCTION("""COMPUTED_VALUE"""),9094.85)</f>
        <v>9094.85</v>
      </c>
      <c r="D4111" s="3">
        <f>IFERROR(__xludf.DUMMYFUNCTION("""COMPUTED_VALUE"""),9024.65)</f>
        <v>9024.65</v>
      </c>
      <c r="E4111" s="3">
        <f>IFERROR(__xludf.DUMMYFUNCTION("""COMPUTED_VALUE"""),9045.2)</f>
        <v>9045.2</v>
      </c>
      <c r="F4111" s="3">
        <f>IFERROR(__xludf.DUMMYFUNCTION("""COMPUTED_VALUE"""),0.0)</f>
        <v>0</v>
      </c>
    </row>
    <row r="4112">
      <c r="A4112" s="7">
        <f>IFERROR(__xludf.DUMMYFUNCTION("""COMPUTED_VALUE"""),42822.64583333333)</f>
        <v>42822.64583</v>
      </c>
      <c r="B4112" s="3">
        <f>IFERROR(__xludf.DUMMYFUNCTION("""COMPUTED_VALUE"""),9081.5)</f>
        <v>9081.5</v>
      </c>
      <c r="C4112" s="3">
        <f>IFERROR(__xludf.DUMMYFUNCTION("""COMPUTED_VALUE"""),9110.4)</f>
        <v>9110.4</v>
      </c>
      <c r="D4112" s="3">
        <f>IFERROR(__xludf.DUMMYFUNCTION("""COMPUTED_VALUE"""),9079.8)</f>
        <v>9079.8</v>
      </c>
      <c r="E4112" s="3">
        <f>IFERROR(__xludf.DUMMYFUNCTION("""COMPUTED_VALUE"""),9100.8)</f>
        <v>9100.8</v>
      </c>
      <c r="F4112" s="3">
        <f>IFERROR(__xludf.DUMMYFUNCTION("""COMPUTED_VALUE"""),0.0)</f>
        <v>0</v>
      </c>
    </row>
    <row r="4113">
      <c r="A4113" s="7">
        <f>IFERROR(__xludf.DUMMYFUNCTION("""COMPUTED_VALUE"""),42823.64583333333)</f>
        <v>42823.64583</v>
      </c>
      <c r="B4113" s="3">
        <f>IFERROR(__xludf.DUMMYFUNCTION("""COMPUTED_VALUE"""),9128.7)</f>
        <v>9128.7</v>
      </c>
      <c r="C4113" s="3">
        <f>IFERROR(__xludf.DUMMYFUNCTION("""COMPUTED_VALUE"""),9153.15)</f>
        <v>9153.15</v>
      </c>
      <c r="D4113" s="3">
        <f>IFERROR(__xludf.DUMMYFUNCTION("""COMPUTED_VALUE"""),9109.1)</f>
        <v>9109.1</v>
      </c>
      <c r="E4113" s="3">
        <f>IFERROR(__xludf.DUMMYFUNCTION("""COMPUTED_VALUE"""),9143.8)</f>
        <v>9143.8</v>
      </c>
      <c r="F4113" s="3">
        <f>IFERROR(__xludf.DUMMYFUNCTION("""COMPUTED_VALUE"""),0.0)</f>
        <v>0</v>
      </c>
    </row>
    <row r="4114">
      <c r="A4114" s="7">
        <f>IFERROR(__xludf.DUMMYFUNCTION("""COMPUTED_VALUE"""),42824.64583333333)</f>
        <v>42824.64583</v>
      </c>
      <c r="B4114" s="3">
        <f>IFERROR(__xludf.DUMMYFUNCTION("""COMPUTED_VALUE"""),9142.6)</f>
        <v>9142.6</v>
      </c>
      <c r="C4114" s="3">
        <f>IFERROR(__xludf.DUMMYFUNCTION("""COMPUTED_VALUE"""),9183.15)</f>
        <v>9183.15</v>
      </c>
      <c r="D4114" s="3">
        <f>IFERROR(__xludf.DUMMYFUNCTION("""COMPUTED_VALUE"""),9136.35)</f>
        <v>9136.35</v>
      </c>
      <c r="E4114" s="3">
        <f>IFERROR(__xludf.DUMMYFUNCTION("""COMPUTED_VALUE"""),9173.75)</f>
        <v>9173.75</v>
      </c>
      <c r="F4114" s="3">
        <f>IFERROR(__xludf.DUMMYFUNCTION("""COMPUTED_VALUE"""),0.0)</f>
        <v>0</v>
      </c>
    </row>
    <row r="4115">
      <c r="A4115" s="7">
        <f>IFERROR(__xludf.DUMMYFUNCTION("""COMPUTED_VALUE"""),42825.64583333333)</f>
        <v>42825.64583</v>
      </c>
      <c r="B4115" s="3">
        <f>IFERROR(__xludf.DUMMYFUNCTION("""COMPUTED_VALUE"""),9158.9)</f>
        <v>9158.9</v>
      </c>
      <c r="C4115" s="3">
        <f>IFERROR(__xludf.DUMMYFUNCTION("""COMPUTED_VALUE"""),9191.7)</f>
        <v>9191.7</v>
      </c>
      <c r="D4115" s="3">
        <f>IFERROR(__xludf.DUMMYFUNCTION("""COMPUTED_VALUE"""),9152.1)</f>
        <v>9152.1</v>
      </c>
      <c r="E4115" s="3">
        <f>IFERROR(__xludf.DUMMYFUNCTION("""COMPUTED_VALUE"""),9173.75)</f>
        <v>9173.75</v>
      </c>
      <c r="F4115" s="3">
        <f>IFERROR(__xludf.DUMMYFUNCTION("""COMPUTED_VALUE"""),0.0)</f>
        <v>0</v>
      </c>
    </row>
    <row r="4116">
      <c r="A4116" s="7">
        <f>IFERROR(__xludf.DUMMYFUNCTION("""COMPUTED_VALUE"""),42828.64583333333)</f>
        <v>42828.64583</v>
      </c>
      <c r="B4116" s="3">
        <f>IFERROR(__xludf.DUMMYFUNCTION("""COMPUTED_VALUE"""),9220.6)</f>
        <v>9220.6</v>
      </c>
      <c r="C4116" s="3">
        <f>IFERROR(__xludf.DUMMYFUNCTION("""COMPUTED_VALUE"""),9245.35)</f>
        <v>9245.35</v>
      </c>
      <c r="D4116" s="3">
        <f>IFERROR(__xludf.DUMMYFUNCTION("""COMPUTED_VALUE"""),9192.4)</f>
        <v>9192.4</v>
      </c>
      <c r="E4116" s="3">
        <f>IFERROR(__xludf.DUMMYFUNCTION("""COMPUTED_VALUE"""),9237.85)</f>
        <v>9237.85</v>
      </c>
      <c r="F4116" s="3">
        <f>IFERROR(__xludf.DUMMYFUNCTION("""COMPUTED_VALUE"""),0.0)</f>
        <v>0</v>
      </c>
    </row>
    <row r="4117">
      <c r="A4117" s="7">
        <f>IFERROR(__xludf.DUMMYFUNCTION("""COMPUTED_VALUE"""),42830.64583333333)</f>
        <v>42830.64583</v>
      </c>
      <c r="B4117" s="3">
        <f>IFERROR(__xludf.DUMMYFUNCTION("""COMPUTED_VALUE"""),9264.4)</f>
        <v>9264.4</v>
      </c>
      <c r="C4117" s="3">
        <f>IFERROR(__xludf.DUMMYFUNCTION("""COMPUTED_VALUE"""),9273.9)</f>
        <v>9273.9</v>
      </c>
      <c r="D4117" s="3">
        <f>IFERROR(__xludf.DUMMYFUNCTION("""COMPUTED_VALUE"""),9215.4)</f>
        <v>9215.4</v>
      </c>
      <c r="E4117" s="3">
        <f>IFERROR(__xludf.DUMMYFUNCTION("""COMPUTED_VALUE"""),9265.15)</f>
        <v>9265.15</v>
      </c>
      <c r="F4117" s="3">
        <f>IFERROR(__xludf.DUMMYFUNCTION("""COMPUTED_VALUE"""),0.0)</f>
        <v>0</v>
      </c>
    </row>
    <row r="4118">
      <c r="A4118" s="7">
        <f>IFERROR(__xludf.DUMMYFUNCTION("""COMPUTED_VALUE"""),42831.64583333333)</f>
        <v>42831.64583</v>
      </c>
      <c r="B4118" s="3">
        <f>IFERROR(__xludf.DUMMYFUNCTION("""COMPUTED_VALUE"""),9245.8)</f>
        <v>9245.8</v>
      </c>
      <c r="C4118" s="3">
        <f>IFERROR(__xludf.DUMMYFUNCTION("""COMPUTED_VALUE"""),9267.95)</f>
        <v>9267.95</v>
      </c>
      <c r="D4118" s="3">
        <f>IFERROR(__xludf.DUMMYFUNCTION("""COMPUTED_VALUE"""),9218.85)</f>
        <v>9218.85</v>
      </c>
      <c r="E4118" s="3">
        <f>IFERROR(__xludf.DUMMYFUNCTION("""COMPUTED_VALUE"""),9261.95)</f>
        <v>9261.95</v>
      </c>
      <c r="F4118" s="3">
        <f>IFERROR(__xludf.DUMMYFUNCTION("""COMPUTED_VALUE"""),0.0)</f>
        <v>0</v>
      </c>
    </row>
    <row r="4119">
      <c r="A4119" s="7">
        <f>IFERROR(__xludf.DUMMYFUNCTION("""COMPUTED_VALUE"""),42832.64583333333)</f>
        <v>42832.64583</v>
      </c>
      <c r="B4119" s="3">
        <f>IFERROR(__xludf.DUMMYFUNCTION("""COMPUTED_VALUE"""),9223.7)</f>
        <v>9223.7</v>
      </c>
      <c r="C4119" s="3">
        <f>IFERROR(__xludf.DUMMYFUNCTION("""COMPUTED_VALUE"""),9250.5)</f>
        <v>9250.5</v>
      </c>
      <c r="D4119" s="3">
        <f>IFERROR(__xludf.DUMMYFUNCTION("""COMPUTED_VALUE"""),9188.1)</f>
        <v>9188.1</v>
      </c>
      <c r="E4119" s="3">
        <f>IFERROR(__xludf.DUMMYFUNCTION("""COMPUTED_VALUE"""),9198.3)</f>
        <v>9198.3</v>
      </c>
      <c r="F4119" s="3">
        <f>IFERROR(__xludf.DUMMYFUNCTION("""COMPUTED_VALUE"""),0.0)</f>
        <v>0</v>
      </c>
    </row>
    <row r="4120">
      <c r="A4120" s="7">
        <f>IFERROR(__xludf.DUMMYFUNCTION("""COMPUTED_VALUE"""),42835.64583333333)</f>
        <v>42835.64583</v>
      </c>
      <c r="B4120" s="3">
        <f>IFERROR(__xludf.DUMMYFUNCTION("""COMPUTED_VALUE"""),9225.6)</f>
        <v>9225.6</v>
      </c>
      <c r="C4120" s="3">
        <f>IFERROR(__xludf.DUMMYFUNCTION("""COMPUTED_VALUE"""),9225.65)</f>
        <v>9225.65</v>
      </c>
      <c r="D4120" s="3">
        <f>IFERROR(__xludf.DUMMYFUNCTION("""COMPUTED_VALUE"""),9174.85)</f>
        <v>9174.85</v>
      </c>
      <c r="E4120" s="3">
        <f>IFERROR(__xludf.DUMMYFUNCTION("""COMPUTED_VALUE"""),9181.45)</f>
        <v>9181.45</v>
      </c>
      <c r="F4120" s="3">
        <f>IFERROR(__xludf.DUMMYFUNCTION("""COMPUTED_VALUE"""),0.0)</f>
        <v>0</v>
      </c>
    </row>
    <row r="4121">
      <c r="A4121" s="7">
        <f>IFERROR(__xludf.DUMMYFUNCTION("""COMPUTED_VALUE"""),42836.64583333333)</f>
        <v>42836.64583</v>
      </c>
      <c r="B4121" s="3">
        <f>IFERROR(__xludf.DUMMYFUNCTION("""COMPUTED_VALUE"""),9184.55)</f>
        <v>9184.55</v>
      </c>
      <c r="C4121" s="3">
        <f>IFERROR(__xludf.DUMMYFUNCTION("""COMPUTED_VALUE"""),9242.7)</f>
        <v>9242.7</v>
      </c>
      <c r="D4121" s="3">
        <f>IFERROR(__xludf.DUMMYFUNCTION("""COMPUTED_VALUE"""),9172.85)</f>
        <v>9172.85</v>
      </c>
      <c r="E4121" s="3">
        <f>IFERROR(__xludf.DUMMYFUNCTION("""COMPUTED_VALUE"""),9237.0)</f>
        <v>9237</v>
      </c>
      <c r="F4121" s="3">
        <f>IFERROR(__xludf.DUMMYFUNCTION("""COMPUTED_VALUE"""),0.0)</f>
        <v>0</v>
      </c>
    </row>
    <row r="4122">
      <c r="A4122" s="7">
        <f>IFERROR(__xludf.DUMMYFUNCTION("""COMPUTED_VALUE"""),42837.64583333333)</f>
        <v>42837.64583</v>
      </c>
      <c r="B4122" s="3">
        <f>IFERROR(__xludf.DUMMYFUNCTION("""COMPUTED_VALUE"""),9242.5)</f>
        <v>9242.5</v>
      </c>
      <c r="C4122" s="3">
        <f>IFERROR(__xludf.DUMMYFUNCTION("""COMPUTED_VALUE"""),9246.4)</f>
        <v>9246.4</v>
      </c>
      <c r="D4122" s="3">
        <f>IFERROR(__xludf.DUMMYFUNCTION("""COMPUTED_VALUE"""),9161.8)</f>
        <v>9161.8</v>
      </c>
      <c r="E4122" s="3">
        <f>IFERROR(__xludf.DUMMYFUNCTION("""COMPUTED_VALUE"""),9203.45)</f>
        <v>9203.45</v>
      </c>
      <c r="F4122" s="3">
        <f>IFERROR(__xludf.DUMMYFUNCTION("""COMPUTED_VALUE"""),0.0)</f>
        <v>0</v>
      </c>
    </row>
    <row r="4123">
      <c r="A4123" s="7">
        <f>IFERROR(__xludf.DUMMYFUNCTION("""COMPUTED_VALUE"""),42838.64583333333)</f>
        <v>42838.64583</v>
      </c>
      <c r="B4123" s="3">
        <f>IFERROR(__xludf.DUMMYFUNCTION("""COMPUTED_VALUE"""),9202.5)</f>
        <v>9202.5</v>
      </c>
      <c r="C4123" s="3">
        <f>IFERROR(__xludf.DUMMYFUNCTION("""COMPUTED_VALUE"""),9202.65)</f>
        <v>9202.65</v>
      </c>
      <c r="D4123" s="3">
        <f>IFERROR(__xludf.DUMMYFUNCTION("""COMPUTED_VALUE"""),9144.95)</f>
        <v>9144.95</v>
      </c>
      <c r="E4123" s="3">
        <f>IFERROR(__xludf.DUMMYFUNCTION("""COMPUTED_VALUE"""),9150.8)</f>
        <v>9150.8</v>
      </c>
      <c r="F4123" s="3">
        <f>IFERROR(__xludf.DUMMYFUNCTION("""COMPUTED_VALUE"""),0.0)</f>
        <v>0</v>
      </c>
    </row>
    <row r="4124">
      <c r="A4124" s="7">
        <f>IFERROR(__xludf.DUMMYFUNCTION("""COMPUTED_VALUE"""),42842.64583333333)</f>
        <v>42842.64583</v>
      </c>
      <c r="B4124" s="3">
        <f>IFERROR(__xludf.DUMMYFUNCTION("""COMPUTED_VALUE"""),9144.75)</f>
        <v>9144.75</v>
      </c>
      <c r="C4124" s="3">
        <f>IFERROR(__xludf.DUMMYFUNCTION("""COMPUTED_VALUE"""),9160.0)</f>
        <v>9160</v>
      </c>
      <c r="D4124" s="3">
        <f>IFERROR(__xludf.DUMMYFUNCTION("""COMPUTED_VALUE"""),9120.25)</f>
        <v>9120.25</v>
      </c>
      <c r="E4124" s="3">
        <f>IFERROR(__xludf.DUMMYFUNCTION("""COMPUTED_VALUE"""),9139.3)</f>
        <v>9139.3</v>
      </c>
      <c r="F4124" s="3">
        <f>IFERROR(__xludf.DUMMYFUNCTION("""COMPUTED_VALUE"""),0.0)</f>
        <v>0</v>
      </c>
    </row>
    <row r="4125">
      <c r="A4125" s="7">
        <f>IFERROR(__xludf.DUMMYFUNCTION("""COMPUTED_VALUE"""),42843.64583333333)</f>
        <v>42843.64583</v>
      </c>
      <c r="B4125" s="3">
        <f>IFERROR(__xludf.DUMMYFUNCTION("""COMPUTED_VALUE"""),9163.0)</f>
        <v>9163</v>
      </c>
      <c r="C4125" s="3">
        <f>IFERROR(__xludf.DUMMYFUNCTION("""COMPUTED_VALUE"""),9217.9)</f>
        <v>9217.9</v>
      </c>
      <c r="D4125" s="3">
        <f>IFERROR(__xludf.DUMMYFUNCTION("""COMPUTED_VALUE"""),9095.45)</f>
        <v>9095.45</v>
      </c>
      <c r="E4125" s="3">
        <f>IFERROR(__xludf.DUMMYFUNCTION("""COMPUTED_VALUE"""),9105.15)</f>
        <v>9105.15</v>
      </c>
      <c r="F4125" s="3">
        <f>IFERROR(__xludf.DUMMYFUNCTION("""COMPUTED_VALUE"""),0.0)</f>
        <v>0</v>
      </c>
    </row>
    <row r="4126">
      <c r="A4126" s="7">
        <f>IFERROR(__xludf.DUMMYFUNCTION("""COMPUTED_VALUE"""),42844.64583333333)</f>
        <v>42844.64583</v>
      </c>
      <c r="B4126" s="3">
        <f>IFERROR(__xludf.DUMMYFUNCTION("""COMPUTED_VALUE"""),9112.2)</f>
        <v>9112.2</v>
      </c>
      <c r="C4126" s="3">
        <f>IFERROR(__xludf.DUMMYFUNCTION("""COMPUTED_VALUE"""),9120.5)</f>
        <v>9120.5</v>
      </c>
      <c r="D4126" s="3">
        <f>IFERROR(__xludf.DUMMYFUNCTION("""COMPUTED_VALUE"""),9075.15)</f>
        <v>9075.15</v>
      </c>
      <c r="E4126" s="3">
        <f>IFERROR(__xludf.DUMMYFUNCTION("""COMPUTED_VALUE"""),9103.5)</f>
        <v>9103.5</v>
      </c>
      <c r="F4126" s="3">
        <f>IFERROR(__xludf.DUMMYFUNCTION("""COMPUTED_VALUE"""),0.0)</f>
        <v>0</v>
      </c>
    </row>
    <row r="4127">
      <c r="A4127" s="7">
        <f>IFERROR(__xludf.DUMMYFUNCTION("""COMPUTED_VALUE"""),42845.64583333333)</f>
        <v>42845.64583</v>
      </c>
      <c r="B4127" s="3">
        <f>IFERROR(__xludf.DUMMYFUNCTION("""COMPUTED_VALUE"""),9108.1)</f>
        <v>9108.1</v>
      </c>
      <c r="C4127" s="3">
        <f>IFERROR(__xludf.DUMMYFUNCTION("""COMPUTED_VALUE"""),9143.9)</f>
        <v>9143.9</v>
      </c>
      <c r="D4127" s="3">
        <f>IFERROR(__xludf.DUMMYFUNCTION("""COMPUTED_VALUE"""),9102.65)</f>
        <v>9102.65</v>
      </c>
      <c r="E4127" s="3">
        <f>IFERROR(__xludf.DUMMYFUNCTION("""COMPUTED_VALUE"""),9136.4)</f>
        <v>9136.4</v>
      </c>
      <c r="F4127" s="3">
        <f>IFERROR(__xludf.DUMMYFUNCTION("""COMPUTED_VALUE"""),0.0)</f>
        <v>0</v>
      </c>
    </row>
    <row r="4128">
      <c r="A4128" s="7">
        <f>IFERROR(__xludf.DUMMYFUNCTION("""COMPUTED_VALUE"""),42846.64583333333)</f>
        <v>42846.64583</v>
      </c>
      <c r="B4128" s="3">
        <f>IFERROR(__xludf.DUMMYFUNCTION("""COMPUTED_VALUE"""),9179.1)</f>
        <v>9179.1</v>
      </c>
      <c r="C4128" s="3">
        <f>IFERROR(__xludf.DUMMYFUNCTION("""COMPUTED_VALUE"""),9183.65)</f>
        <v>9183.65</v>
      </c>
      <c r="D4128" s="3">
        <f>IFERROR(__xludf.DUMMYFUNCTION("""COMPUTED_VALUE"""),9088.75)</f>
        <v>9088.75</v>
      </c>
      <c r="E4128" s="3">
        <f>IFERROR(__xludf.DUMMYFUNCTION("""COMPUTED_VALUE"""),9119.4)</f>
        <v>9119.4</v>
      </c>
      <c r="F4128" s="3">
        <f>IFERROR(__xludf.DUMMYFUNCTION("""COMPUTED_VALUE"""),0.0)</f>
        <v>0</v>
      </c>
    </row>
    <row r="4129">
      <c r="A4129" s="7">
        <f>IFERROR(__xludf.DUMMYFUNCTION("""COMPUTED_VALUE"""),42849.64583333333)</f>
        <v>42849.64583</v>
      </c>
      <c r="B4129" s="3">
        <f>IFERROR(__xludf.DUMMYFUNCTION("""COMPUTED_VALUE"""),9135.35)</f>
        <v>9135.35</v>
      </c>
      <c r="C4129" s="3">
        <f>IFERROR(__xludf.DUMMYFUNCTION("""COMPUTED_VALUE"""),9225.4)</f>
        <v>9225.4</v>
      </c>
      <c r="D4129" s="3">
        <f>IFERROR(__xludf.DUMMYFUNCTION("""COMPUTED_VALUE"""),9130.55)</f>
        <v>9130.55</v>
      </c>
      <c r="E4129" s="3">
        <f>IFERROR(__xludf.DUMMYFUNCTION("""COMPUTED_VALUE"""),9217.95)</f>
        <v>9217.95</v>
      </c>
      <c r="F4129" s="3">
        <f>IFERROR(__xludf.DUMMYFUNCTION("""COMPUTED_VALUE"""),0.0)</f>
        <v>0</v>
      </c>
    </row>
    <row r="4130">
      <c r="A4130" s="7">
        <f>IFERROR(__xludf.DUMMYFUNCTION("""COMPUTED_VALUE"""),42850.64583333333)</f>
        <v>42850.64583</v>
      </c>
      <c r="B4130" s="3">
        <f>IFERROR(__xludf.DUMMYFUNCTION("""COMPUTED_VALUE"""),9273.05)</f>
        <v>9273.05</v>
      </c>
      <c r="C4130" s="3">
        <f>IFERROR(__xludf.DUMMYFUNCTION("""COMPUTED_VALUE"""),9309.2)</f>
        <v>9309.2</v>
      </c>
      <c r="D4130" s="3">
        <f>IFERROR(__xludf.DUMMYFUNCTION("""COMPUTED_VALUE"""),9250.35)</f>
        <v>9250.35</v>
      </c>
      <c r="E4130" s="3">
        <f>IFERROR(__xludf.DUMMYFUNCTION("""COMPUTED_VALUE"""),9306.6)</f>
        <v>9306.6</v>
      </c>
      <c r="F4130" s="3">
        <f>IFERROR(__xludf.DUMMYFUNCTION("""COMPUTED_VALUE"""),0.0)</f>
        <v>0</v>
      </c>
    </row>
    <row r="4131">
      <c r="A4131" s="7">
        <f>IFERROR(__xludf.DUMMYFUNCTION("""COMPUTED_VALUE"""),42851.64583333333)</f>
        <v>42851.64583</v>
      </c>
      <c r="B4131" s="3">
        <f>IFERROR(__xludf.DUMMYFUNCTION("""COMPUTED_VALUE"""),9336.2)</f>
        <v>9336.2</v>
      </c>
      <c r="C4131" s="3">
        <f>IFERROR(__xludf.DUMMYFUNCTION("""COMPUTED_VALUE"""),9367.0)</f>
        <v>9367</v>
      </c>
      <c r="D4131" s="3">
        <f>IFERROR(__xludf.DUMMYFUNCTION("""COMPUTED_VALUE"""),9301.35)</f>
        <v>9301.35</v>
      </c>
      <c r="E4131" s="3">
        <f>IFERROR(__xludf.DUMMYFUNCTION("""COMPUTED_VALUE"""),9351.85)</f>
        <v>9351.85</v>
      </c>
      <c r="F4131" s="3">
        <f>IFERROR(__xludf.DUMMYFUNCTION("""COMPUTED_VALUE"""),0.0)</f>
        <v>0</v>
      </c>
    </row>
    <row r="4132">
      <c r="A4132" s="7">
        <f>IFERROR(__xludf.DUMMYFUNCTION("""COMPUTED_VALUE"""),42852.64583333333)</f>
        <v>42852.64583</v>
      </c>
      <c r="B4132" s="3">
        <f>IFERROR(__xludf.DUMMYFUNCTION("""COMPUTED_VALUE"""),9359.15)</f>
        <v>9359.15</v>
      </c>
      <c r="C4132" s="3">
        <f>IFERROR(__xludf.DUMMYFUNCTION("""COMPUTED_VALUE"""),9367.15)</f>
        <v>9367.15</v>
      </c>
      <c r="D4132" s="3">
        <f>IFERROR(__xludf.DUMMYFUNCTION("""COMPUTED_VALUE"""),9322.65)</f>
        <v>9322.65</v>
      </c>
      <c r="E4132" s="3">
        <f>IFERROR(__xludf.DUMMYFUNCTION("""COMPUTED_VALUE"""),9342.15)</f>
        <v>9342.15</v>
      </c>
      <c r="F4132" s="3">
        <f>IFERROR(__xludf.DUMMYFUNCTION("""COMPUTED_VALUE"""),0.0)</f>
        <v>0</v>
      </c>
    </row>
    <row r="4133">
      <c r="A4133" s="7">
        <f>IFERROR(__xludf.DUMMYFUNCTION("""COMPUTED_VALUE"""),42853.64583333333)</f>
        <v>42853.64583</v>
      </c>
      <c r="B4133" s="3">
        <f>IFERROR(__xludf.DUMMYFUNCTION("""COMPUTED_VALUE"""),9340.95)</f>
        <v>9340.95</v>
      </c>
      <c r="C4133" s="3">
        <f>IFERROR(__xludf.DUMMYFUNCTION("""COMPUTED_VALUE"""),9342.65)</f>
        <v>9342.65</v>
      </c>
      <c r="D4133" s="3">
        <f>IFERROR(__xludf.DUMMYFUNCTION("""COMPUTED_VALUE"""),9282.25)</f>
        <v>9282.25</v>
      </c>
      <c r="E4133" s="3">
        <f>IFERROR(__xludf.DUMMYFUNCTION("""COMPUTED_VALUE"""),9304.05)</f>
        <v>9304.05</v>
      </c>
      <c r="F4133" s="3">
        <f>IFERROR(__xludf.DUMMYFUNCTION("""COMPUTED_VALUE"""),0.0)</f>
        <v>0</v>
      </c>
    </row>
    <row r="4134">
      <c r="A4134" s="7">
        <f>IFERROR(__xludf.DUMMYFUNCTION("""COMPUTED_VALUE"""),42857.64583333333)</f>
        <v>42857.64583</v>
      </c>
      <c r="B4134" s="3">
        <f>IFERROR(__xludf.DUMMYFUNCTION("""COMPUTED_VALUE"""),9339.85)</f>
        <v>9339.85</v>
      </c>
      <c r="C4134" s="3">
        <f>IFERROR(__xludf.DUMMYFUNCTION("""COMPUTED_VALUE"""),9352.55)</f>
        <v>9352.55</v>
      </c>
      <c r="D4134" s="3">
        <f>IFERROR(__xludf.DUMMYFUNCTION("""COMPUTED_VALUE"""),9269.9)</f>
        <v>9269.9</v>
      </c>
      <c r="E4134" s="3">
        <f>IFERROR(__xludf.DUMMYFUNCTION("""COMPUTED_VALUE"""),9313.8)</f>
        <v>9313.8</v>
      </c>
      <c r="F4134" s="3">
        <f>IFERROR(__xludf.DUMMYFUNCTION("""COMPUTED_VALUE"""),0.0)</f>
        <v>0</v>
      </c>
    </row>
    <row r="4135">
      <c r="A4135" s="7">
        <f>IFERROR(__xludf.DUMMYFUNCTION("""COMPUTED_VALUE"""),42858.64583333333)</f>
        <v>42858.64583</v>
      </c>
      <c r="B4135" s="3">
        <f>IFERROR(__xludf.DUMMYFUNCTION("""COMPUTED_VALUE"""),9344.7)</f>
        <v>9344.7</v>
      </c>
      <c r="C4135" s="3">
        <f>IFERROR(__xludf.DUMMYFUNCTION("""COMPUTED_VALUE"""),9346.3)</f>
        <v>9346.3</v>
      </c>
      <c r="D4135" s="3">
        <f>IFERROR(__xludf.DUMMYFUNCTION("""COMPUTED_VALUE"""),9298.4)</f>
        <v>9298.4</v>
      </c>
      <c r="E4135" s="3">
        <f>IFERROR(__xludf.DUMMYFUNCTION("""COMPUTED_VALUE"""),9311.95)</f>
        <v>9311.95</v>
      </c>
      <c r="F4135" s="3">
        <f>IFERROR(__xludf.DUMMYFUNCTION("""COMPUTED_VALUE"""),0.0)</f>
        <v>0</v>
      </c>
    </row>
    <row r="4136">
      <c r="A4136" s="7">
        <f>IFERROR(__xludf.DUMMYFUNCTION("""COMPUTED_VALUE"""),42859.64583333333)</f>
        <v>42859.64583</v>
      </c>
      <c r="B4136" s="3">
        <f>IFERROR(__xludf.DUMMYFUNCTION("""COMPUTED_VALUE"""),9360.95)</f>
        <v>9360.95</v>
      </c>
      <c r="C4136" s="3">
        <f>IFERROR(__xludf.DUMMYFUNCTION("""COMPUTED_VALUE"""),9365.65)</f>
        <v>9365.65</v>
      </c>
      <c r="D4136" s="3">
        <f>IFERROR(__xludf.DUMMYFUNCTION("""COMPUTED_VALUE"""),9323.25)</f>
        <v>9323.25</v>
      </c>
      <c r="E4136" s="3">
        <f>IFERROR(__xludf.DUMMYFUNCTION("""COMPUTED_VALUE"""),9359.9)</f>
        <v>9359.9</v>
      </c>
      <c r="F4136" s="3">
        <f>IFERROR(__xludf.DUMMYFUNCTION("""COMPUTED_VALUE"""),0.0)</f>
        <v>0</v>
      </c>
    </row>
    <row r="4137">
      <c r="A4137" s="7">
        <f>IFERROR(__xludf.DUMMYFUNCTION("""COMPUTED_VALUE"""),42860.64583333333)</f>
        <v>42860.64583</v>
      </c>
      <c r="B4137" s="3">
        <f>IFERROR(__xludf.DUMMYFUNCTION("""COMPUTED_VALUE"""),9374.55)</f>
        <v>9374.55</v>
      </c>
      <c r="C4137" s="3">
        <f>IFERROR(__xludf.DUMMYFUNCTION("""COMPUTED_VALUE"""),9377.1)</f>
        <v>9377.1</v>
      </c>
      <c r="D4137" s="3">
        <f>IFERROR(__xludf.DUMMYFUNCTION("""COMPUTED_VALUE"""),9272.0)</f>
        <v>9272</v>
      </c>
      <c r="E4137" s="3">
        <f>IFERROR(__xludf.DUMMYFUNCTION("""COMPUTED_VALUE"""),9285.3)</f>
        <v>9285.3</v>
      </c>
      <c r="F4137" s="3">
        <f>IFERROR(__xludf.DUMMYFUNCTION("""COMPUTED_VALUE"""),0.0)</f>
        <v>0</v>
      </c>
    </row>
    <row r="4138">
      <c r="A4138" s="7">
        <f>IFERROR(__xludf.DUMMYFUNCTION("""COMPUTED_VALUE"""),42863.64583333333)</f>
        <v>42863.64583</v>
      </c>
      <c r="B4138" s="3">
        <f>IFERROR(__xludf.DUMMYFUNCTION("""COMPUTED_VALUE"""),9311.45)</f>
        <v>9311.45</v>
      </c>
      <c r="C4138" s="3">
        <f>IFERROR(__xludf.DUMMYFUNCTION("""COMPUTED_VALUE"""),9338.7)</f>
        <v>9338.7</v>
      </c>
      <c r="D4138" s="3">
        <f>IFERROR(__xludf.DUMMYFUNCTION("""COMPUTED_VALUE"""),9297.95)</f>
        <v>9297.95</v>
      </c>
      <c r="E4138" s="3">
        <f>IFERROR(__xludf.DUMMYFUNCTION("""COMPUTED_VALUE"""),9314.05)</f>
        <v>9314.05</v>
      </c>
      <c r="F4138" s="3">
        <f>IFERROR(__xludf.DUMMYFUNCTION("""COMPUTED_VALUE"""),0.0)</f>
        <v>0</v>
      </c>
    </row>
    <row r="4139">
      <c r="A4139" s="7">
        <f>IFERROR(__xludf.DUMMYFUNCTION("""COMPUTED_VALUE"""),42864.64583333333)</f>
        <v>42864.64583</v>
      </c>
      <c r="B4139" s="3">
        <f>IFERROR(__xludf.DUMMYFUNCTION("""COMPUTED_VALUE"""),9337.35)</f>
        <v>9337.35</v>
      </c>
      <c r="C4139" s="3">
        <f>IFERROR(__xludf.DUMMYFUNCTION("""COMPUTED_VALUE"""),9338.95)</f>
        <v>9338.95</v>
      </c>
      <c r="D4139" s="3">
        <f>IFERROR(__xludf.DUMMYFUNCTION("""COMPUTED_VALUE"""),9307.7)</f>
        <v>9307.7</v>
      </c>
      <c r="E4139" s="3">
        <f>IFERROR(__xludf.DUMMYFUNCTION("""COMPUTED_VALUE"""),9316.85)</f>
        <v>9316.85</v>
      </c>
      <c r="F4139" s="3">
        <f>IFERROR(__xludf.DUMMYFUNCTION("""COMPUTED_VALUE"""),0.0)</f>
        <v>0</v>
      </c>
    </row>
    <row r="4140">
      <c r="A4140" s="7">
        <f>IFERROR(__xludf.DUMMYFUNCTION("""COMPUTED_VALUE"""),42865.64583333333)</f>
        <v>42865.64583</v>
      </c>
      <c r="B4140" s="3">
        <f>IFERROR(__xludf.DUMMYFUNCTION("""COMPUTED_VALUE"""),9339.65)</f>
        <v>9339.65</v>
      </c>
      <c r="C4140" s="3">
        <f>IFERROR(__xludf.DUMMYFUNCTION("""COMPUTED_VALUE"""),9414.75)</f>
        <v>9414.75</v>
      </c>
      <c r="D4140" s="3">
        <f>IFERROR(__xludf.DUMMYFUNCTION("""COMPUTED_VALUE"""),9336.0)</f>
        <v>9336</v>
      </c>
      <c r="E4140" s="3">
        <f>IFERROR(__xludf.DUMMYFUNCTION("""COMPUTED_VALUE"""),9407.3)</f>
        <v>9407.3</v>
      </c>
      <c r="F4140" s="3">
        <f>IFERROR(__xludf.DUMMYFUNCTION("""COMPUTED_VALUE"""),0.0)</f>
        <v>0</v>
      </c>
    </row>
    <row r="4141">
      <c r="A4141" s="7">
        <f>IFERROR(__xludf.DUMMYFUNCTION("""COMPUTED_VALUE"""),42866.64583333333)</f>
        <v>42866.64583</v>
      </c>
      <c r="B4141" s="3">
        <f>IFERROR(__xludf.DUMMYFUNCTION("""COMPUTED_VALUE"""),9448.6)</f>
        <v>9448.6</v>
      </c>
      <c r="C4141" s="3">
        <f>IFERROR(__xludf.DUMMYFUNCTION("""COMPUTED_VALUE"""),9450.65)</f>
        <v>9450.65</v>
      </c>
      <c r="D4141" s="3">
        <f>IFERROR(__xludf.DUMMYFUNCTION("""COMPUTED_VALUE"""),9411.3)</f>
        <v>9411.3</v>
      </c>
      <c r="E4141" s="3">
        <f>IFERROR(__xludf.DUMMYFUNCTION("""COMPUTED_VALUE"""),9422.4)</f>
        <v>9422.4</v>
      </c>
      <c r="F4141" s="3">
        <f>IFERROR(__xludf.DUMMYFUNCTION("""COMPUTED_VALUE"""),0.0)</f>
        <v>0</v>
      </c>
    </row>
    <row r="4142">
      <c r="A4142" s="7">
        <f>IFERROR(__xludf.DUMMYFUNCTION("""COMPUTED_VALUE"""),42867.64583333333)</f>
        <v>42867.64583</v>
      </c>
      <c r="B4142" s="3">
        <f>IFERROR(__xludf.DUMMYFUNCTION("""COMPUTED_VALUE"""),9436.65)</f>
        <v>9436.65</v>
      </c>
      <c r="C4142" s="3">
        <f>IFERROR(__xludf.DUMMYFUNCTION("""COMPUTED_VALUE"""),9437.75)</f>
        <v>9437.75</v>
      </c>
      <c r="D4142" s="3">
        <f>IFERROR(__xludf.DUMMYFUNCTION("""COMPUTED_VALUE"""),9372.55)</f>
        <v>9372.55</v>
      </c>
      <c r="E4142" s="3">
        <f>IFERROR(__xludf.DUMMYFUNCTION("""COMPUTED_VALUE"""),9400.9)</f>
        <v>9400.9</v>
      </c>
      <c r="F4142" s="3">
        <f>IFERROR(__xludf.DUMMYFUNCTION("""COMPUTED_VALUE"""),0.0)</f>
        <v>0</v>
      </c>
    </row>
    <row r="4143">
      <c r="A4143" s="7">
        <f>IFERROR(__xludf.DUMMYFUNCTION("""COMPUTED_VALUE"""),42870.64583333333)</f>
        <v>42870.64583</v>
      </c>
      <c r="B4143" s="3">
        <f>IFERROR(__xludf.DUMMYFUNCTION("""COMPUTED_VALUE"""),9433.55)</f>
        <v>9433.55</v>
      </c>
      <c r="C4143" s="3">
        <f>IFERROR(__xludf.DUMMYFUNCTION("""COMPUTED_VALUE"""),9449.25)</f>
        <v>9449.25</v>
      </c>
      <c r="D4143" s="3">
        <f>IFERROR(__xludf.DUMMYFUNCTION("""COMPUTED_VALUE"""),9423.1)</f>
        <v>9423.1</v>
      </c>
      <c r="E4143" s="3">
        <f>IFERROR(__xludf.DUMMYFUNCTION("""COMPUTED_VALUE"""),9445.4)</f>
        <v>9445.4</v>
      </c>
      <c r="F4143" s="3">
        <f>IFERROR(__xludf.DUMMYFUNCTION("""COMPUTED_VALUE"""),0.0)</f>
        <v>0</v>
      </c>
    </row>
    <row r="4144">
      <c r="A4144" s="7">
        <f>IFERROR(__xludf.DUMMYFUNCTION("""COMPUTED_VALUE"""),42871.64583333333)</f>
        <v>42871.64583</v>
      </c>
      <c r="B4144" s="3">
        <f>IFERROR(__xludf.DUMMYFUNCTION("""COMPUTED_VALUE"""),9461.0)</f>
        <v>9461</v>
      </c>
      <c r="C4144" s="3">
        <f>IFERROR(__xludf.DUMMYFUNCTION("""COMPUTED_VALUE"""),9517.2)</f>
        <v>9517.2</v>
      </c>
      <c r="D4144" s="3">
        <f>IFERROR(__xludf.DUMMYFUNCTION("""COMPUTED_VALUE"""),9456.35)</f>
        <v>9456.35</v>
      </c>
      <c r="E4144" s="3">
        <f>IFERROR(__xludf.DUMMYFUNCTION("""COMPUTED_VALUE"""),9512.25)</f>
        <v>9512.25</v>
      </c>
      <c r="F4144" s="3">
        <f>IFERROR(__xludf.DUMMYFUNCTION("""COMPUTED_VALUE"""),0.0)</f>
        <v>0</v>
      </c>
    </row>
    <row r="4145">
      <c r="A4145" s="7">
        <f>IFERROR(__xludf.DUMMYFUNCTION("""COMPUTED_VALUE"""),42872.64583333333)</f>
        <v>42872.64583</v>
      </c>
      <c r="B4145" s="3">
        <f>IFERROR(__xludf.DUMMYFUNCTION("""COMPUTED_VALUE"""),9517.6)</f>
        <v>9517.6</v>
      </c>
      <c r="C4145" s="3">
        <f>IFERROR(__xludf.DUMMYFUNCTION("""COMPUTED_VALUE"""),9532.6)</f>
        <v>9532.6</v>
      </c>
      <c r="D4145" s="3">
        <f>IFERROR(__xludf.DUMMYFUNCTION("""COMPUTED_VALUE"""),9486.1)</f>
        <v>9486.1</v>
      </c>
      <c r="E4145" s="3">
        <f>IFERROR(__xludf.DUMMYFUNCTION("""COMPUTED_VALUE"""),9525.75)</f>
        <v>9525.75</v>
      </c>
      <c r="F4145" s="3">
        <f>IFERROR(__xludf.DUMMYFUNCTION("""COMPUTED_VALUE"""),0.0)</f>
        <v>0</v>
      </c>
    </row>
    <row r="4146">
      <c r="A4146" s="7">
        <f>IFERROR(__xludf.DUMMYFUNCTION("""COMPUTED_VALUE"""),42873.64583333333)</f>
        <v>42873.64583</v>
      </c>
      <c r="B4146" s="3">
        <f>IFERROR(__xludf.DUMMYFUNCTION("""COMPUTED_VALUE"""),9453.2)</f>
        <v>9453.2</v>
      </c>
      <c r="C4146" s="3">
        <f>IFERROR(__xludf.DUMMYFUNCTION("""COMPUTED_VALUE"""),9489.1)</f>
        <v>9489.1</v>
      </c>
      <c r="D4146" s="3">
        <f>IFERROR(__xludf.DUMMYFUNCTION("""COMPUTED_VALUE"""),9418.1)</f>
        <v>9418.1</v>
      </c>
      <c r="E4146" s="3">
        <f>IFERROR(__xludf.DUMMYFUNCTION("""COMPUTED_VALUE"""),9429.45)</f>
        <v>9429.45</v>
      </c>
      <c r="F4146" s="3">
        <f>IFERROR(__xludf.DUMMYFUNCTION("""COMPUTED_VALUE"""),0.0)</f>
        <v>0</v>
      </c>
    </row>
    <row r="4147">
      <c r="A4147" s="7">
        <f>IFERROR(__xludf.DUMMYFUNCTION("""COMPUTED_VALUE"""),42874.64583333333)</f>
        <v>42874.64583</v>
      </c>
      <c r="B4147" s="3">
        <f>IFERROR(__xludf.DUMMYFUNCTION("""COMPUTED_VALUE"""),9469.9)</f>
        <v>9469.9</v>
      </c>
      <c r="C4147" s="3">
        <f>IFERROR(__xludf.DUMMYFUNCTION("""COMPUTED_VALUE"""),9505.75)</f>
        <v>9505.75</v>
      </c>
      <c r="D4147" s="3">
        <f>IFERROR(__xludf.DUMMYFUNCTION("""COMPUTED_VALUE"""),9390.75)</f>
        <v>9390.75</v>
      </c>
      <c r="E4147" s="3">
        <f>IFERROR(__xludf.DUMMYFUNCTION("""COMPUTED_VALUE"""),9427.9)</f>
        <v>9427.9</v>
      </c>
      <c r="F4147" s="3">
        <f>IFERROR(__xludf.DUMMYFUNCTION("""COMPUTED_VALUE"""),0.0)</f>
        <v>0</v>
      </c>
    </row>
    <row r="4148">
      <c r="A4148" s="7">
        <f>IFERROR(__xludf.DUMMYFUNCTION("""COMPUTED_VALUE"""),42877.64583333333)</f>
        <v>42877.64583</v>
      </c>
      <c r="B4148" s="3">
        <f>IFERROR(__xludf.DUMMYFUNCTION("""COMPUTED_VALUE"""),9480.25)</f>
        <v>9480.25</v>
      </c>
      <c r="C4148" s="3">
        <f>IFERROR(__xludf.DUMMYFUNCTION("""COMPUTED_VALUE"""),9498.65)</f>
        <v>9498.65</v>
      </c>
      <c r="D4148" s="3">
        <f>IFERROR(__xludf.DUMMYFUNCTION("""COMPUTED_VALUE"""),9427.9)</f>
        <v>9427.9</v>
      </c>
      <c r="E4148" s="3">
        <f>IFERROR(__xludf.DUMMYFUNCTION("""COMPUTED_VALUE"""),9438.25)</f>
        <v>9438.25</v>
      </c>
      <c r="F4148" s="3">
        <f>IFERROR(__xludf.DUMMYFUNCTION("""COMPUTED_VALUE"""),0.0)</f>
        <v>0</v>
      </c>
    </row>
    <row r="4149">
      <c r="A4149" s="7">
        <f>IFERROR(__xludf.DUMMYFUNCTION("""COMPUTED_VALUE"""),42878.64583333333)</f>
        <v>42878.64583</v>
      </c>
      <c r="B4149" s="3">
        <f>IFERROR(__xludf.DUMMYFUNCTION("""COMPUTED_VALUE"""),9445.05)</f>
        <v>9445.05</v>
      </c>
      <c r="C4149" s="3">
        <f>IFERROR(__xludf.DUMMYFUNCTION("""COMPUTED_VALUE"""),9448.05)</f>
        <v>9448.05</v>
      </c>
      <c r="D4149" s="3">
        <f>IFERROR(__xludf.DUMMYFUNCTION("""COMPUTED_VALUE"""),9370.0)</f>
        <v>9370</v>
      </c>
      <c r="E4149" s="3">
        <f>IFERROR(__xludf.DUMMYFUNCTION("""COMPUTED_VALUE"""),9386.15)</f>
        <v>9386.15</v>
      </c>
      <c r="F4149" s="3">
        <f>IFERROR(__xludf.DUMMYFUNCTION("""COMPUTED_VALUE"""),0.0)</f>
        <v>0</v>
      </c>
    </row>
    <row r="4150">
      <c r="A4150" s="7">
        <f>IFERROR(__xludf.DUMMYFUNCTION("""COMPUTED_VALUE"""),42879.64583333333)</f>
        <v>42879.64583</v>
      </c>
      <c r="B4150" s="3">
        <f>IFERROR(__xludf.DUMMYFUNCTION("""COMPUTED_VALUE"""),9410.9)</f>
        <v>9410.9</v>
      </c>
      <c r="C4150" s="3">
        <f>IFERROR(__xludf.DUMMYFUNCTION("""COMPUTED_VALUE"""),9431.9)</f>
        <v>9431.9</v>
      </c>
      <c r="D4150" s="3">
        <f>IFERROR(__xludf.DUMMYFUNCTION("""COMPUTED_VALUE"""),9341.65)</f>
        <v>9341.65</v>
      </c>
      <c r="E4150" s="3">
        <f>IFERROR(__xludf.DUMMYFUNCTION("""COMPUTED_VALUE"""),9360.55)</f>
        <v>9360.55</v>
      </c>
      <c r="F4150" s="3">
        <f>IFERROR(__xludf.DUMMYFUNCTION("""COMPUTED_VALUE"""),0.0)</f>
        <v>0</v>
      </c>
    </row>
    <row r="4151">
      <c r="A4151" s="7">
        <f>IFERROR(__xludf.DUMMYFUNCTION("""COMPUTED_VALUE"""),42880.64583333333)</f>
        <v>42880.64583</v>
      </c>
      <c r="B4151" s="3">
        <f>IFERROR(__xludf.DUMMYFUNCTION("""COMPUTED_VALUE"""),9384.05)</f>
        <v>9384.05</v>
      </c>
      <c r="C4151" s="3">
        <f>IFERROR(__xludf.DUMMYFUNCTION("""COMPUTED_VALUE"""),9523.3)</f>
        <v>9523.3</v>
      </c>
      <c r="D4151" s="3">
        <f>IFERROR(__xludf.DUMMYFUNCTION("""COMPUTED_VALUE"""),9379.2)</f>
        <v>9379.2</v>
      </c>
      <c r="E4151" s="3">
        <f>IFERROR(__xludf.DUMMYFUNCTION("""COMPUTED_VALUE"""),9509.75)</f>
        <v>9509.75</v>
      </c>
      <c r="F4151" s="3">
        <f>IFERROR(__xludf.DUMMYFUNCTION("""COMPUTED_VALUE"""),0.0)</f>
        <v>0</v>
      </c>
    </row>
    <row r="4152">
      <c r="A4152" s="7">
        <f>IFERROR(__xludf.DUMMYFUNCTION("""COMPUTED_VALUE"""),42881.64583333333)</f>
        <v>42881.64583</v>
      </c>
      <c r="B4152" s="3">
        <f>IFERROR(__xludf.DUMMYFUNCTION("""COMPUTED_VALUE"""),9507.75)</f>
        <v>9507.75</v>
      </c>
      <c r="C4152" s="3">
        <f>IFERROR(__xludf.DUMMYFUNCTION("""COMPUTED_VALUE"""),9604.9)</f>
        <v>9604.9</v>
      </c>
      <c r="D4152" s="3">
        <f>IFERROR(__xludf.DUMMYFUNCTION("""COMPUTED_VALUE"""),9495.4)</f>
        <v>9495.4</v>
      </c>
      <c r="E4152" s="3">
        <f>IFERROR(__xludf.DUMMYFUNCTION("""COMPUTED_VALUE"""),9595.1)</f>
        <v>9595.1</v>
      </c>
      <c r="F4152" s="3">
        <f>IFERROR(__xludf.DUMMYFUNCTION("""COMPUTED_VALUE"""),0.0)</f>
        <v>0</v>
      </c>
    </row>
    <row r="4153">
      <c r="A4153" s="7">
        <f>IFERROR(__xludf.DUMMYFUNCTION("""COMPUTED_VALUE"""),42884.64583333333)</f>
        <v>42884.64583</v>
      </c>
      <c r="B4153" s="3">
        <f>IFERROR(__xludf.DUMMYFUNCTION("""COMPUTED_VALUE"""),9560.05)</f>
        <v>9560.05</v>
      </c>
      <c r="C4153" s="3">
        <f>IFERROR(__xludf.DUMMYFUNCTION("""COMPUTED_VALUE"""),9637.75)</f>
        <v>9637.75</v>
      </c>
      <c r="D4153" s="3">
        <f>IFERROR(__xludf.DUMMYFUNCTION("""COMPUTED_VALUE"""),9547.7)</f>
        <v>9547.7</v>
      </c>
      <c r="E4153" s="3">
        <f>IFERROR(__xludf.DUMMYFUNCTION("""COMPUTED_VALUE"""),9604.9)</f>
        <v>9604.9</v>
      </c>
      <c r="F4153" s="3">
        <f>IFERROR(__xludf.DUMMYFUNCTION("""COMPUTED_VALUE"""),0.0)</f>
        <v>0</v>
      </c>
    </row>
    <row r="4154">
      <c r="A4154" s="7">
        <f>IFERROR(__xludf.DUMMYFUNCTION("""COMPUTED_VALUE"""),42885.64583333333)</f>
        <v>42885.64583</v>
      </c>
      <c r="B4154" s="3">
        <f>IFERROR(__xludf.DUMMYFUNCTION("""COMPUTED_VALUE"""),9590.65)</f>
        <v>9590.65</v>
      </c>
      <c r="C4154" s="3">
        <f>IFERROR(__xludf.DUMMYFUNCTION("""COMPUTED_VALUE"""),9635.3)</f>
        <v>9635.3</v>
      </c>
      <c r="D4154" s="3">
        <f>IFERROR(__xludf.DUMMYFUNCTION("""COMPUTED_VALUE"""),9581.2)</f>
        <v>9581.2</v>
      </c>
      <c r="E4154" s="3">
        <f>IFERROR(__xludf.DUMMYFUNCTION("""COMPUTED_VALUE"""),9624.55)</f>
        <v>9624.55</v>
      </c>
      <c r="F4154" s="3">
        <f>IFERROR(__xludf.DUMMYFUNCTION("""COMPUTED_VALUE"""),0.0)</f>
        <v>0</v>
      </c>
    </row>
    <row r="4155">
      <c r="A4155" s="7">
        <f>IFERROR(__xludf.DUMMYFUNCTION("""COMPUTED_VALUE"""),42886.64583333333)</f>
        <v>42886.64583</v>
      </c>
      <c r="B4155" s="3">
        <f>IFERROR(__xludf.DUMMYFUNCTION("""COMPUTED_VALUE"""),9636.55)</f>
        <v>9636.55</v>
      </c>
      <c r="C4155" s="3">
        <f>IFERROR(__xludf.DUMMYFUNCTION("""COMPUTED_VALUE"""),9649.6)</f>
        <v>9649.6</v>
      </c>
      <c r="D4155" s="3">
        <f>IFERROR(__xludf.DUMMYFUNCTION("""COMPUTED_VALUE"""),9609.25)</f>
        <v>9609.25</v>
      </c>
      <c r="E4155" s="3">
        <f>IFERROR(__xludf.DUMMYFUNCTION("""COMPUTED_VALUE"""),9621.25)</f>
        <v>9621.25</v>
      </c>
      <c r="F4155" s="3">
        <f>IFERROR(__xludf.DUMMYFUNCTION("""COMPUTED_VALUE"""),0.0)</f>
        <v>0</v>
      </c>
    </row>
    <row r="4156">
      <c r="A4156" s="7">
        <f>IFERROR(__xludf.DUMMYFUNCTION("""COMPUTED_VALUE"""),42887.64583333333)</f>
        <v>42887.64583</v>
      </c>
      <c r="B4156" s="3">
        <f>IFERROR(__xludf.DUMMYFUNCTION("""COMPUTED_VALUE"""),9603.55)</f>
        <v>9603.55</v>
      </c>
      <c r="C4156" s="3">
        <f>IFERROR(__xludf.DUMMYFUNCTION("""COMPUTED_VALUE"""),9634.65)</f>
        <v>9634.65</v>
      </c>
      <c r="D4156" s="3">
        <f>IFERROR(__xludf.DUMMYFUNCTION("""COMPUTED_VALUE"""),9589.9)</f>
        <v>9589.9</v>
      </c>
      <c r="E4156" s="3">
        <f>IFERROR(__xludf.DUMMYFUNCTION("""COMPUTED_VALUE"""),9616.1)</f>
        <v>9616.1</v>
      </c>
      <c r="F4156" s="3">
        <f>IFERROR(__xludf.DUMMYFUNCTION("""COMPUTED_VALUE"""),0.0)</f>
        <v>0</v>
      </c>
    </row>
    <row r="4157">
      <c r="A4157" s="7">
        <f>IFERROR(__xludf.DUMMYFUNCTION("""COMPUTED_VALUE"""),42888.64583333333)</f>
        <v>42888.64583</v>
      </c>
      <c r="B4157" s="3">
        <f>IFERROR(__xludf.DUMMYFUNCTION("""COMPUTED_VALUE"""),9657.15)</f>
        <v>9657.15</v>
      </c>
      <c r="C4157" s="3">
        <f>IFERROR(__xludf.DUMMYFUNCTION("""COMPUTED_VALUE"""),9673.5)</f>
        <v>9673.5</v>
      </c>
      <c r="D4157" s="3">
        <f>IFERROR(__xludf.DUMMYFUNCTION("""COMPUTED_VALUE"""),9637.45)</f>
        <v>9637.45</v>
      </c>
      <c r="E4157" s="3">
        <f>IFERROR(__xludf.DUMMYFUNCTION("""COMPUTED_VALUE"""),9653.5)</f>
        <v>9653.5</v>
      </c>
      <c r="F4157" s="3">
        <f>IFERROR(__xludf.DUMMYFUNCTION("""COMPUTED_VALUE"""),0.0)</f>
        <v>0</v>
      </c>
    </row>
    <row r="4158">
      <c r="A4158" s="7">
        <f>IFERROR(__xludf.DUMMYFUNCTION("""COMPUTED_VALUE"""),42891.64583333333)</f>
        <v>42891.64583</v>
      </c>
      <c r="B4158" s="3">
        <f>IFERROR(__xludf.DUMMYFUNCTION("""COMPUTED_VALUE"""),9656.3)</f>
        <v>9656.3</v>
      </c>
      <c r="C4158" s="3">
        <f>IFERROR(__xludf.DUMMYFUNCTION("""COMPUTED_VALUE"""),9687.2)</f>
        <v>9687.2</v>
      </c>
      <c r="D4158" s="3">
        <f>IFERROR(__xludf.DUMMYFUNCTION("""COMPUTED_VALUE"""),9640.7)</f>
        <v>9640.7</v>
      </c>
      <c r="E4158" s="3">
        <f>IFERROR(__xludf.DUMMYFUNCTION("""COMPUTED_VALUE"""),9675.1)</f>
        <v>9675.1</v>
      </c>
      <c r="F4158" s="3">
        <f>IFERROR(__xludf.DUMMYFUNCTION("""COMPUTED_VALUE"""),0.0)</f>
        <v>0</v>
      </c>
    </row>
    <row r="4159">
      <c r="A4159" s="7">
        <f>IFERROR(__xludf.DUMMYFUNCTION("""COMPUTED_VALUE"""),42892.64583333333)</f>
        <v>42892.64583</v>
      </c>
      <c r="B4159" s="3">
        <f>IFERROR(__xludf.DUMMYFUNCTION("""COMPUTED_VALUE"""),9704.25)</f>
        <v>9704.25</v>
      </c>
      <c r="C4159" s="3">
        <f>IFERROR(__xludf.DUMMYFUNCTION("""COMPUTED_VALUE"""),9709.3)</f>
        <v>9709.3</v>
      </c>
      <c r="D4159" s="3">
        <f>IFERROR(__xludf.DUMMYFUNCTION("""COMPUTED_VALUE"""),9630.2)</f>
        <v>9630.2</v>
      </c>
      <c r="E4159" s="3">
        <f>IFERROR(__xludf.DUMMYFUNCTION("""COMPUTED_VALUE"""),9637.15)</f>
        <v>9637.15</v>
      </c>
      <c r="F4159" s="3">
        <f>IFERROR(__xludf.DUMMYFUNCTION("""COMPUTED_VALUE"""),0.0)</f>
        <v>0</v>
      </c>
    </row>
    <row r="4160">
      <c r="A4160" s="7">
        <f>IFERROR(__xludf.DUMMYFUNCTION("""COMPUTED_VALUE"""),42893.64583333333)</f>
        <v>42893.64583</v>
      </c>
      <c r="B4160" s="3">
        <f>IFERROR(__xludf.DUMMYFUNCTION("""COMPUTED_VALUE"""),9663.95)</f>
        <v>9663.95</v>
      </c>
      <c r="C4160" s="3">
        <f>IFERROR(__xludf.DUMMYFUNCTION("""COMPUTED_VALUE"""),9678.55)</f>
        <v>9678.55</v>
      </c>
      <c r="D4160" s="3">
        <f>IFERROR(__xludf.DUMMYFUNCTION("""COMPUTED_VALUE"""),9630.55)</f>
        <v>9630.55</v>
      </c>
      <c r="E4160" s="3">
        <f>IFERROR(__xludf.DUMMYFUNCTION("""COMPUTED_VALUE"""),9663.9)</f>
        <v>9663.9</v>
      </c>
      <c r="F4160" s="3">
        <f>IFERROR(__xludf.DUMMYFUNCTION("""COMPUTED_VALUE"""),0.0)</f>
        <v>0</v>
      </c>
    </row>
    <row r="4161">
      <c r="A4161" s="7">
        <f>IFERROR(__xludf.DUMMYFUNCTION("""COMPUTED_VALUE"""),42894.64583333333)</f>
        <v>42894.64583</v>
      </c>
      <c r="B4161" s="3">
        <f>IFERROR(__xludf.DUMMYFUNCTION("""COMPUTED_VALUE"""),9682.4)</f>
        <v>9682.4</v>
      </c>
      <c r="C4161" s="3">
        <f>IFERROR(__xludf.DUMMYFUNCTION("""COMPUTED_VALUE"""),9688.7)</f>
        <v>9688.7</v>
      </c>
      <c r="D4161" s="3">
        <f>IFERROR(__xludf.DUMMYFUNCTION("""COMPUTED_VALUE"""),9641.5)</f>
        <v>9641.5</v>
      </c>
      <c r="E4161" s="3">
        <f>IFERROR(__xludf.DUMMYFUNCTION("""COMPUTED_VALUE"""),9647.25)</f>
        <v>9647.25</v>
      </c>
      <c r="F4161" s="3">
        <f>IFERROR(__xludf.DUMMYFUNCTION("""COMPUTED_VALUE"""),0.0)</f>
        <v>0</v>
      </c>
    </row>
    <row r="4162">
      <c r="A4162" s="7">
        <f>IFERROR(__xludf.DUMMYFUNCTION("""COMPUTED_VALUE"""),42895.64583333333)</f>
        <v>42895.64583</v>
      </c>
      <c r="B4162" s="3">
        <f>IFERROR(__xludf.DUMMYFUNCTION("""COMPUTED_VALUE"""),9638.55)</f>
        <v>9638.55</v>
      </c>
      <c r="C4162" s="3">
        <f>IFERROR(__xludf.DUMMYFUNCTION("""COMPUTED_VALUE"""),9676.25)</f>
        <v>9676.25</v>
      </c>
      <c r="D4162" s="3">
        <f>IFERROR(__xludf.DUMMYFUNCTION("""COMPUTED_VALUE"""),9608.15)</f>
        <v>9608.15</v>
      </c>
      <c r="E4162" s="3">
        <f>IFERROR(__xludf.DUMMYFUNCTION("""COMPUTED_VALUE"""),9668.25)</f>
        <v>9668.25</v>
      </c>
      <c r="F4162" s="3">
        <f>IFERROR(__xludf.DUMMYFUNCTION("""COMPUTED_VALUE"""),0.0)</f>
        <v>0</v>
      </c>
    </row>
    <row r="4163">
      <c r="A4163" s="7">
        <f>IFERROR(__xludf.DUMMYFUNCTION("""COMPUTED_VALUE"""),42898.64583333333)</f>
        <v>42898.64583</v>
      </c>
      <c r="B4163" s="3">
        <f>IFERROR(__xludf.DUMMYFUNCTION("""COMPUTED_VALUE"""),9646.7)</f>
        <v>9646.7</v>
      </c>
      <c r="C4163" s="3">
        <f>IFERROR(__xludf.DUMMYFUNCTION("""COMPUTED_VALUE"""),9647.05)</f>
        <v>9647.05</v>
      </c>
      <c r="D4163" s="3">
        <f>IFERROR(__xludf.DUMMYFUNCTION("""COMPUTED_VALUE"""),9598.5)</f>
        <v>9598.5</v>
      </c>
      <c r="E4163" s="3">
        <f>IFERROR(__xludf.DUMMYFUNCTION("""COMPUTED_VALUE"""),9616.4)</f>
        <v>9616.4</v>
      </c>
      <c r="F4163" s="3">
        <f>IFERROR(__xludf.DUMMYFUNCTION("""COMPUTED_VALUE"""),0.0)</f>
        <v>0</v>
      </c>
    </row>
    <row r="4164">
      <c r="A4164" s="7">
        <f>IFERROR(__xludf.DUMMYFUNCTION("""COMPUTED_VALUE"""),42899.64583333333)</f>
        <v>42899.64583</v>
      </c>
      <c r="B4164" s="3">
        <f>IFERROR(__xludf.DUMMYFUNCTION("""COMPUTED_VALUE"""),9615.55)</f>
        <v>9615.55</v>
      </c>
      <c r="C4164" s="3">
        <f>IFERROR(__xludf.DUMMYFUNCTION("""COMPUTED_VALUE"""),9654.15)</f>
        <v>9654.15</v>
      </c>
      <c r="D4164" s="3">
        <f>IFERROR(__xludf.DUMMYFUNCTION("""COMPUTED_VALUE"""),9595.4)</f>
        <v>9595.4</v>
      </c>
      <c r="E4164" s="3">
        <f>IFERROR(__xludf.DUMMYFUNCTION("""COMPUTED_VALUE"""),9606.9)</f>
        <v>9606.9</v>
      </c>
      <c r="F4164" s="3">
        <f>IFERROR(__xludf.DUMMYFUNCTION("""COMPUTED_VALUE"""),0.0)</f>
        <v>0</v>
      </c>
    </row>
    <row r="4165">
      <c r="A4165" s="7">
        <f>IFERROR(__xludf.DUMMYFUNCTION("""COMPUTED_VALUE"""),42900.64583333333)</f>
        <v>42900.64583</v>
      </c>
      <c r="B4165" s="3">
        <f>IFERROR(__xludf.DUMMYFUNCTION("""COMPUTED_VALUE"""),9621.55)</f>
        <v>9621.55</v>
      </c>
      <c r="C4165" s="3">
        <f>IFERROR(__xludf.DUMMYFUNCTION("""COMPUTED_VALUE"""),9627.4)</f>
        <v>9627.4</v>
      </c>
      <c r="D4165" s="3">
        <f>IFERROR(__xludf.DUMMYFUNCTION("""COMPUTED_VALUE"""),9580.45)</f>
        <v>9580.45</v>
      </c>
      <c r="E4165" s="3">
        <f>IFERROR(__xludf.DUMMYFUNCTION("""COMPUTED_VALUE"""),9618.15)</f>
        <v>9618.15</v>
      </c>
      <c r="F4165" s="3">
        <f>IFERROR(__xludf.DUMMYFUNCTION("""COMPUTED_VALUE"""),0.0)</f>
        <v>0</v>
      </c>
    </row>
    <row r="4166">
      <c r="A4166" s="7">
        <f>IFERROR(__xludf.DUMMYFUNCTION("""COMPUTED_VALUE"""),42901.64583333333)</f>
        <v>42901.64583</v>
      </c>
      <c r="B4166" s="3">
        <f>IFERROR(__xludf.DUMMYFUNCTION("""COMPUTED_VALUE"""),9617.9)</f>
        <v>9617.9</v>
      </c>
      <c r="C4166" s="3">
        <f>IFERROR(__xludf.DUMMYFUNCTION("""COMPUTED_VALUE"""),9621.4)</f>
        <v>9621.4</v>
      </c>
      <c r="D4166" s="3">
        <f>IFERROR(__xludf.DUMMYFUNCTION("""COMPUTED_VALUE"""),9560.8)</f>
        <v>9560.8</v>
      </c>
      <c r="E4166" s="3">
        <f>IFERROR(__xludf.DUMMYFUNCTION("""COMPUTED_VALUE"""),9578.05)</f>
        <v>9578.05</v>
      </c>
      <c r="F4166" s="3">
        <f>IFERROR(__xludf.DUMMYFUNCTION("""COMPUTED_VALUE"""),0.0)</f>
        <v>0</v>
      </c>
    </row>
    <row r="4167">
      <c r="A4167" s="7">
        <f>IFERROR(__xludf.DUMMYFUNCTION("""COMPUTED_VALUE"""),42902.64583333333)</f>
        <v>42902.64583</v>
      </c>
      <c r="B4167" s="3">
        <f>IFERROR(__xludf.DUMMYFUNCTION("""COMPUTED_VALUE"""),9595.45)</f>
        <v>9595.45</v>
      </c>
      <c r="C4167" s="3">
        <f>IFERROR(__xludf.DUMMYFUNCTION("""COMPUTED_VALUE"""),9615.85)</f>
        <v>9615.85</v>
      </c>
      <c r="D4167" s="3">
        <f>IFERROR(__xludf.DUMMYFUNCTION("""COMPUTED_VALUE"""),9565.5)</f>
        <v>9565.5</v>
      </c>
      <c r="E4167" s="3">
        <f>IFERROR(__xludf.DUMMYFUNCTION("""COMPUTED_VALUE"""),9588.05)</f>
        <v>9588.05</v>
      </c>
      <c r="F4167" s="3">
        <f>IFERROR(__xludf.DUMMYFUNCTION("""COMPUTED_VALUE"""),0.0)</f>
        <v>0</v>
      </c>
    </row>
    <row r="4168">
      <c r="A4168" s="7">
        <f>IFERROR(__xludf.DUMMYFUNCTION("""COMPUTED_VALUE"""),42905.64583333333)</f>
        <v>42905.64583</v>
      </c>
      <c r="B4168" s="3">
        <f>IFERROR(__xludf.DUMMYFUNCTION("""COMPUTED_VALUE"""),9626.4)</f>
        <v>9626.4</v>
      </c>
      <c r="C4168" s="3">
        <f>IFERROR(__xludf.DUMMYFUNCTION("""COMPUTED_VALUE"""),9673.3)</f>
        <v>9673.3</v>
      </c>
      <c r="D4168" s="3">
        <f>IFERROR(__xludf.DUMMYFUNCTION("""COMPUTED_VALUE"""),9614.9)</f>
        <v>9614.9</v>
      </c>
      <c r="E4168" s="3">
        <f>IFERROR(__xludf.DUMMYFUNCTION("""COMPUTED_VALUE"""),9657.55)</f>
        <v>9657.55</v>
      </c>
      <c r="F4168" s="3">
        <f>IFERROR(__xludf.DUMMYFUNCTION("""COMPUTED_VALUE"""),0.0)</f>
        <v>0</v>
      </c>
    </row>
    <row r="4169">
      <c r="A4169" s="7">
        <f>IFERROR(__xludf.DUMMYFUNCTION("""COMPUTED_VALUE"""),42906.64583333333)</f>
        <v>42906.64583</v>
      </c>
      <c r="B4169" s="3">
        <f>IFERROR(__xludf.DUMMYFUNCTION("""COMPUTED_VALUE"""),9670.5)</f>
        <v>9670.5</v>
      </c>
      <c r="C4169" s="3">
        <f>IFERROR(__xludf.DUMMYFUNCTION("""COMPUTED_VALUE"""),9676.5)</f>
        <v>9676.5</v>
      </c>
      <c r="D4169" s="3">
        <f>IFERROR(__xludf.DUMMYFUNCTION("""COMPUTED_VALUE"""),9643.75)</f>
        <v>9643.75</v>
      </c>
      <c r="E4169" s="3">
        <f>IFERROR(__xludf.DUMMYFUNCTION("""COMPUTED_VALUE"""),9653.5)</f>
        <v>9653.5</v>
      </c>
      <c r="F4169" s="3">
        <f>IFERROR(__xludf.DUMMYFUNCTION("""COMPUTED_VALUE"""),0.0)</f>
        <v>0</v>
      </c>
    </row>
    <row r="4170">
      <c r="A4170" s="7">
        <f>IFERROR(__xludf.DUMMYFUNCTION("""COMPUTED_VALUE"""),42907.64583333333)</f>
        <v>42907.64583</v>
      </c>
      <c r="B4170" s="3">
        <f>IFERROR(__xludf.DUMMYFUNCTION("""COMPUTED_VALUE"""),9648.1)</f>
        <v>9648.1</v>
      </c>
      <c r="C4170" s="3">
        <f>IFERROR(__xludf.DUMMYFUNCTION("""COMPUTED_VALUE"""),9650.45)</f>
        <v>9650.45</v>
      </c>
      <c r="D4170" s="3">
        <f>IFERROR(__xludf.DUMMYFUNCTION("""COMPUTED_VALUE"""),9608.6)</f>
        <v>9608.6</v>
      </c>
      <c r="E4170" s="3">
        <f>IFERROR(__xludf.DUMMYFUNCTION("""COMPUTED_VALUE"""),9633.6)</f>
        <v>9633.6</v>
      </c>
      <c r="F4170" s="3">
        <f>IFERROR(__xludf.DUMMYFUNCTION("""COMPUTED_VALUE"""),0.0)</f>
        <v>0</v>
      </c>
    </row>
    <row r="4171">
      <c r="A4171" s="7">
        <f>IFERROR(__xludf.DUMMYFUNCTION("""COMPUTED_VALUE"""),42908.64583333333)</f>
        <v>42908.64583</v>
      </c>
      <c r="B4171" s="3">
        <f>IFERROR(__xludf.DUMMYFUNCTION("""COMPUTED_VALUE"""),9642.65)</f>
        <v>9642.65</v>
      </c>
      <c r="C4171" s="3">
        <f>IFERROR(__xludf.DUMMYFUNCTION("""COMPUTED_VALUE"""),9698.85)</f>
        <v>9698.85</v>
      </c>
      <c r="D4171" s="3">
        <f>IFERROR(__xludf.DUMMYFUNCTION("""COMPUTED_VALUE"""),9617.75)</f>
        <v>9617.75</v>
      </c>
      <c r="E4171" s="3">
        <f>IFERROR(__xludf.DUMMYFUNCTION("""COMPUTED_VALUE"""),9630.0)</f>
        <v>9630</v>
      </c>
      <c r="F4171" s="3">
        <f>IFERROR(__xludf.DUMMYFUNCTION("""COMPUTED_VALUE"""),0.0)</f>
        <v>0</v>
      </c>
    </row>
    <row r="4172">
      <c r="A4172" s="7">
        <f>IFERROR(__xludf.DUMMYFUNCTION("""COMPUTED_VALUE"""),42909.64583333333)</f>
        <v>42909.64583</v>
      </c>
      <c r="B4172" s="3">
        <f>IFERROR(__xludf.DUMMYFUNCTION("""COMPUTED_VALUE"""),9643.25)</f>
        <v>9643.25</v>
      </c>
      <c r="C4172" s="3">
        <f>IFERROR(__xludf.DUMMYFUNCTION("""COMPUTED_VALUE"""),9647.65)</f>
        <v>9647.65</v>
      </c>
      <c r="D4172" s="3">
        <f>IFERROR(__xludf.DUMMYFUNCTION("""COMPUTED_VALUE"""),9565.3)</f>
        <v>9565.3</v>
      </c>
      <c r="E4172" s="3">
        <f>IFERROR(__xludf.DUMMYFUNCTION("""COMPUTED_VALUE"""),9574.95)</f>
        <v>9574.95</v>
      </c>
      <c r="F4172" s="3">
        <f>IFERROR(__xludf.DUMMYFUNCTION("""COMPUTED_VALUE"""),0.0)</f>
        <v>0</v>
      </c>
    </row>
    <row r="4173">
      <c r="A4173" s="7">
        <f>IFERROR(__xludf.DUMMYFUNCTION("""COMPUTED_VALUE"""),42913.64583333333)</f>
        <v>42913.64583</v>
      </c>
      <c r="B4173" s="3">
        <f>IFERROR(__xludf.DUMMYFUNCTION("""COMPUTED_VALUE"""),9594.05)</f>
        <v>9594.05</v>
      </c>
      <c r="C4173" s="3">
        <f>IFERROR(__xludf.DUMMYFUNCTION("""COMPUTED_VALUE"""),9615.4)</f>
        <v>9615.4</v>
      </c>
      <c r="D4173" s="3">
        <f>IFERROR(__xludf.DUMMYFUNCTION("""COMPUTED_VALUE"""),9473.45)</f>
        <v>9473.45</v>
      </c>
      <c r="E4173" s="3">
        <f>IFERROR(__xludf.DUMMYFUNCTION("""COMPUTED_VALUE"""),9511.4)</f>
        <v>9511.4</v>
      </c>
      <c r="F4173" s="3">
        <f>IFERROR(__xludf.DUMMYFUNCTION("""COMPUTED_VALUE"""),0.0)</f>
        <v>0</v>
      </c>
    </row>
    <row r="4174">
      <c r="A4174" s="7">
        <f>IFERROR(__xludf.DUMMYFUNCTION("""COMPUTED_VALUE"""),42914.64583333333)</f>
        <v>42914.64583</v>
      </c>
      <c r="B4174" s="3">
        <f>IFERROR(__xludf.DUMMYFUNCTION("""COMPUTED_VALUE"""),9520.2)</f>
        <v>9520.2</v>
      </c>
      <c r="C4174" s="3">
        <f>IFERROR(__xludf.DUMMYFUNCTION("""COMPUTED_VALUE"""),9522.5)</f>
        <v>9522.5</v>
      </c>
      <c r="D4174" s="3">
        <f>IFERROR(__xludf.DUMMYFUNCTION("""COMPUTED_VALUE"""),9474.35)</f>
        <v>9474.35</v>
      </c>
      <c r="E4174" s="3">
        <f>IFERROR(__xludf.DUMMYFUNCTION("""COMPUTED_VALUE"""),9491.25)</f>
        <v>9491.25</v>
      </c>
      <c r="F4174" s="3">
        <f>IFERROR(__xludf.DUMMYFUNCTION("""COMPUTED_VALUE"""),0.0)</f>
        <v>0</v>
      </c>
    </row>
    <row r="4175">
      <c r="A4175" s="7">
        <f>IFERROR(__xludf.DUMMYFUNCTION("""COMPUTED_VALUE"""),42915.64583333333)</f>
        <v>42915.64583</v>
      </c>
      <c r="B4175" s="3">
        <f>IFERROR(__xludf.DUMMYFUNCTION("""COMPUTED_VALUE"""),9522.95)</f>
        <v>9522.95</v>
      </c>
      <c r="C4175" s="3">
        <f>IFERROR(__xludf.DUMMYFUNCTION("""COMPUTED_VALUE"""),9575.8)</f>
        <v>9575.8</v>
      </c>
      <c r="D4175" s="3">
        <f>IFERROR(__xludf.DUMMYFUNCTION("""COMPUTED_VALUE"""),9493.8)</f>
        <v>9493.8</v>
      </c>
      <c r="E4175" s="3">
        <f>IFERROR(__xludf.DUMMYFUNCTION("""COMPUTED_VALUE"""),9504.1)</f>
        <v>9504.1</v>
      </c>
      <c r="F4175" s="3">
        <f>IFERROR(__xludf.DUMMYFUNCTION("""COMPUTED_VALUE"""),0.0)</f>
        <v>0</v>
      </c>
    </row>
    <row r="4176">
      <c r="A4176" s="7">
        <f>IFERROR(__xludf.DUMMYFUNCTION("""COMPUTED_VALUE"""),42916.64583333333)</f>
        <v>42916.64583</v>
      </c>
      <c r="B4176" s="3">
        <f>IFERROR(__xludf.DUMMYFUNCTION("""COMPUTED_VALUE"""),9478.5)</f>
        <v>9478.5</v>
      </c>
      <c r="C4176" s="3">
        <f>IFERROR(__xludf.DUMMYFUNCTION("""COMPUTED_VALUE"""),9535.8)</f>
        <v>9535.8</v>
      </c>
      <c r="D4176" s="3">
        <f>IFERROR(__xludf.DUMMYFUNCTION("""COMPUTED_VALUE"""),9448.75)</f>
        <v>9448.75</v>
      </c>
      <c r="E4176" s="3">
        <f>IFERROR(__xludf.DUMMYFUNCTION("""COMPUTED_VALUE"""),9520.9)</f>
        <v>9520.9</v>
      </c>
      <c r="F4176" s="3">
        <f>IFERROR(__xludf.DUMMYFUNCTION("""COMPUTED_VALUE"""),0.0)</f>
        <v>0</v>
      </c>
    </row>
    <row r="4177">
      <c r="A4177" s="7">
        <f>IFERROR(__xludf.DUMMYFUNCTION("""COMPUTED_VALUE"""),42919.64583333333)</f>
        <v>42919.64583</v>
      </c>
      <c r="B4177" s="3">
        <f>IFERROR(__xludf.DUMMYFUNCTION("""COMPUTED_VALUE"""),9587.95)</f>
        <v>9587.95</v>
      </c>
      <c r="C4177" s="3">
        <f>IFERROR(__xludf.DUMMYFUNCTION("""COMPUTED_VALUE"""),9624.0)</f>
        <v>9624</v>
      </c>
      <c r="D4177" s="3">
        <f>IFERROR(__xludf.DUMMYFUNCTION("""COMPUTED_VALUE"""),9543.55)</f>
        <v>9543.55</v>
      </c>
      <c r="E4177" s="3">
        <f>IFERROR(__xludf.DUMMYFUNCTION("""COMPUTED_VALUE"""),9615.0)</f>
        <v>9615</v>
      </c>
      <c r="F4177" s="3">
        <f>IFERROR(__xludf.DUMMYFUNCTION("""COMPUTED_VALUE"""),0.0)</f>
        <v>0</v>
      </c>
    </row>
    <row r="4178">
      <c r="A4178" s="7">
        <f>IFERROR(__xludf.DUMMYFUNCTION("""COMPUTED_VALUE"""),42920.64583333333)</f>
        <v>42920.64583</v>
      </c>
      <c r="B4178" s="3">
        <f>IFERROR(__xludf.DUMMYFUNCTION("""COMPUTED_VALUE"""),9645.9)</f>
        <v>9645.9</v>
      </c>
      <c r="C4178" s="3">
        <f>IFERROR(__xludf.DUMMYFUNCTION("""COMPUTED_VALUE"""),9650.65)</f>
        <v>9650.65</v>
      </c>
      <c r="D4178" s="3">
        <f>IFERROR(__xludf.DUMMYFUNCTION("""COMPUTED_VALUE"""),9595.5)</f>
        <v>9595.5</v>
      </c>
      <c r="E4178" s="3">
        <f>IFERROR(__xludf.DUMMYFUNCTION("""COMPUTED_VALUE"""),9613.3)</f>
        <v>9613.3</v>
      </c>
      <c r="F4178" s="3">
        <f>IFERROR(__xludf.DUMMYFUNCTION("""COMPUTED_VALUE"""),0.0)</f>
        <v>0</v>
      </c>
    </row>
    <row r="4179">
      <c r="A4179" s="7">
        <f>IFERROR(__xludf.DUMMYFUNCTION("""COMPUTED_VALUE"""),42921.64583333333)</f>
        <v>42921.64583</v>
      </c>
      <c r="B4179" s="3">
        <f>IFERROR(__xludf.DUMMYFUNCTION("""COMPUTED_VALUE"""),9619.75)</f>
        <v>9619.75</v>
      </c>
      <c r="C4179" s="3">
        <f>IFERROR(__xludf.DUMMYFUNCTION("""COMPUTED_VALUE"""),9643.65)</f>
        <v>9643.65</v>
      </c>
      <c r="D4179" s="3">
        <f>IFERROR(__xludf.DUMMYFUNCTION("""COMPUTED_VALUE"""),9607.35)</f>
        <v>9607.35</v>
      </c>
      <c r="E4179" s="3">
        <f>IFERROR(__xludf.DUMMYFUNCTION("""COMPUTED_VALUE"""),9637.6)</f>
        <v>9637.6</v>
      </c>
      <c r="F4179" s="3">
        <f>IFERROR(__xludf.DUMMYFUNCTION("""COMPUTED_VALUE"""),0.0)</f>
        <v>0</v>
      </c>
    </row>
    <row r="4180">
      <c r="A4180" s="7">
        <f>IFERROR(__xludf.DUMMYFUNCTION("""COMPUTED_VALUE"""),42922.64583333333)</f>
        <v>42922.64583</v>
      </c>
      <c r="B4180" s="3">
        <f>IFERROR(__xludf.DUMMYFUNCTION("""COMPUTED_VALUE"""),9653.6)</f>
        <v>9653.6</v>
      </c>
      <c r="C4180" s="3">
        <f>IFERROR(__xludf.DUMMYFUNCTION("""COMPUTED_VALUE"""),9700.7)</f>
        <v>9700.7</v>
      </c>
      <c r="D4180" s="3">
        <f>IFERROR(__xludf.DUMMYFUNCTION("""COMPUTED_VALUE"""),9639.95)</f>
        <v>9639.95</v>
      </c>
      <c r="E4180" s="3">
        <f>IFERROR(__xludf.DUMMYFUNCTION("""COMPUTED_VALUE"""),9674.55)</f>
        <v>9674.55</v>
      </c>
      <c r="F4180" s="3">
        <f>IFERROR(__xludf.DUMMYFUNCTION("""COMPUTED_VALUE"""),0.0)</f>
        <v>0</v>
      </c>
    </row>
    <row r="4181">
      <c r="A4181" s="7">
        <f>IFERROR(__xludf.DUMMYFUNCTION("""COMPUTED_VALUE"""),42923.64583333333)</f>
        <v>42923.64583</v>
      </c>
      <c r="B4181" s="3">
        <f>IFERROR(__xludf.DUMMYFUNCTION("""COMPUTED_VALUE"""),9670.35)</f>
        <v>9670.35</v>
      </c>
      <c r="C4181" s="3">
        <f>IFERROR(__xludf.DUMMYFUNCTION("""COMPUTED_VALUE"""),9684.25)</f>
        <v>9684.25</v>
      </c>
      <c r="D4181" s="3">
        <f>IFERROR(__xludf.DUMMYFUNCTION("""COMPUTED_VALUE"""),9642.65)</f>
        <v>9642.65</v>
      </c>
      <c r="E4181" s="3">
        <f>IFERROR(__xludf.DUMMYFUNCTION("""COMPUTED_VALUE"""),9665.8)</f>
        <v>9665.8</v>
      </c>
      <c r="F4181" s="3">
        <f>IFERROR(__xludf.DUMMYFUNCTION("""COMPUTED_VALUE"""),0.0)</f>
        <v>0</v>
      </c>
    </row>
    <row r="4182">
      <c r="A4182" s="7">
        <f>IFERROR(__xludf.DUMMYFUNCTION("""COMPUTED_VALUE"""),42926.64583333333)</f>
        <v>42926.64583</v>
      </c>
      <c r="B4182" s="3">
        <f>IFERROR(__xludf.DUMMYFUNCTION("""COMPUTED_VALUE"""),9719.3)</f>
        <v>9719.3</v>
      </c>
      <c r="C4182" s="3">
        <f>IFERROR(__xludf.DUMMYFUNCTION("""COMPUTED_VALUE"""),9782.15)</f>
        <v>9782.15</v>
      </c>
      <c r="D4182" s="3">
        <f>IFERROR(__xludf.DUMMYFUNCTION("""COMPUTED_VALUE"""),9646.45)</f>
        <v>9646.45</v>
      </c>
      <c r="E4182" s="3">
        <f>IFERROR(__xludf.DUMMYFUNCTION("""COMPUTED_VALUE"""),9771.05)</f>
        <v>9771.05</v>
      </c>
      <c r="F4182" s="3">
        <f>IFERROR(__xludf.DUMMYFUNCTION("""COMPUTED_VALUE"""),0.0)</f>
        <v>0</v>
      </c>
    </row>
    <row r="4183">
      <c r="A4183" s="7">
        <f>IFERROR(__xludf.DUMMYFUNCTION("""COMPUTED_VALUE"""),42927.64583333333)</f>
        <v>42927.64583</v>
      </c>
      <c r="B4183" s="3">
        <f>IFERROR(__xludf.DUMMYFUNCTION("""COMPUTED_VALUE"""),9797.45)</f>
        <v>9797.45</v>
      </c>
      <c r="C4183" s="3">
        <f>IFERROR(__xludf.DUMMYFUNCTION("""COMPUTED_VALUE"""),9830.05)</f>
        <v>9830.05</v>
      </c>
      <c r="D4183" s="3">
        <f>IFERROR(__xludf.DUMMYFUNCTION("""COMPUTED_VALUE"""),9778.85)</f>
        <v>9778.85</v>
      </c>
      <c r="E4183" s="3">
        <f>IFERROR(__xludf.DUMMYFUNCTION("""COMPUTED_VALUE"""),9786.05)</f>
        <v>9786.05</v>
      </c>
      <c r="F4183" s="3">
        <f>IFERROR(__xludf.DUMMYFUNCTION("""COMPUTED_VALUE"""),0.0)</f>
        <v>0</v>
      </c>
    </row>
    <row r="4184">
      <c r="A4184" s="7">
        <f>IFERROR(__xludf.DUMMYFUNCTION("""COMPUTED_VALUE"""),42928.64583333333)</f>
        <v>42928.64583</v>
      </c>
      <c r="B4184" s="3">
        <f>IFERROR(__xludf.DUMMYFUNCTION("""COMPUTED_VALUE"""),9807.3)</f>
        <v>9807.3</v>
      </c>
      <c r="C4184" s="3">
        <f>IFERROR(__xludf.DUMMYFUNCTION("""COMPUTED_VALUE"""),9824.95)</f>
        <v>9824.95</v>
      </c>
      <c r="D4184" s="3">
        <f>IFERROR(__xludf.DUMMYFUNCTION("""COMPUTED_VALUE"""),9787.7)</f>
        <v>9787.7</v>
      </c>
      <c r="E4184" s="3">
        <f>IFERROR(__xludf.DUMMYFUNCTION("""COMPUTED_VALUE"""),9816.1)</f>
        <v>9816.1</v>
      </c>
      <c r="F4184" s="3">
        <f>IFERROR(__xludf.DUMMYFUNCTION("""COMPUTED_VALUE"""),0.0)</f>
        <v>0</v>
      </c>
    </row>
    <row r="4185">
      <c r="A4185" s="7">
        <f>IFERROR(__xludf.DUMMYFUNCTION("""COMPUTED_VALUE"""),42929.64583333333)</f>
        <v>42929.64583</v>
      </c>
      <c r="B4185" s="3">
        <f>IFERROR(__xludf.DUMMYFUNCTION("""COMPUTED_VALUE"""),9855.8)</f>
        <v>9855.8</v>
      </c>
      <c r="C4185" s="3">
        <f>IFERROR(__xludf.DUMMYFUNCTION("""COMPUTED_VALUE"""),9897.25)</f>
        <v>9897.25</v>
      </c>
      <c r="D4185" s="3">
        <f>IFERROR(__xludf.DUMMYFUNCTION("""COMPUTED_VALUE"""),9853.45)</f>
        <v>9853.45</v>
      </c>
      <c r="E4185" s="3">
        <f>IFERROR(__xludf.DUMMYFUNCTION("""COMPUTED_VALUE"""),9891.7)</f>
        <v>9891.7</v>
      </c>
      <c r="F4185" s="3">
        <f>IFERROR(__xludf.DUMMYFUNCTION("""COMPUTED_VALUE"""),0.0)</f>
        <v>0</v>
      </c>
    </row>
    <row r="4186">
      <c r="A4186" s="7">
        <f>IFERROR(__xludf.DUMMYFUNCTION("""COMPUTED_VALUE"""),42930.64583333333)</f>
        <v>42930.64583</v>
      </c>
      <c r="B4186" s="3">
        <f>IFERROR(__xludf.DUMMYFUNCTION("""COMPUTED_VALUE"""),9913.3)</f>
        <v>9913.3</v>
      </c>
      <c r="C4186" s="3">
        <f>IFERROR(__xludf.DUMMYFUNCTION("""COMPUTED_VALUE"""),9913.3)</f>
        <v>9913.3</v>
      </c>
      <c r="D4186" s="3">
        <f>IFERROR(__xludf.DUMMYFUNCTION("""COMPUTED_VALUE"""),9845.45)</f>
        <v>9845.45</v>
      </c>
      <c r="E4186" s="3">
        <f>IFERROR(__xludf.DUMMYFUNCTION("""COMPUTED_VALUE"""),9886.35)</f>
        <v>9886.35</v>
      </c>
      <c r="F4186" s="3">
        <f>IFERROR(__xludf.DUMMYFUNCTION("""COMPUTED_VALUE"""),0.0)</f>
        <v>0</v>
      </c>
    </row>
    <row r="4187">
      <c r="A4187" s="7">
        <f>IFERROR(__xludf.DUMMYFUNCTION("""COMPUTED_VALUE"""),42933.64583333333)</f>
        <v>42933.64583</v>
      </c>
      <c r="B4187" s="3">
        <f>IFERROR(__xludf.DUMMYFUNCTION("""COMPUTED_VALUE"""),9908.15)</f>
        <v>9908.15</v>
      </c>
      <c r="C4187" s="3">
        <f>IFERROR(__xludf.DUMMYFUNCTION("""COMPUTED_VALUE"""),9928.2)</f>
        <v>9928.2</v>
      </c>
      <c r="D4187" s="3">
        <f>IFERROR(__xludf.DUMMYFUNCTION("""COMPUTED_VALUE"""),9894.7)</f>
        <v>9894.7</v>
      </c>
      <c r="E4187" s="3">
        <f>IFERROR(__xludf.DUMMYFUNCTION("""COMPUTED_VALUE"""),9915.95)</f>
        <v>9915.95</v>
      </c>
      <c r="F4187" s="3">
        <f>IFERROR(__xludf.DUMMYFUNCTION("""COMPUTED_VALUE"""),0.0)</f>
        <v>0</v>
      </c>
    </row>
    <row r="4188">
      <c r="A4188" s="7">
        <f>IFERROR(__xludf.DUMMYFUNCTION("""COMPUTED_VALUE"""),42934.64583333333)</f>
        <v>42934.64583</v>
      </c>
      <c r="B4188" s="3">
        <f>IFERROR(__xludf.DUMMYFUNCTION("""COMPUTED_VALUE"""),9832.7)</f>
        <v>9832.7</v>
      </c>
      <c r="C4188" s="3">
        <f>IFERROR(__xludf.DUMMYFUNCTION("""COMPUTED_VALUE"""),9885.35)</f>
        <v>9885.35</v>
      </c>
      <c r="D4188" s="3">
        <f>IFERROR(__xludf.DUMMYFUNCTION("""COMPUTED_VALUE"""),9792.05)</f>
        <v>9792.05</v>
      </c>
      <c r="E4188" s="3">
        <f>IFERROR(__xludf.DUMMYFUNCTION("""COMPUTED_VALUE"""),9827.15)</f>
        <v>9827.15</v>
      </c>
      <c r="F4188" s="3">
        <f>IFERROR(__xludf.DUMMYFUNCTION("""COMPUTED_VALUE"""),0.0)</f>
        <v>0</v>
      </c>
    </row>
    <row r="4189">
      <c r="A4189" s="7">
        <f>IFERROR(__xludf.DUMMYFUNCTION("""COMPUTED_VALUE"""),42935.64583333333)</f>
        <v>42935.64583</v>
      </c>
      <c r="B4189" s="3">
        <f>IFERROR(__xludf.DUMMYFUNCTION("""COMPUTED_VALUE"""),9855.95)</f>
        <v>9855.95</v>
      </c>
      <c r="C4189" s="3">
        <f>IFERROR(__xludf.DUMMYFUNCTION("""COMPUTED_VALUE"""),9905.05)</f>
        <v>9905.05</v>
      </c>
      <c r="D4189" s="3">
        <f>IFERROR(__xludf.DUMMYFUNCTION("""COMPUTED_VALUE"""),9851.65)</f>
        <v>9851.65</v>
      </c>
      <c r="E4189" s="3">
        <f>IFERROR(__xludf.DUMMYFUNCTION("""COMPUTED_VALUE"""),9899.6)</f>
        <v>9899.6</v>
      </c>
      <c r="F4189" s="3">
        <f>IFERROR(__xludf.DUMMYFUNCTION("""COMPUTED_VALUE"""),0.0)</f>
        <v>0</v>
      </c>
    </row>
    <row r="4190">
      <c r="A4190" s="7">
        <f>IFERROR(__xludf.DUMMYFUNCTION("""COMPUTED_VALUE"""),42936.64583333333)</f>
        <v>42936.64583</v>
      </c>
      <c r="B4190" s="3">
        <f>IFERROR(__xludf.DUMMYFUNCTION("""COMPUTED_VALUE"""),9920.2)</f>
        <v>9920.2</v>
      </c>
      <c r="C4190" s="3">
        <f>IFERROR(__xludf.DUMMYFUNCTION("""COMPUTED_VALUE"""),9922.55)</f>
        <v>9922.55</v>
      </c>
      <c r="D4190" s="3">
        <f>IFERROR(__xludf.DUMMYFUNCTION("""COMPUTED_VALUE"""),9863.45)</f>
        <v>9863.45</v>
      </c>
      <c r="E4190" s="3">
        <f>IFERROR(__xludf.DUMMYFUNCTION("""COMPUTED_VALUE"""),9873.3)</f>
        <v>9873.3</v>
      </c>
      <c r="F4190" s="3">
        <f>IFERROR(__xludf.DUMMYFUNCTION("""COMPUTED_VALUE"""),0.0)</f>
        <v>0</v>
      </c>
    </row>
    <row r="4191">
      <c r="A4191" s="7">
        <f>IFERROR(__xludf.DUMMYFUNCTION("""COMPUTED_VALUE"""),42937.64583333333)</f>
        <v>42937.64583</v>
      </c>
      <c r="B4191" s="3">
        <f>IFERROR(__xludf.DUMMYFUNCTION("""COMPUTED_VALUE"""),9899.6)</f>
        <v>9899.6</v>
      </c>
      <c r="C4191" s="3">
        <f>IFERROR(__xludf.DUMMYFUNCTION("""COMPUTED_VALUE"""),9924.7)</f>
        <v>9924.7</v>
      </c>
      <c r="D4191" s="3">
        <f>IFERROR(__xludf.DUMMYFUNCTION("""COMPUTED_VALUE"""),9838.0)</f>
        <v>9838</v>
      </c>
      <c r="E4191" s="3">
        <f>IFERROR(__xludf.DUMMYFUNCTION("""COMPUTED_VALUE"""),9915.25)</f>
        <v>9915.25</v>
      </c>
      <c r="F4191" s="3">
        <f>IFERROR(__xludf.DUMMYFUNCTION("""COMPUTED_VALUE"""),0.0)</f>
        <v>0</v>
      </c>
    </row>
    <row r="4192">
      <c r="A4192" s="7">
        <f>IFERROR(__xludf.DUMMYFUNCTION("""COMPUTED_VALUE"""),42940.64583333333)</f>
        <v>42940.64583</v>
      </c>
      <c r="B4192" s="3">
        <f>IFERROR(__xludf.DUMMYFUNCTION("""COMPUTED_VALUE"""),9936.8)</f>
        <v>9936.8</v>
      </c>
      <c r="C4192" s="3">
        <f>IFERROR(__xludf.DUMMYFUNCTION("""COMPUTED_VALUE"""),9982.05)</f>
        <v>9982.05</v>
      </c>
      <c r="D4192" s="3">
        <f>IFERROR(__xludf.DUMMYFUNCTION("""COMPUTED_VALUE"""),9919.6)</f>
        <v>9919.6</v>
      </c>
      <c r="E4192" s="3">
        <f>IFERROR(__xludf.DUMMYFUNCTION("""COMPUTED_VALUE"""),9966.4)</f>
        <v>9966.4</v>
      </c>
      <c r="F4192" s="3">
        <f>IFERROR(__xludf.DUMMYFUNCTION("""COMPUTED_VALUE"""),0.0)</f>
        <v>0</v>
      </c>
    </row>
    <row r="4193">
      <c r="A4193" s="7">
        <f>IFERROR(__xludf.DUMMYFUNCTION("""COMPUTED_VALUE"""),42941.64583333333)</f>
        <v>42941.64583</v>
      </c>
      <c r="B4193" s="3">
        <f>IFERROR(__xludf.DUMMYFUNCTION("""COMPUTED_VALUE"""),10010.55)</f>
        <v>10010.55</v>
      </c>
      <c r="C4193" s="3">
        <f>IFERROR(__xludf.DUMMYFUNCTION("""COMPUTED_VALUE"""),10011.3)</f>
        <v>10011.3</v>
      </c>
      <c r="D4193" s="3">
        <f>IFERROR(__xludf.DUMMYFUNCTION("""COMPUTED_VALUE"""),9949.1)</f>
        <v>9949.1</v>
      </c>
      <c r="E4193" s="3">
        <f>IFERROR(__xludf.DUMMYFUNCTION("""COMPUTED_VALUE"""),9964.55)</f>
        <v>9964.55</v>
      </c>
      <c r="F4193" s="3">
        <f>IFERROR(__xludf.DUMMYFUNCTION("""COMPUTED_VALUE"""),0.0)</f>
        <v>0</v>
      </c>
    </row>
    <row r="4194">
      <c r="A4194" s="7">
        <f>IFERROR(__xludf.DUMMYFUNCTION("""COMPUTED_VALUE"""),42942.64583333333)</f>
        <v>42942.64583</v>
      </c>
      <c r="B4194" s="3">
        <f>IFERROR(__xludf.DUMMYFUNCTION("""COMPUTED_VALUE"""),9983.65)</f>
        <v>9983.65</v>
      </c>
      <c r="C4194" s="3">
        <f>IFERROR(__xludf.DUMMYFUNCTION("""COMPUTED_VALUE"""),10025.95)</f>
        <v>10025.95</v>
      </c>
      <c r="D4194" s="3">
        <f>IFERROR(__xludf.DUMMYFUNCTION("""COMPUTED_VALUE"""),9965.95)</f>
        <v>9965.95</v>
      </c>
      <c r="E4194" s="3">
        <f>IFERROR(__xludf.DUMMYFUNCTION("""COMPUTED_VALUE"""),10020.65)</f>
        <v>10020.65</v>
      </c>
      <c r="F4194" s="3">
        <f>IFERROR(__xludf.DUMMYFUNCTION("""COMPUTED_VALUE"""),0.0)</f>
        <v>0</v>
      </c>
    </row>
    <row r="4195">
      <c r="A4195" s="7">
        <f>IFERROR(__xludf.DUMMYFUNCTION("""COMPUTED_VALUE"""),42943.64583333333)</f>
        <v>42943.64583</v>
      </c>
      <c r="B4195" s="3">
        <f>IFERROR(__xludf.DUMMYFUNCTION("""COMPUTED_VALUE"""),10063.25)</f>
        <v>10063.25</v>
      </c>
      <c r="C4195" s="3">
        <f>IFERROR(__xludf.DUMMYFUNCTION("""COMPUTED_VALUE"""),10114.85)</f>
        <v>10114.85</v>
      </c>
      <c r="D4195" s="3">
        <f>IFERROR(__xludf.DUMMYFUNCTION("""COMPUTED_VALUE"""),10005.5)</f>
        <v>10005.5</v>
      </c>
      <c r="E4195" s="3">
        <f>IFERROR(__xludf.DUMMYFUNCTION("""COMPUTED_VALUE"""),10020.55)</f>
        <v>10020.55</v>
      </c>
      <c r="F4195" s="3">
        <f>IFERROR(__xludf.DUMMYFUNCTION("""COMPUTED_VALUE"""),0.0)</f>
        <v>0</v>
      </c>
    </row>
    <row r="4196">
      <c r="A4196" s="7">
        <f>IFERROR(__xludf.DUMMYFUNCTION("""COMPUTED_VALUE"""),42944.64583333333)</f>
        <v>42944.64583</v>
      </c>
      <c r="B4196" s="3">
        <f>IFERROR(__xludf.DUMMYFUNCTION("""COMPUTED_VALUE"""),9996.55)</f>
        <v>9996.55</v>
      </c>
      <c r="C4196" s="3">
        <f>IFERROR(__xludf.DUMMYFUNCTION("""COMPUTED_VALUE"""),10026.05)</f>
        <v>10026.05</v>
      </c>
      <c r="D4196" s="3">
        <f>IFERROR(__xludf.DUMMYFUNCTION("""COMPUTED_VALUE"""),9944.5)</f>
        <v>9944.5</v>
      </c>
      <c r="E4196" s="3">
        <f>IFERROR(__xludf.DUMMYFUNCTION("""COMPUTED_VALUE"""),10014.5)</f>
        <v>10014.5</v>
      </c>
      <c r="F4196" s="3">
        <f>IFERROR(__xludf.DUMMYFUNCTION("""COMPUTED_VALUE"""),0.0)</f>
        <v>0</v>
      </c>
    </row>
    <row r="4197">
      <c r="A4197" s="7">
        <f>IFERROR(__xludf.DUMMYFUNCTION("""COMPUTED_VALUE"""),42947.64583333333)</f>
        <v>42947.64583</v>
      </c>
      <c r="B4197" s="3">
        <f>IFERROR(__xludf.DUMMYFUNCTION("""COMPUTED_VALUE"""),10034.7)</f>
        <v>10034.7</v>
      </c>
      <c r="C4197" s="3">
        <f>IFERROR(__xludf.DUMMYFUNCTION("""COMPUTED_VALUE"""),10085.9)</f>
        <v>10085.9</v>
      </c>
      <c r="D4197" s="3">
        <f>IFERROR(__xludf.DUMMYFUNCTION("""COMPUTED_VALUE"""),10016.95)</f>
        <v>10016.95</v>
      </c>
      <c r="E4197" s="3">
        <f>IFERROR(__xludf.DUMMYFUNCTION("""COMPUTED_VALUE"""),10077.1)</f>
        <v>10077.1</v>
      </c>
      <c r="F4197" s="3">
        <f>IFERROR(__xludf.DUMMYFUNCTION("""COMPUTED_VALUE"""),0.0)</f>
        <v>0</v>
      </c>
    </row>
    <row r="4198">
      <c r="A4198" s="7">
        <f>IFERROR(__xludf.DUMMYFUNCTION("""COMPUTED_VALUE"""),42948.64583333333)</f>
        <v>42948.64583</v>
      </c>
      <c r="B4198" s="3">
        <f>IFERROR(__xludf.DUMMYFUNCTION("""COMPUTED_VALUE"""),10101.05)</f>
        <v>10101.05</v>
      </c>
      <c r="C4198" s="3">
        <f>IFERROR(__xludf.DUMMYFUNCTION("""COMPUTED_VALUE"""),10128.6)</f>
        <v>10128.6</v>
      </c>
      <c r="D4198" s="3">
        <f>IFERROR(__xludf.DUMMYFUNCTION("""COMPUTED_VALUE"""),10065.75)</f>
        <v>10065.75</v>
      </c>
      <c r="E4198" s="3">
        <f>IFERROR(__xludf.DUMMYFUNCTION("""COMPUTED_VALUE"""),10114.65)</f>
        <v>10114.65</v>
      </c>
      <c r="F4198" s="3">
        <f>IFERROR(__xludf.DUMMYFUNCTION("""COMPUTED_VALUE"""),0.0)</f>
        <v>0</v>
      </c>
    </row>
    <row r="4199">
      <c r="A4199" s="7">
        <f>IFERROR(__xludf.DUMMYFUNCTION("""COMPUTED_VALUE"""),42949.64583333333)</f>
        <v>42949.64583</v>
      </c>
      <c r="B4199" s="3">
        <f>IFERROR(__xludf.DUMMYFUNCTION("""COMPUTED_VALUE"""),10136.3)</f>
        <v>10136.3</v>
      </c>
      <c r="C4199" s="3">
        <f>IFERROR(__xludf.DUMMYFUNCTION("""COMPUTED_VALUE"""),10137.85)</f>
        <v>10137.85</v>
      </c>
      <c r="D4199" s="3">
        <f>IFERROR(__xludf.DUMMYFUNCTION("""COMPUTED_VALUE"""),10054.2)</f>
        <v>10054.2</v>
      </c>
      <c r="E4199" s="3">
        <f>IFERROR(__xludf.DUMMYFUNCTION("""COMPUTED_VALUE"""),10081.5)</f>
        <v>10081.5</v>
      </c>
      <c r="F4199" s="3">
        <f>IFERROR(__xludf.DUMMYFUNCTION("""COMPUTED_VALUE"""),0.0)</f>
        <v>0</v>
      </c>
    </row>
    <row r="4200">
      <c r="A4200" s="7">
        <f>IFERROR(__xludf.DUMMYFUNCTION("""COMPUTED_VALUE"""),42950.64583333333)</f>
        <v>42950.64583</v>
      </c>
      <c r="B4200" s="3">
        <f>IFERROR(__xludf.DUMMYFUNCTION("""COMPUTED_VALUE"""),10081.15)</f>
        <v>10081.15</v>
      </c>
      <c r="C4200" s="3">
        <f>IFERROR(__xludf.DUMMYFUNCTION("""COMPUTED_VALUE"""),10081.15)</f>
        <v>10081.15</v>
      </c>
      <c r="D4200" s="3">
        <f>IFERROR(__xludf.DUMMYFUNCTION("""COMPUTED_VALUE"""),9998.25)</f>
        <v>9998.25</v>
      </c>
      <c r="E4200" s="3">
        <f>IFERROR(__xludf.DUMMYFUNCTION("""COMPUTED_VALUE"""),10013.65)</f>
        <v>10013.65</v>
      </c>
      <c r="F4200" s="3">
        <f>IFERROR(__xludf.DUMMYFUNCTION("""COMPUTED_VALUE"""),0.0)</f>
        <v>0</v>
      </c>
    </row>
    <row r="4201">
      <c r="A4201" s="7">
        <f>IFERROR(__xludf.DUMMYFUNCTION("""COMPUTED_VALUE"""),42951.64583333333)</f>
        <v>42951.64583</v>
      </c>
      <c r="B4201" s="3">
        <f>IFERROR(__xludf.DUMMYFUNCTION("""COMPUTED_VALUE"""),10008.6)</f>
        <v>10008.6</v>
      </c>
      <c r="C4201" s="3">
        <f>IFERROR(__xludf.DUMMYFUNCTION("""COMPUTED_VALUE"""),10075.25)</f>
        <v>10075.25</v>
      </c>
      <c r="D4201" s="3">
        <f>IFERROR(__xludf.DUMMYFUNCTION("""COMPUTED_VALUE"""),9988.35)</f>
        <v>9988.35</v>
      </c>
      <c r="E4201" s="3">
        <f>IFERROR(__xludf.DUMMYFUNCTION("""COMPUTED_VALUE"""),10066.4)</f>
        <v>10066.4</v>
      </c>
      <c r="F4201" s="3">
        <f>IFERROR(__xludf.DUMMYFUNCTION("""COMPUTED_VALUE"""),0.0)</f>
        <v>0</v>
      </c>
    </row>
    <row r="4202">
      <c r="A4202" s="7">
        <f>IFERROR(__xludf.DUMMYFUNCTION("""COMPUTED_VALUE"""),42954.64583333333)</f>
        <v>42954.64583</v>
      </c>
      <c r="B4202" s="3">
        <f>IFERROR(__xludf.DUMMYFUNCTION("""COMPUTED_VALUE"""),10074.8)</f>
        <v>10074.8</v>
      </c>
      <c r="C4202" s="3">
        <f>IFERROR(__xludf.DUMMYFUNCTION("""COMPUTED_VALUE"""),10088.1)</f>
        <v>10088.1</v>
      </c>
      <c r="D4202" s="3">
        <f>IFERROR(__xludf.DUMMYFUNCTION("""COMPUTED_VALUE"""),10046.35)</f>
        <v>10046.35</v>
      </c>
      <c r="E4202" s="3">
        <f>IFERROR(__xludf.DUMMYFUNCTION("""COMPUTED_VALUE"""),10057.4)</f>
        <v>10057.4</v>
      </c>
      <c r="F4202" s="3">
        <f>IFERROR(__xludf.DUMMYFUNCTION("""COMPUTED_VALUE"""),0.0)</f>
        <v>0</v>
      </c>
    </row>
    <row r="4203">
      <c r="A4203" s="7">
        <f>IFERROR(__xludf.DUMMYFUNCTION("""COMPUTED_VALUE"""),42955.64583333333)</f>
        <v>42955.64583</v>
      </c>
      <c r="B4203" s="3">
        <f>IFERROR(__xludf.DUMMYFUNCTION("""COMPUTED_VALUE"""),10068.35)</f>
        <v>10068.35</v>
      </c>
      <c r="C4203" s="3">
        <f>IFERROR(__xludf.DUMMYFUNCTION("""COMPUTED_VALUE"""),10083.8)</f>
        <v>10083.8</v>
      </c>
      <c r="D4203" s="3">
        <f>IFERROR(__xludf.DUMMYFUNCTION("""COMPUTED_VALUE"""),9947.0)</f>
        <v>9947</v>
      </c>
      <c r="E4203" s="3">
        <f>IFERROR(__xludf.DUMMYFUNCTION("""COMPUTED_VALUE"""),9978.55)</f>
        <v>9978.55</v>
      </c>
      <c r="F4203" s="3">
        <f>IFERROR(__xludf.DUMMYFUNCTION("""COMPUTED_VALUE"""),0.0)</f>
        <v>0</v>
      </c>
    </row>
    <row r="4204">
      <c r="A4204" s="7">
        <f>IFERROR(__xludf.DUMMYFUNCTION("""COMPUTED_VALUE"""),42956.64583333333)</f>
        <v>42956.64583</v>
      </c>
      <c r="B4204" s="3">
        <f>IFERROR(__xludf.DUMMYFUNCTION("""COMPUTED_VALUE"""),9961.15)</f>
        <v>9961.15</v>
      </c>
      <c r="C4204" s="3">
        <f>IFERROR(__xludf.DUMMYFUNCTION("""COMPUTED_VALUE"""),9969.8)</f>
        <v>9969.8</v>
      </c>
      <c r="D4204" s="3">
        <f>IFERROR(__xludf.DUMMYFUNCTION("""COMPUTED_VALUE"""),9893.05)</f>
        <v>9893.05</v>
      </c>
      <c r="E4204" s="3">
        <f>IFERROR(__xludf.DUMMYFUNCTION("""COMPUTED_VALUE"""),9908.05)</f>
        <v>9908.05</v>
      </c>
      <c r="F4204" s="3">
        <f>IFERROR(__xludf.DUMMYFUNCTION("""COMPUTED_VALUE"""),0.0)</f>
        <v>0</v>
      </c>
    </row>
    <row r="4205">
      <c r="A4205" s="7">
        <f>IFERROR(__xludf.DUMMYFUNCTION("""COMPUTED_VALUE"""),42957.64583333333)</f>
        <v>42957.64583</v>
      </c>
      <c r="B4205" s="3">
        <f>IFERROR(__xludf.DUMMYFUNCTION("""COMPUTED_VALUE"""),9872.85)</f>
        <v>9872.85</v>
      </c>
      <c r="C4205" s="3">
        <f>IFERROR(__xludf.DUMMYFUNCTION("""COMPUTED_VALUE"""),9892.65)</f>
        <v>9892.65</v>
      </c>
      <c r="D4205" s="3">
        <f>IFERROR(__xludf.DUMMYFUNCTION("""COMPUTED_VALUE"""),9776.2)</f>
        <v>9776.2</v>
      </c>
      <c r="E4205" s="3">
        <f>IFERROR(__xludf.DUMMYFUNCTION("""COMPUTED_VALUE"""),9820.25)</f>
        <v>9820.25</v>
      </c>
      <c r="F4205" s="3">
        <f>IFERROR(__xludf.DUMMYFUNCTION("""COMPUTED_VALUE"""),0.0)</f>
        <v>0</v>
      </c>
    </row>
    <row r="4206">
      <c r="A4206" s="7">
        <f>IFERROR(__xludf.DUMMYFUNCTION("""COMPUTED_VALUE"""),42958.64583333333)</f>
        <v>42958.64583</v>
      </c>
      <c r="B4206" s="3">
        <f>IFERROR(__xludf.DUMMYFUNCTION("""COMPUTED_VALUE"""),9712.15)</f>
        <v>9712.15</v>
      </c>
      <c r="C4206" s="3">
        <f>IFERROR(__xludf.DUMMYFUNCTION("""COMPUTED_VALUE"""),9771.65)</f>
        <v>9771.65</v>
      </c>
      <c r="D4206" s="3">
        <f>IFERROR(__xludf.DUMMYFUNCTION("""COMPUTED_VALUE"""),9685.55)</f>
        <v>9685.55</v>
      </c>
      <c r="E4206" s="3">
        <f>IFERROR(__xludf.DUMMYFUNCTION("""COMPUTED_VALUE"""),9710.8)</f>
        <v>9710.8</v>
      </c>
      <c r="F4206" s="3">
        <f>IFERROR(__xludf.DUMMYFUNCTION("""COMPUTED_VALUE"""),0.0)</f>
        <v>0</v>
      </c>
    </row>
    <row r="4207">
      <c r="A4207" s="7">
        <f>IFERROR(__xludf.DUMMYFUNCTION("""COMPUTED_VALUE"""),42961.64583333333)</f>
        <v>42961.64583</v>
      </c>
      <c r="B4207" s="3">
        <f>IFERROR(__xludf.DUMMYFUNCTION("""COMPUTED_VALUE"""),9755.75)</f>
        <v>9755.75</v>
      </c>
      <c r="C4207" s="3">
        <f>IFERROR(__xludf.DUMMYFUNCTION("""COMPUTED_VALUE"""),9818.3)</f>
        <v>9818.3</v>
      </c>
      <c r="D4207" s="3">
        <f>IFERROR(__xludf.DUMMYFUNCTION("""COMPUTED_VALUE"""),9752.1)</f>
        <v>9752.1</v>
      </c>
      <c r="E4207" s="3">
        <f>IFERROR(__xludf.DUMMYFUNCTION("""COMPUTED_VALUE"""),9794.15)</f>
        <v>9794.15</v>
      </c>
      <c r="F4207" s="3">
        <f>IFERROR(__xludf.DUMMYFUNCTION("""COMPUTED_VALUE"""),0.0)</f>
        <v>0</v>
      </c>
    </row>
    <row r="4208">
      <c r="A4208" s="7">
        <f>IFERROR(__xludf.DUMMYFUNCTION("""COMPUTED_VALUE"""),42963.64583333333)</f>
        <v>42963.64583</v>
      </c>
      <c r="B4208" s="3">
        <f>IFERROR(__xludf.DUMMYFUNCTION("""COMPUTED_VALUE"""),9825.85)</f>
        <v>9825.85</v>
      </c>
      <c r="C4208" s="3">
        <f>IFERROR(__xludf.DUMMYFUNCTION("""COMPUTED_VALUE"""),9903.95)</f>
        <v>9903.95</v>
      </c>
      <c r="D4208" s="3">
        <f>IFERROR(__xludf.DUMMYFUNCTION("""COMPUTED_VALUE"""),9773.85)</f>
        <v>9773.85</v>
      </c>
      <c r="E4208" s="3">
        <f>IFERROR(__xludf.DUMMYFUNCTION("""COMPUTED_VALUE"""),9897.3)</f>
        <v>9897.3</v>
      </c>
      <c r="F4208" s="3">
        <f>IFERROR(__xludf.DUMMYFUNCTION("""COMPUTED_VALUE"""),0.0)</f>
        <v>0</v>
      </c>
    </row>
    <row r="4209">
      <c r="A4209" s="7">
        <f>IFERROR(__xludf.DUMMYFUNCTION("""COMPUTED_VALUE"""),42964.64583333333)</f>
        <v>42964.64583</v>
      </c>
      <c r="B4209" s="3">
        <f>IFERROR(__xludf.DUMMYFUNCTION("""COMPUTED_VALUE"""),9945.55)</f>
        <v>9945.55</v>
      </c>
      <c r="C4209" s="3">
        <f>IFERROR(__xludf.DUMMYFUNCTION("""COMPUTED_VALUE"""),9947.8)</f>
        <v>9947.8</v>
      </c>
      <c r="D4209" s="3">
        <f>IFERROR(__xludf.DUMMYFUNCTION("""COMPUTED_VALUE"""),9883.75)</f>
        <v>9883.75</v>
      </c>
      <c r="E4209" s="3">
        <f>IFERROR(__xludf.DUMMYFUNCTION("""COMPUTED_VALUE"""),9904.15)</f>
        <v>9904.15</v>
      </c>
      <c r="F4209" s="3">
        <f>IFERROR(__xludf.DUMMYFUNCTION("""COMPUTED_VALUE"""),0.0)</f>
        <v>0</v>
      </c>
    </row>
    <row r="4210">
      <c r="A4210" s="7">
        <f>IFERROR(__xludf.DUMMYFUNCTION("""COMPUTED_VALUE"""),42965.64583333333)</f>
        <v>42965.64583</v>
      </c>
      <c r="B4210" s="3">
        <f>IFERROR(__xludf.DUMMYFUNCTION("""COMPUTED_VALUE"""),9865.95)</f>
        <v>9865.95</v>
      </c>
      <c r="C4210" s="3">
        <f>IFERROR(__xludf.DUMMYFUNCTION("""COMPUTED_VALUE"""),9865.95)</f>
        <v>9865.95</v>
      </c>
      <c r="D4210" s="3">
        <f>IFERROR(__xludf.DUMMYFUNCTION("""COMPUTED_VALUE"""),9783.65)</f>
        <v>9783.65</v>
      </c>
      <c r="E4210" s="3">
        <f>IFERROR(__xludf.DUMMYFUNCTION("""COMPUTED_VALUE"""),9837.4)</f>
        <v>9837.4</v>
      </c>
      <c r="F4210" s="3">
        <f>IFERROR(__xludf.DUMMYFUNCTION("""COMPUTED_VALUE"""),0.0)</f>
        <v>0</v>
      </c>
    </row>
    <row r="4211">
      <c r="A4211" s="7">
        <f>IFERROR(__xludf.DUMMYFUNCTION("""COMPUTED_VALUE"""),42968.64583333333)</f>
        <v>42968.64583</v>
      </c>
      <c r="B4211" s="3">
        <f>IFERROR(__xludf.DUMMYFUNCTION("""COMPUTED_VALUE"""),9864.25)</f>
        <v>9864.25</v>
      </c>
      <c r="C4211" s="3">
        <f>IFERROR(__xludf.DUMMYFUNCTION("""COMPUTED_VALUE"""),9884.35)</f>
        <v>9884.35</v>
      </c>
      <c r="D4211" s="3">
        <f>IFERROR(__xludf.DUMMYFUNCTION("""COMPUTED_VALUE"""),9740.1)</f>
        <v>9740.1</v>
      </c>
      <c r="E4211" s="3">
        <f>IFERROR(__xludf.DUMMYFUNCTION("""COMPUTED_VALUE"""),9754.35)</f>
        <v>9754.35</v>
      </c>
      <c r="F4211" s="3">
        <f>IFERROR(__xludf.DUMMYFUNCTION("""COMPUTED_VALUE"""),0.0)</f>
        <v>0</v>
      </c>
    </row>
    <row r="4212">
      <c r="A4212" s="7">
        <f>IFERROR(__xludf.DUMMYFUNCTION("""COMPUTED_VALUE"""),42969.64583333333)</f>
        <v>42969.64583</v>
      </c>
      <c r="B4212" s="3">
        <f>IFERROR(__xludf.DUMMYFUNCTION("""COMPUTED_VALUE"""),9815.75)</f>
        <v>9815.75</v>
      </c>
      <c r="C4212" s="3">
        <f>IFERROR(__xludf.DUMMYFUNCTION("""COMPUTED_VALUE"""),9828.45)</f>
        <v>9828.45</v>
      </c>
      <c r="D4212" s="3">
        <f>IFERROR(__xludf.DUMMYFUNCTION("""COMPUTED_VALUE"""),9752.6)</f>
        <v>9752.6</v>
      </c>
      <c r="E4212" s="3">
        <f>IFERROR(__xludf.DUMMYFUNCTION("""COMPUTED_VALUE"""),9765.55)</f>
        <v>9765.55</v>
      </c>
      <c r="F4212" s="3">
        <f>IFERROR(__xludf.DUMMYFUNCTION("""COMPUTED_VALUE"""),0.0)</f>
        <v>0</v>
      </c>
    </row>
    <row r="4213">
      <c r="A4213" s="7">
        <f>IFERROR(__xludf.DUMMYFUNCTION("""COMPUTED_VALUE"""),42970.64583333333)</f>
        <v>42970.64583</v>
      </c>
      <c r="B4213" s="3">
        <f>IFERROR(__xludf.DUMMYFUNCTION("""COMPUTED_VALUE"""),9803.05)</f>
        <v>9803.05</v>
      </c>
      <c r="C4213" s="3">
        <f>IFERROR(__xludf.DUMMYFUNCTION("""COMPUTED_VALUE"""),9857.9)</f>
        <v>9857.9</v>
      </c>
      <c r="D4213" s="3">
        <f>IFERROR(__xludf.DUMMYFUNCTION("""COMPUTED_VALUE"""),9786.75)</f>
        <v>9786.75</v>
      </c>
      <c r="E4213" s="3">
        <f>IFERROR(__xludf.DUMMYFUNCTION("""COMPUTED_VALUE"""),9852.5)</f>
        <v>9852.5</v>
      </c>
      <c r="F4213" s="3">
        <f>IFERROR(__xludf.DUMMYFUNCTION("""COMPUTED_VALUE"""),0.0)</f>
        <v>0</v>
      </c>
    </row>
    <row r="4214">
      <c r="A4214" s="7">
        <f>IFERROR(__xludf.DUMMYFUNCTION("""COMPUTED_VALUE"""),42971.64583333333)</f>
        <v>42971.64583</v>
      </c>
      <c r="B4214" s="3">
        <f>IFERROR(__xludf.DUMMYFUNCTION("""COMPUTED_VALUE"""),9881.2)</f>
        <v>9881.2</v>
      </c>
      <c r="C4214" s="3">
        <f>IFERROR(__xludf.DUMMYFUNCTION("""COMPUTED_VALUE"""),9881.5)</f>
        <v>9881.5</v>
      </c>
      <c r="D4214" s="3">
        <f>IFERROR(__xludf.DUMMYFUNCTION("""COMPUTED_VALUE"""),9848.85)</f>
        <v>9848.85</v>
      </c>
      <c r="E4214" s="3">
        <f>IFERROR(__xludf.DUMMYFUNCTION("""COMPUTED_VALUE"""),9857.05)</f>
        <v>9857.05</v>
      </c>
      <c r="F4214" s="3">
        <f>IFERROR(__xludf.DUMMYFUNCTION("""COMPUTED_VALUE"""),0.0)</f>
        <v>0</v>
      </c>
    </row>
    <row r="4215">
      <c r="A4215" s="7">
        <f>IFERROR(__xludf.DUMMYFUNCTION("""COMPUTED_VALUE"""),42975.64583333333)</f>
        <v>42975.64583</v>
      </c>
      <c r="B4215" s="3">
        <f>IFERROR(__xludf.DUMMYFUNCTION("""COMPUTED_VALUE"""),9907.15)</f>
        <v>9907.15</v>
      </c>
      <c r="C4215" s="3">
        <f>IFERROR(__xludf.DUMMYFUNCTION("""COMPUTED_VALUE"""),9925.75)</f>
        <v>9925.75</v>
      </c>
      <c r="D4215" s="3">
        <f>IFERROR(__xludf.DUMMYFUNCTION("""COMPUTED_VALUE"""),9882.0)</f>
        <v>9882</v>
      </c>
      <c r="E4215" s="3">
        <f>IFERROR(__xludf.DUMMYFUNCTION("""COMPUTED_VALUE"""),9912.8)</f>
        <v>9912.8</v>
      </c>
      <c r="F4215" s="3">
        <f>IFERROR(__xludf.DUMMYFUNCTION("""COMPUTED_VALUE"""),0.0)</f>
        <v>0</v>
      </c>
    </row>
    <row r="4216">
      <c r="A4216" s="7">
        <f>IFERROR(__xludf.DUMMYFUNCTION("""COMPUTED_VALUE"""),42976.64583333333)</f>
        <v>42976.64583</v>
      </c>
      <c r="B4216" s="3">
        <f>IFERROR(__xludf.DUMMYFUNCTION("""COMPUTED_VALUE"""),9886.4)</f>
        <v>9886.4</v>
      </c>
      <c r="C4216" s="3">
        <f>IFERROR(__xludf.DUMMYFUNCTION("""COMPUTED_VALUE"""),9887.35)</f>
        <v>9887.35</v>
      </c>
      <c r="D4216" s="3">
        <f>IFERROR(__xludf.DUMMYFUNCTION("""COMPUTED_VALUE"""),9783.75)</f>
        <v>9783.75</v>
      </c>
      <c r="E4216" s="3">
        <f>IFERROR(__xludf.DUMMYFUNCTION("""COMPUTED_VALUE"""),9796.05)</f>
        <v>9796.05</v>
      </c>
      <c r="F4216" s="3">
        <f>IFERROR(__xludf.DUMMYFUNCTION("""COMPUTED_VALUE"""),0.0)</f>
        <v>0</v>
      </c>
    </row>
    <row r="4217">
      <c r="A4217" s="7">
        <f>IFERROR(__xludf.DUMMYFUNCTION("""COMPUTED_VALUE"""),42977.64583333333)</f>
        <v>42977.64583</v>
      </c>
      <c r="B4217" s="3">
        <f>IFERROR(__xludf.DUMMYFUNCTION("""COMPUTED_VALUE"""),9859.5)</f>
        <v>9859.5</v>
      </c>
      <c r="C4217" s="3">
        <f>IFERROR(__xludf.DUMMYFUNCTION("""COMPUTED_VALUE"""),9909.45)</f>
        <v>9909.45</v>
      </c>
      <c r="D4217" s="3">
        <f>IFERROR(__xludf.DUMMYFUNCTION("""COMPUTED_VALUE"""),9850.8)</f>
        <v>9850.8</v>
      </c>
      <c r="E4217" s="3">
        <f>IFERROR(__xludf.DUMMYFUNCTION("""COMPUTED_VALUE"""),9884.4)</f>
        <v>9884.4</v>
      </c>
      <c r="F4217" s="3">
        <f>IFERROR(__xludf.DUMMYFUNCTION("""COMPUTED_VALUE"""),0.0)</f>
        <v>0</v>
      </c>
    </row>
    <row r="4218">
      <c r="A4218" s="7">
        <f>IFERROR(__xludf.DUMMYFUNCTION("""COMPUTED_VALUE"""),42978.64583333333)</f>
        <v>42978.64583</v>
      </c>
      <c r="B4218" s="3">
        <f>IFERROR(__xludf.DUMMYFUNCTION("""COMPUTED_VALUE"""),9905.7)</f>
        <v>9905.7</v>
      </c>
      <c r="C4218" s="3">
        <f>IFERROR(__xludf.DUMMYFUNCTION("""COMPUTED_VALUE"""),9925.1)</f>
        <v>9925.1</v>
      </c>
      <c r="D4218" s="3">
        <f>IFERROR(__xludf.DUMMYFUNCTION("""COMPUTED_VALUE"""),9856.95)</f>
        <v>9856.95</v>
      </c>
      <c r="E4218" s="3">
        <f>IFERROR(__xludf.DUMMYFUNCTION("""COMPUTED_VALUE"""),9917.9)</f>
        <v>9917.9</v>
      </c>
      <c r="F4218" s="3">
        <f>IFERROR(__xludf.DUMMYFUNCTION("""COMPUTED_VALUE"""),0.0)</f>
        <v>0</v>
      </c>
    </row>
    <row r="4219">
      <c r="A4219" s="7">
        <f>IFERROR(__xludf.DUMMYFUNCTION("""COMPUTED_VALUE"""),42979.64583333333)</f>
        <v>42979.64583</v>
      </c>
      <c r="B4219" s="3">
        <f>IFERROR(__xludf.DUMMYFUNCTION("""COMPUTED_VALUE"""),9937.65)</f>
        <v>9937.65</v>
      </c>
      <c r="C4219" s="3">
        <f>IFERROR(__xludf.DUMMYFUNCTION("""COMPUTED_VALUE"""),9983.45)</f>
        <v>9983.45</v>
      </c>
      <c r="D4219" s="3">
        <f>IFERROR(__xludf.DUMMYFUNCTION("""COMPUTED_VALUE"""),9909.85)</f>
        <v>9909.85</v>
      </c>
      <c r="E4219" s="3">
        <f>IFERROR(__xludf.DUMMYFUNCTION("""COMPUTED_VALUE"""),9974.4)</f>
        <v>9974.4</v>
      </c>
      <c r="F4219" s="3">
        <f>IFERROR(__xludf.DUMMYFUNCTION("""COMPUTED_VALUE"""),0.0)</f>
        <v>0</v>
      </c>
    </row>
    <row r="4220">
      <c r="A4220" s="7">
        <f>IFERROR(__xludf.DUMMYFUNCTION("""COMPUTED_VALUE"""),42982.64583333333)</f>
        <v>42982.64583</v>
      </c>
      <c r="B4220" s="3">
        <f>IFERROR(__xludf.DUMMYFUNCTION("""COMPUTED_VALUE"""),9984.15)</f>
        <v>9984.15</v>
      </c>
      <c r="C4220" s="3">
        <f>IFERROR(__xludf.DUMMYFUNCTION("""COMPUTED_VALUE"""),9988.4)</f>
        <v>9988.4</v>
      </c>
      <c r="D4220" s="3">
        <f>IFERROR(__xludf.DUMMYFUNCTION("""COMPUTED_VALUE"""),9861.0)</f>
        <v>9861</v>
      </c>
      <c r="E4220" s="3">
        <f>IFERROR(__xludf.DUMMYFUNCTION("""COMPUTED_VALUE"""),9912.85)</f>
        <v>9912.85</v>
      </c>
      <c r="F4220" s="3">
        <f>IFERROR(__xludf.DUMMYFUNCTION("""COMPUTED_VALUE"""),0.0)</f>
        <v>0</v>
      </c>
    </row>
    <row r="4221">
      <c r="A4221" s="7">
        <f>IFERROR(__xludf.DUMMYFUNCTION("""COMPUTED_VALUE"""),42983.64583333333)</f>
        <v>42983.64583</v>
      </c>
      <c r="B4221" s="3">
        <f>IFERROR(__xludf.DUMMYFUNCTION("""COMPUTED_VALUE"""),9933.25)</f>
        <v>9933.25</v>
      </c>
      <c r="C4221" s="3">
        <f>IFERROR(__xludf.DUMMYFUNCTION("""COMPUTED_VALUE"""),9963.1)</f>
        <v>9963.1</v>
      </c>
      <c r="D4221" s="3">
        <f>IFERROR(__xludf.DUMMYFUNCTION("""COMPUTED_VALUE"""),9901.05)</f>
        <v>9901.05</v>
      </c>
      <c r="E4221" s="3">
        <f>IFERROR(__xludf.DUMMYFUNCTION("""COMPUTED_VALUE"""),9952.2)</f>
        <v>9952.2</v>
      </c>
      <c r="F4221" s="3">
        <f>IFERROR(__xludf.DUMMYFUNCTION("""COMPUTED_VALUE"""),0.0)</f>
        <v>0</v>
      </c>
    </row>
    <row r="4222">
      <c r="A4222" s="7">
        <f>IFERROR(__xludf.DUMMYFUNCTION("""COMPUTED_VALUE"""),42984.64583333333)</f>
        <v>42984.64583</v>
      </c>
      <c r="B4222" s="3">
        <f>IFERROR(__xludf.DUMMYFUNCTION("""COMPUTED_VALUE"""),9899.25)</f>
        <v>9899.25</v>
      </c>
      <c r="C4222" s="3">
        <f>IFERROR(__xludf.DUMMYFUNCTION("""COMPUTED_VALUE"""),9931.55)</f>
        <v>9931.55</v>
      </c>
      <c r="D4222" s="3">
        <f>IFERROR(__xludf.DUMMYFUNCTION("""COMPUTED_VALUE"""),9882.55)</f>
        <v>9882.55</v>
      </c>
      <c r="E4222" s="3">
        <f>IFERROR(__xludf.DUMMYFUNCTION("""COMPUTED_VALUE"""),9916.2)</f>
        <v>9916.2</v>
      </c>
      <c r="F4222" s="3">
        <f>IFERROR(__xludf.DUMMYFUNCTION("""COMPUTED_VALUE"""),0.0)</f>
        <v>0</v>
      </c>
    </row>
    <row r="4223">
      <c r="A4223" s="7">
        <f>IFERROR(__xludf.DUMMYFUNCTION("""COMPUTED_VALUE"""),42985.64583333333)</f>
        <v>42985.64583</v>
      </c>
      <c r="B4223" s="3">
        <f>IFERROR(__xludf.DUMMYFUNCTION("""COMPUTED_VALUE"""),9945.85)</f>
        <v>9945.85</v>
      </c>
      <c r="C4223" s="3">
        <f>IFERROR(__xludf.DUMMYFUNCTION("""COMPUTED_VALUE"""),9964.85)</f>
        <v>9964.85</v>
      </c>
      <c r="D4223" s="3">
        <f>IFERROR(__xludf.DUMMYFUNCTION("""COMPUTED_VALUE"""),9917.2)</f>
        <v>9917.2</v>
      </c>
      <c r="E4223" s="3">
        <f>IFERROR(__xludf.DUMMYFUNCTION("""COMPUTED_VALUE"""),9929.9)</f>
        <v>9929.9</v>
      </c>
      <c r="F4223" s="3">
        <f>IFERROR(__xludf.DUMMYFUNCTION("""COMPUTED_VALUE"""),0.0)</f>
        <v>0</v>
      </c>
    </row>
    <row r="4224">
      <c r="A4224" s="7">
        <f>IFERROR(__xludf.DUMMYFUNCTION("""COMPUTED_VALUE"""),42986.64583333333)</f>
        <v>42986.64583</v>
      </c>
      <c r="B4224" s="3">
        <f>IFERROR(__xludf.DUMMYFUNCTION("""COMPUTED_VALUE"""),9958.65)</f>
        <v>9958.65</v>
      </c>
      <c r="C4224" s="3">
        <f>IFERROR(__xludf.DUMMYFUNCTION("""COMPUTED_VALUE"""),9963.6)</f>
        <v>9963.6</v>
      </c>
      <c r="D4224" s="3">
        <f>IFERROR(__xludf.DUMMYFUNCTION("""COMPUTED_VALUE"""),9913.3)</f>
        <v>9913.3</v>
      </c>
      <c r="E4224" s="3">
        <f>IFERROR(__xludf.DUMMYFUNCTION("""COMPUTED_VALUE"""),9934.8)</f>
        <v>9934.8</v>
      </c>
      <c r="F4224" s="3">
        <f>IFERROR(__xludf.DUMMYFUNCTION("""COMPUTED_VALUE"""),0.0)</f>
        <v>0</v>
      </c>
    </row>
    <row r="4225">
      <c r="A4225" s="7">
        <f>IFERROR(__xludf.DUMMYFUNCTION("""COMPUTED_VALUE"""),42989.64583333333)</f>
        <v>42989.64583</v>
      </c>
      <c r="B4225" s="3">
        <f>IFERROR(__xludf.DUMMYFUNCTION("""COMPUTED_VALUE"""),9971.75)</f>
        <v>9971.75</v>
      </c>
      <c r="C4225" s="3">
        <f>IFERROR(__xludf.DUMMYFUNCTION("""COMPUTED_VALUE"""),10028.65)</f>
        <v>10028.65</v>
      </c>
      <c r="D4225" s="3">
        <f>IFERROR(__xludf.DUMMYFUNCTION("""COMPUTED_VALUE"""),9968.8)</f>
        <v>9968.8</v>
      </c>
      <c r="E4225" s="3">
        <f>IFERROR(__xludf.DUMMYFUNCTION("""COMPUTED_VALUE"""),10006.05)</f>
        <v>10006.05</v>
      </c>
      <c r="F4225" s="3">
        <f>IFERROR(__xludf.DUMMYFUNCTION("""COMPUTED_VALUE"""),0.0)</f>
        <v>0</v>
      </c>
    </row>
    <row r="4226">
      <c r="A4226" s="7">
        <f>IFERROR(__xludf.DUMMYFUNCTION("""COMPUTED_VALUE"""),42990.64583333333)</f>
        <v>42990.64583</v>
      </c>
      <c r="B4226" s="3">
        <f>IFERROR(__xludf.DUMMYFUNCTION("""COMPUTED_VALUE"""),10056.85)</f>
        <v>10056.85</v>
      </c>
      <c r="C4226" s="3">
        <f>IFERROR(__xludf.DUMMYFUNCTION("""COMPUTED_VALUE"""),10097.55)</f>
        <v>10097.55</v>
      </c>
      <c r="D4226" s="3">
        <f>IFERROR(__xludf.DUMMYFUNCTION("""COMPUTED_VALUE"""),10028.05)</f>
        <v>10028.05</v>
      </c>
      <c r="E4226" s="3">
        <f>IFERROR(__xludf.DUMMYFUNCTION("""COMPUTED_VALUE"""),10093.05)</f>
        <v>10093.05</v>
      </c>
      <c r="F4226" s="3">
        <f>IFERROR(__xludf.DUMMYFUNCTION("""COMPUTED_VALUE"""),0.0)</f>
        <v>0</v>
      </c>
    </row>
    <row r="4227">
      <c r="A4227" s="7">
        <f>IFERROR(__xludf.DUMMYFUNCTION("""COMPUTED_VALUE"""),42991.64583333333)</f>
        <v>42991.64583</v>
      </c>
      <c r="B4227" s="3">
        <f>IFERROR(__xludf.DUMMYFUNCTION("""COMPUTED_VALUE"""),10099.25)</f>
        <v>10099.25</v>
      </c>
      <c r="C4227" s="3">
        <f>IFERROR(__xludf.DUMMYFUNCTION("""COMPUTED_VALUE"""),10131.95)</f>
        <v>10131.95</v>
      </c>
      <c r="D4227" s="3">
        <f>IFERROR(__xludf.DUMMYFUNCTION("""COMPUTED_VALUE"""),10063.15)</f>
        <v>10063.15</v>
      </c>
      <c r="E4227" s="3">
        <f>IFERROR(__xludf.DUMMYFUNCTION("""COMPUTED_VALUE"""),10079.3)</f>
        <v>10079.3</v>
      </c>
      <c r="F4227" s="3">
        <f>IFERROR(__xludf.DUMMYFUNCTION("""COMPUTED_VALUE"""),0.0)</f>
        <v>0</v>
      </c>
    </row>
    <row r="4228">
      <c r="A4228" s="7">
        <f>IFERROR(__xludf.DUMMYFUNCTION("""COMPUTED_VALUE"""),42992.64583333333)</f>
        <v>42992.64583</v>
      </c>
      <c r="B4228" s="3">
        <f>IFERROR(__xludf.DUMMYFUNCTION("""COMPUTED_VALUE"""),10107.4)</f>
        <v>10107.4</v>
      </c>
      <c r="C4228" s="3">
        <f>IFERROR(__xludf.DUMMYFUNCTION("""COMPUTED_VALUE"""),10126.5)</f>
        <v>10126.5</v>
      </c>
      <c r="D4228" s="3">
        <f>IFERROR(__xludf.DUMMYFUNCTION("""COMPUTED_VALUE"""),10070.35)</f>
        <v>10070.35</v>
      </c>
      <c r="E4228" s="3">
        <f>IFERROR(__xludf.DUMMYFUNCTION("""COMPUTED_VALUE"""),10086.6)</f>
        <v>10086.6</v>
      </c>
      <c r="F4228" s="3">
        <f>IFERROR(__xludf.DUMMYFUNCTION("""COMPUTED_VALUE"""),0.0)</f>
        <v>0</v>
      </c>
    </row>
    <row r="4229">
      <c r="A4229" s="7">
        <f>IFERROR(__xludf.DUMMYFUNCTION("""COMPUTED_VALUE"""),42993.64583333333)</f>
        <v>42993.64583</v>
      </c>
      <c r="B4229" s="3">
        <f>IFERROR(__xludf.DUMMYFUNCTION("""COMPUTED_VALUE"""),10062.35)</f>
        <v>10062.35</v>
      </c>
      <c r="C4229" s="3">
        <f>IFERROR(__xludf.DUMMYFUNCTION("""COMPUTED_VALUE"""),10115.15)</f>
        <v>10115.15</v>
      </c>
      <c r="D4229" s="3">
        <f>IFERROR(__xludf.DUMMYFUNCTION("""COMPUTED_VALUE"""),10043.65)</f>
        <v>10043.65</v>
      </c>
      <c r="E4229" s="3">
        <f>IFERROR(__xludf.DUMMYFUNCTION("""COMPUTED_VALUE"""),10085.4)</f>
        <v>10085.4</v>
      </c>
      <c r="F4229" s="3">
        <f>IFERROR(__xludf.DUMMYFUNCTION("""COMPUTED_VALUE"""),0.0)</f>
        <v>0</v>
      </c>
    </row>
    <row r="4230">
      <c r="A4230" s="7">
        <f>IFERROR(__xludf.DUMMYFUNCTION("""COMPUTED_VALUE"""),42996.64583333333)</f>
        <v>42996.64583</v>
      </c>
      <c r="B4230" s="3">
        <f>IFERROR(__xludf.DUMMYFUNCTION("""COMPUTED_VALUE"""),10133.1)</f>
        <v>10133.1</v>
      </c>
      <c r="C4230" s="3">
        <f>IFERROR(__xludf.DUMMYFUNCTION("""COMPUTED_VALUE"""),10171.7)</f>
        <v>10171.7</v>
      </c>
      <c r="D4230" s="3">
        <f>IFERROR(__xludf.DUMMYFUNCTION("""COMPUTED_VALUE"""),10131.3)</f>
        <v>10131.3</v>
      </c>
      <c r="E4230" s="3">
        <f>IFERROR(__xludf.DUMMYFUNCTION("""COMPUTED_VALUE"""),10153.1)</f>
        <v>10153.1</v>
      </c>
      <c r="F4230" s="3">
        <f>IFERROR(__xludf.DUMMYFUNCTION("""COMPUTED_VALUE"""),0.0)</f>
        <v>0</v>
      </c>
    </row>
    <row r="4231">
      <c r="A4231" s="7">
        <f>IFERROR(__xludf.DUMMYFUNCTION("""COMPUTED_VALUE"""),42997.64583333333)</f>
        <v>42997.64583</v>
      </c>
      <c r="B4231" s="3">
        <f>IFERROR(__xludf.DUMMYFUNCTION("""COMPUTED_VALUE"""),10175.6)</f>
        <v>10175.6</v>
      </c>
      <c r="C4231" s="3">
        <f>IFERROR(__xludf.DUMMYFUNCTION("""COMPUTED_VALUE"""),10178.95)</f>
        <v>10178.95</v>
      </c>
      <c r="D4231" s="3">
        <f>IFERROR(__xludf.DUMMYFUNCTION("""COMPUTED_VALUE"""),10129.95)</f>
        <v>10129.95</v>
      </c>
      <c r="E4231" s="3">
        <f>IFERROR(__xludf.DUMMYFUNCTION("""COMPUTED_VALUE"""),10147.55)</f>
        <v>10147.55</v>
      </c>
      <c r="F4231" s="3">
        <f>IFERROR(__xludf.DUMMYFUNCTION("""COMPUTED_VALUE"""),0.0)</f>
        <v>0</v>
      </c>
    </row>
    <row r="4232">
      <c r="A4232" s="7">
        <f>IFERROR(__xludf.DUMMYFUNCTION("""COMPUTED_VALUE"""),42998.64583333333)</f>
        <v>42998.64583</v>
      </c>
      <c r="B4232" s="3">
        <f>IFERROR(__xludf.DUMMYFUNCTION("""COMPUTED_VALUE"""),10160.95)</f>
        <v>10160.95</v>
      </c>
      <c r="C4232" s="3">
        <f>IFERROR(__xludf.DUMMYFUNCTION("""COMPUTED_VALUE"""),10171.05)</f>
        <v>10171.05</v>
      </c>
      <c r="D4232" s="3">
        <f>IFERROR(__xludf.DUMMYFUNCTION("""COMPUTED_VALUE"""),10134.2)</f>
        <v>10134.2</v>
      </c>
      <c r="E4232" s="3">
        <f>IFERROR(__xludf.DUMMYFUNCTION("""COMPUTED_VALUE"""),10141.15)</f>
        <v>10141.15</v>
      </c>
      <c r="F4232" s="3">
        <f>IFERROR(__xludf.DUMMYFUNCTION("""COMPUTED_VALUE"""),0.0)</f>
        <v>0</v>
      </c>
    </row>
    <row r="4233">
      <c r="A4233" s="7">
        <f>IFERROR(__xludf.DUMMYFUNCTION("""COMPUTED_VALUE"""),42999.64583333333)</f>
        <v>42999.64583</v>
      </c>
      <c r="B4233" s="3">
        <f>IFERROR(__xludf.DUMMYFUNCTION("""COMPUTED_VALUE"""),10139.6)</f>
        <v>10139.6</v>
      </c>
      <c r="C4233" s="3">
        <f>IFERROR(__xludf.DUMMYFUNCTION("""COMPUTED_VALUE"""),10158.9)</f>
        <v>10158.9</v>
      </c>
      <c r="D4233" s="3">
        <f>IFERROR(__xludf.DUMMYFUNCTION("""COMPUTED_VALUE"""),10058.6)</f>
        <v>10058.6</v>
      </c>
      <c r="E4233" s="3">
        <f>IFERROR(__xludf.DUMMYFUNCTION("""COMPUTED_VALUE"""),10121.9)</f>
        <v>10121.9</v>
      </c>
      <c r="F4233" s="3">
        <f>IFERROR(__xludf.DUMMYFUNCTION("""COMPUTED_VALUE"""),0.0)</f>
        <v>0</v>
      </c>
    </row>
    <row r="4234">
      <c r="A4234" s="7">
        <f>IFERROR(__xludf.DUMMYFUNCTION("""COMPUTED_VALUE"""),43000.64583333333)</f>
        <v>43000.64583</v>
      </c>
      <c r="B4234" s="3">
        <f>IFERROR(__xludf.DUMMYFUNCTION("""COMPUTED_VALUE"""),10094.35)</f>
        <v>10094.35</v>
      </c>
      <c r="C4234" s="3">
        <f>IFERROR(__xludf.DUMMYFUNCTION("""COMPUTED_VALUE"""),10095.05)</f>
        <v>10095.05</v>
      </c>
      <c r="D4234" s="3">
        <f>IFERROR(__xludf.DUMMYFUNCTION("""COMPUTED_VALUE"""),9952.8)</f>
        <v>9952.8</v>
      </c>
      <c r="E4234" s="3">
        <f>IFERROR(__xludf.DUMMYFUNCTION("""COMPUTED_VALUE"""),9964.4)</f>
        <v>9964.4</v>
      </c>
      <c r="F4234" s="3">
        <f>IFERROR(__xludf.DUMMYFUNCTION("""COMPUTED_VALUE"""),0.0)</f>
        <v>0</v>
      </c>
    </row>
    <row r="4235">
      <c r="A4235" s="7">
        <f>IFERROR(__xludf.DUMMYFUNCTION("""COMPUTED_VALUE"""),43003.64583333333)</f>
        <v>43003.64583</v>
      </c>
      <c r="B4235" s="3">
        <f>IFERROR(__xludf.DUMMYFUNCTION("""COMPUTED_VALUE"""),9960.1)</f>
        <v>9960.1</v>
      </c>
      <c r="C4235" s="3">
        <f>IFERROR(__xludf.DUMMYFUNCTION("""COMPUTED_VALUE"""),9960.5)</f>
        <v>9960.5</v>
      </c>
      <c r="D4235" s="3">
        <f>IFERROR(__xludf.DUMMYFUNCTION("""COMPUTED_VALUE"""),9816.05)</f>
        <v>9816.05</v>
      </c>
      <c r="E4235" s="3">
        <f>IFERROR(__xludf.DUMMYFUNCTION("""COMPUTED_VALUE"""),9872.6)</f>
        <v>9872.6</v>
      </c>
      <c r="F4235" s="3">
        <f>IFERROR(__xludf.DUMMYFUNCTION("""COMPUTED_VALUE"""),0.0)</f>
        <v>0</v>
      </c>
    </row>
    <row r="4236">
      <c r="A4236" s="7">
        <f>IFERROR(__xludf.DUMMYFUNCTION("""COMPUTED_VALUE"""),43004.64583333333)</f>
        <v>43004.64583</v>
      </c>
      <c r="B4236" s="3">
        <f>IFERROR(__xludf.DUMMYFUNCTION("""COMPUTED_VALUE"""),9875.25)</f>
        <v>9875.25</v>
      </c>
      <c r="C4236" s="3">
        <f>IFERROR(__xludf.DUMMYFUNCTION("""COMPUTED_VALUE"""),9891.35)</f>
        <v>9891.35</v>
      </c>
      <c r="D4236" s="3">
        <f>IFERROR(__xludf.DUMMYFUNCTION("""COMPUTED_VALUE"""),9813.0)</f>
        <v>9813</v>
      </c>
      <c r="E4236" s="3">
        <f>IFERROR(__xludf.DUMMYFUNCTION("""COMPUTED_VALUE"""),9871.5)</f>
        <v>9871.5</v>
      </c>
      <c r="F4236" s="3">
        <f>IFERROR(__xludf.DUMMYFUNCTION("""COMPUTED_VALUE"""),0.0)</f>
        <v>0</v>
      </c>
    </row>
    <row r="4237">
      <c r="A4237" s="7">
        <f>IFERROR(__xludf.DUMMYFUNCTION("""COMPUTED_VALUE"""),43005.64583333333)</f>
        <v>43005.64583</v>
      </c>
      <c r="B4237" s="3">
        <f>IFERROR(__xludf.DUMMYFUNCTION("""COMPUTED_VALUE"""),9920.6)</f>
        <v>9920.6</v>
      </c>
      <c r="C4237" s="3">
        <f>IFERROR(__xludf.DUMMYFUNCTION("""COMPUTED_VALUE"""),9921.05)</f>
        <v>9921.05</v>
      </c>
      <c r="D4237" s="3">
        <f>IFERROR(__xludf.DUMMYFUNCTION("""COMPUTED_VALUE"""),9714.4)</f>
        <v>9714.4</v>
      </c>
      <c r="E4237" s="3">
        <f>IFERROR(__xludf.DUMMYFUNCTION("""COMPUTED_VALUE"""),9735.75)</f>
        <v>9735.75</v>
      </c>
      <c r="F4237" s="3">
        <f>IFERROR(__xludf.DUMMYFUNCTION("""COMPUTED_VALUE"""),0.0)</f>
        <v>0</v>
      </c>
    </row>
    <row r="4238">
      <c r="A4238" s="7">
        <f>IFERROR(__xludf.DUMMYFUNCTION("""COMPUTED_VALUE"""),43006.64583333333)</f>
        <v>43006.64583</v>
      </c>
      <c r="B4238" s="3">
        <f>IFERROR(__xludf.DUMMYFUNCTION("""COMPUTED_VALUE"""),9736.4)</f>
        <v>9736.4</v>
      </c>
      <c r="C4238" s="3">
        <f>IFERROR(__xludf.DUMMYFUNCTION("""COMPUTED_VALUE"""),9789.2)</f>
        <v>9789.2</v>
      </c>
      <c r="D4238" s="3">
        <f>IFERROR(__xludf.DUMMYFUNCTION("""COMPUTED_VALUE"""),9687.55)</f>
        <v>9687.55</v>
      </c>
      <c r="E4238" s="3">
        <f>IFERROR(__xludf.DUMMYFUNCTION("""COMPUTED_VALUE"""),9768.95)</f>
        <v>9768.95</v>
      </c>
      <c r="F4238" s="3">
        <f>IFERROR(__xludf.DUMMYFUNCTION("""COMPUTED_VALUE"""),0.0)</f>
        <v>0</v>
      </c>
    </row>
    <row r="4239">
      <c r="A4239" s="7">
        <f>IFERROR(__xludf.DUMMYFUNCTION("""COMPUTED_VALUE"""),43007.64583333333)</f>
        <v>43007.64583</v>
      </c>
      <c r="B4239" s="3">
        <f>IFERROR(__xludf.DUMMYFUNCTION("""COMPUTED_VALUE"""),9814.3)</f>
        <v>9814.3</v>
      </c>
      <c r="C4239" s="3">
        <f>IFERROR(__xludf.DUMMYFUNCTION("""COMPUTED_VALUE"""),9854.0)</f>
        <v>9854</v>
      </c>
      <c r="D4239" s="3">
        <f>IFERROR(__xludf.DUMMYFUNCTION("""COMPUTED_VALUE"""),9775.35)</f>
        <v>9775.35</v>
      </c>
      <c r="E4239" s="3">
        <f>IFERROR(__xludf.DUMMYFUNCTION("""COMPUTED_VALUE"""),9788.6)</f>
        <v>9788.6</v>
      </c>
      <c r="F4239" s="3">
        <f>IFERROR(__xludf.DUMMYFUNCTION("""COMPUTED_VALUE"""),0.0)</f>
        <v>0</v>
      </c>
    </row>
    <row r="4240">
      <c r="A4240" s="7">
        <f>IFERROR(__xludf.DUMMYFUNCTION("""COMPUTED_VALUE"""),43011.64583333333)</f>
        <v>43011.64583</v>
      </c>
      <c r="B4240" s="3">
        <f>IFERROR(__xludf.DUMMYFUNCTION("""COMPUTED_VALUE"""),9893.3)</f>
        <v>9893.3</v>
      </c>
      <c r="C4240" s="3">
        <f>IFERROR(__xludf.DUMMYFUNCTION("""COMPUTED_VALUE"""),9895.4)</f>
        <v>9895.4</v>
      </c>
      <c r="D4240" s="3">
        <f>IFERROR(__xludf.DUMMYFUNCTION("""COMPUTED_VALUE"""),9831.05)</f>
        <v>9831.05</v>
      </c>
      <c r="E4240" s="3">
        <f>IFERROR(__xludf.DUMMYFUNCTION("""COMPUTED_VALUE"""),9859.5)</f>
        <v>9859.5</v>
      </c>
      <c r="F4240" s="3">
        <f>IFERROR(__xludf.DUMMYFUNCTION("""COMPUTED_VALUE"""),0.0)</f>
        <v>0</v>
      </c>
    </row>
    <row r="4241">
      <c r="A4241" s="7">
        <f>IFERROR(__xludf.DUMMYFUNCTION("""COMPUTED_VALUE"""),43012.64583333333)</f>
        <v>43012.64583</v>
      </c>
      <c r="B4241" s="3">
        <f>IFERROR(__xludf.DUMMYFUNCTION("""COMPUTED_VALUE"""),9884.35)</f>
        <v>9884.35</v>
      </c>
      <c r="C4241" s="3">
        <f>IFERROR(__xludf.DUMMYFUNCTION("""COMPUTED_VALUE"""),9938.3)</f>
        <v>9938.3</v>
      </c>
      <c r="D4241" s="3">
        <f>IFERROR(__xludf.DUMMYFUNCTION("""COMPUTED_VALUE"""),9850.65)</f>
        <v>9850.65</v>
      </c>
      <c r="E4241" s="3">
        <f>IFERROR(__xludf.DUMMYFUNCTION("""COMPUTED_VALUE"""),9914.9)</f>
        <v>9914.9</v>
      </c>
      <c r="F4241" s="3">
        <f>IFERROR(__xludf.DUMMYFUNCTION("""COMPUTED_VALUE"""),0.0)</f>
        <v>0</v>
      </c>
    </row>
    <row r="4242">
      <c r="A4242" s="7">
        <f>IFERROR(__xludf.DUMMYFUNCTION("""COMPUTED_VALUE"""),43013.64583333333)</f>
        <v>43013.64583</v>
      </c>
      <c r="B4242" s="3">
        <f>IFERROR(__xludf.DUMMYFUNCTION("""COMPUTED_VALUE"""),9927.0)</f>
        <v>9927</v>
      </c>
      <c r="C4242" s="3">
        <f>IFERROR(__xludf.DUMMYFUNCTION("""COMPUTED_VALUE"""),9945.95)</f>
        <v>9945.95</v>
      </c>
      <c r="D4242" s="3">
        <f>IFERROR(__xludf.DUMMYFUNCTION("""COMPUTED_VALUE"""),9881.85)</f>
        <v>9881.85</v>
      </c>
      <c r="E4242" s="3">
        <f>IFERROR(__xludf.DUMMYFUNCTION("""COMPUTED_VALUE"""),9888.7)</f>
        <v>9888.7</v>
      </c>
      <c r="F4242" s="3">
        <f>IFERROR(__xludf.DUMMYFUNCTION("""COMPUTED_VALUE"""),0.0)</f>
        <v>0</v>
      </c>
    </row>
    <row r="4243">
      <c r="A4243" s="7">
        <f>IFERROR(__xludf.DUMMYFUNCTION("""COMPUTED_VALUE"""),43014.64583333333)</f>
        <v>43014.64583</v>
      </c>
      <c r="B4243" s="3">
        <f>IFERROR(__xludf.DUMMYFUNCTION("""COMPUTED_VALUE"""),9908.15)</f>
        <v>9908.15</v>
      </c>
      <c r="C4243" s="3">
        <f>IFERROR(__xludf.DUMMYFUNCTION("""COMPUTED_VALUE"""),9989.35)</f>
        <v>9989.35</v>
      </c>
      <c r="D4243" s="3">
        <f>IFERROR(__xludf.DUMMYFUNCTION("""COMPUTED_VALUE"""),9906.6)</f>
        <v>9906.6</v>
      </c>
      <c r="E4243" s="3">
        <f>IFERROR(__xludf.DUMMYFUNCTION("""COMPUTED_VALUE"""),9979.7)</f>
        <v>9979.7</v>
      </c>
      <c r="F4243" s="3">
        <f>IFERROR(__xludf.DUMMYFUNCTION("""COMPUTED_VALUE"""),0.0)</f>
        <v>0</v>
      </c>
    </row>
    <row r="4244">
      <c r="A4244" s="7">
        <f>IFERROR(__xludf.DUMMYFUNCTION("""COMPUTED_VALUE"""),43017.64583333333)</f>
        <v>43017.64583</v>
      </c>
      <c r="B4244" s="3">
        <f>IFERROR(__xludf.DUMMYFUNCTION("""COMPUTED_VALUE"""),9988.2)</f>
        <v>9988.2</v>
      </c>
      <c r="C4244" s="3">
        <f>IFERROR(__xludf.DUMMYFUNCTION("""COMPUTED_VALUE"""),10015.75)</f>
        <v>10015.75</v>
      </c>
      <c r="D4244" s="3">
        <f>IFERROR(__xludf.DUMMYFUNCTION("""COMPUTED_VALUE"""),9959.45)</f>
        <v>9959.45</v>
      </c>
      <c r="E4244" s="3">
        <f>IFERROR(__xludf.DUMMYFUNCTION("""COMPUTED_VALUE"""),9988.75)</f>
        <v>9988.75</v>
      </c>
      <c r="F4244" s="3">
        <f>IFERROR(__xludf.DUMMYFUNCTION("""COMPUTED_VALUE"""),0.0)</f>
        <v>0</v>
      </c>
    </row>
    <row r="4245">
      <c r="A4245" s="7">
        <f>IFERROR(__xludf.DUMMYFUNCTION("""COMPUTED_VALUE"""),43018.64583333333)</f>
        <v>43018.64583</v>
      </c>
      <c r="B4245" s="3">
        <f>IFERROR(__xludf.DUMMYFUNCTION("""COMPUTED_VALUE"""),10013.7)</f>
        <v>10013.7</v>
      </c>
      <c r="C4245" s="3">
        <f>IFERROR(__xludf.DUMMYFUNCTION("""COMPUTED_VALUE"""),10034.0)</f>
        <v>10034</v>
      </c>
      <c r="D4245" s="3">
        <f>IFERROR(__xludf.DUMMYFUNCTION("""COMPUTED_VALUE"""),10002.3)</f>
        <v>10002.3</v>
      </c>
      <c r="E4245" s="3">
        <f>IFERROR(__xludf.DUMMYFUNCTION("""COMPUTED_VALUE"""),10016.95)</f>
        <v>10016.95</v>
      </c>
      <c r="F4245" s="3">
        <f>IFERROR(__xludf.DUMMYFUNCTION("""COMPUTED_VALUE"""),0.0)</f>
        <v>0</v>
      </c>
    </row>
    <row r="4246">
      <c r="A4246" s="7">
        <f>IFERROR(__xludf.DUMMYFUNCTION("""COMPUTED_VALUE"""),43019.64583333333)</f>
        <v>43019.64583</v>
      </c>
      <c r="B4246" s="3">
        <f>IFERROR(__xludf.DUMMYFUNCTION("""COMPUTED_VALUE"""),10042.6)</f>
        <v>10042.6</v>
      </c>
      <c r="C4246" s="3">
        <f>IFERROR(__xludf.DUMMYFUNCTION("""COMPUTED_VALUE"""),10067.25)</f>
        <v>10067.25</v>
      </c>
      <c r="D4246" s="3">
        <f>IFERROR(__xludf.DUMMYFUNCTION("""COMPUTED_VALUE"""),9955.8)</f>
        <v>9955.8</v>
      </c>
      <c r="E4246" s="3">
        <f>IFERROR(__xludf.DUMMYFUNCTION("""COMPUTED_VALUE"""),9984.8)</f>
        <v>9984.8</v>
      </c>
      <c r="F4246" s="3">
        <f>IFERROR(__xludf.DUMMYFUNCTION("""COMPUTED_VALUE"""),0.0)</f>
        <v>0</v>
      </c>
    </row>
    <row r="4247">
      <c r="A4247" s="7">
        <f>IFERROR(__xludf.DUMMYFUNCTION("""COMPUTED_VALUE"""),43020.64583333333)</f>
        <v>43020.64583</v>
      </c>
      <c r="B4247" s="3">
        <f>IFERROR(__xludf.DUMMYFUNCTION("""COMPUTED_VALUE"""),10011.2)</f>
        <v>10011.2</v>
      </c>
      <c r="C4247" s="3">
        <f>IFERROR(__xludf.DUMMYFUNCTION("""COMPUTED_VALUE"""),10104.45)</f>
        <v>10104.45</v>
      </c>
      <c r="D4247" s="3">
        <f>IFERROR(__xludf.DUMMYFUNCTION("""COMPUTED_VALUE"""),9977.1)</f>
        <v>9977.1</v>
      </c>
      <c r="E4247" s="3">
        <f>IFERROR(__xludf.DUMMYFUNCTION("""COMPUTED_VALUE"""),10096.4)</f>
        <v>10096.4</v>
      </c>
      <c r="F4247" s="3">
        <f>IFERROR(__xludf.DUMMYFUNCTION("""COMPUTED_VALUE"""),0.0)</f>
        <v>0</v>
      </c>
    </row>
    <row r="4248">
      <c r="A4248" s="7">
        <f>IFERROR(__xludf.DUMMYFUNCTION("""COMPUTED_VALUE"""),43021.64583333333)</f>
        <v>43021.64583</v>
      </c>
      <c r="B4248" s="3">
        <f>IFERROR(__xludf.DUMMYFUNCTION("""COMPUTED_VALUE"""),10123.7)</f>
        <v>10123.7</v>
      </c>
      <c r="C4248" s="3">
        <f>IFERROR(__xludf.DUMMYFUNCTION("""COMPUTED_VALUE"""),10191.9)</f>
        <v>10191.9</v>
      </c>
      <c r="D4248" s="3">
        <f>IFERROR(__xludf.DUMMYFUNCTION("""COMPUTED_VALUE"""),10120.1)</f>
        <v>10120.1</v>
      </c>
      <c r="E4248" s="3">
        <f>IFERROR(__xludf.DUMMYFUNCTION("""COMPUTED_VALUE"""),10167.45)</f>
        <v>10167.45</v>
      </c>
      <c r="F4248" s="3">
        <f>IFERROR(__xludf.DUMMYFUNCTION("""COMPUTED_VALUE"""),0.0)</f>
        <v>0</v>
      </c>
    </row>
    <row r="4249">
      <c r="A4249" s="7">
        <f>IFERROR(__xludf.DUMMYFUNCTION("""COMPUTED_VALUE"""),43024.64583333333)</f>
        <v>43024.64583</v>
      </c>
      <c r="B4249" s="3">
        <f>IFERROR(__xludf.DUMMYFUNCTION("""COMPUTED_VALUE"""),10207.4)</f>
        <v>10207.4</v>
      </c>
      <c r="C4249" s="3">
        <f>IFERROR(__xludf.DUMMYFUNCTION("""COMPUTED_VALUE"""),10242.95)</f>
        <v>10242.95</v>
      </c>
      <c r="D4249" s="3">
        <f>IFERROR(__xludf.DUMMYFUNCTION("""COMPUTED_VALUE"""),10175.1)</f>
        <v>10175.1</v>
      </c>
      <c r="E4249" s="3">
        <f>IFERROR(__xludf.DUMMYFUNCTION("""COMPUTED_VALUE"""),10230.85)</f>
        <v>10230.85</v>
      </c>
      <c r="F4249" s="3">
        <f>IFERROR(__xludf.DUMMYFUNCTION("""COMPUTED_VALUE"""),0.0)</f>
        <v>0</v>
      </c>
    </row>
    <row r="4250">
      <c r="A4250" s="7">
        <f>IFERROR(__xludf.DUMMYFUNCTION("""COMPUTED_VALUE"""),43025.83333333333)</f>
        <v>43025.83333</v>
      </c>
      <c r="B4250" s="3">
        <f>IFERROR(__xludf.DUMMYFUNCTION("""COMPUTED_VALUE"""),10227.65)</f>
        <v>10227.65</v>
      </c>
      <c r="C4250" s="3">
        <f>IFERROR(__xludf.DUMMYFUNCTION("""COMPUTED_VALUE"""),10251.85)</f>
        <v>10251.85</v>
      </c>
      <c r="D4250" s="3">
        <f>IFERROR(__xludf.DUMMYFUNCTION("""COMPUTED_VALUE"""),10212.6)</f>
        <v>10212.6</v>
      </c>
      <c r="E4250" s="3">
        <f>IFERROR(__xludf.DUMMYFUNCTION("""COMPUTED_VALUE"""),10234.45)</f>
        <v>10234.45</v>
      </c>
      <c r="F4250" s="3">
        <f>IFERROR(__xludf.DUMMYFUNCTION("""COMPUTED_VALUE"""),0.0)</f>
        <v>0</v>
      </c>
    </row>
    <row r="4251">
      <c r="A4251" s="7">
        <f>IFERROR(__xludf.DUMMYFUNCTION("""COMPUTED_VALUE"""),43026.64583333333)</f>
        <v>43026.64583</v>
      </c>
      <c r="B4251" s="3">
        <f>IFERROR(__xludf.DUMMYFUNCTION("""COMPUTED_VALUE"""),10209.4)</f>
        <v>10209.4</v>
      </c>
      <c r="C4251" s="3">
        <f>IFERROR(__xludf.DUMMYFUNCTION("""COMPUTED_VALUE"""),10236.45)</f>
        <v>10236.45</v>
      </c>
      <c r="D4251" s="3">
        <f>IFERROR(__xludf.DUMMYFUNCTION("""COMPUTED_VALUE"""),10175.75)</f>
        <v>10175.75</v>
      </c>
      <c r="E4251" s="3">
        <f>IFERROR(__xludf.DUMMYFUNCTION("""COMPUTED_VALUE"""),10210.85)</f>
        <v>10210.85</v>
      </c>
      <c r="F4251" s="3">
        <f>IFERROR(__xludf.DUMMYFUNCTION("""COMPUTED_VALUE"""),0.0)</f>
        <v>0</v>
      </c>
    </row>
    <row r="4252">
      <c r="A4252" s="7">
        <f>IFERROR(__xludf.DUMMYFUNCTION("""COMPUTED_VALUE"""),43027.83333333333)</f>
        <v>43027.83333</v>
      </c>
      <c r="B4252" s="3">
        <f>IFERROR(__xludf.DUMMYFUNCTION("""COMPUTED_VALUE"""),10210.35)</f>
        <v>10210.35</v>
      </c>
      <c r="C4252" s="3">
        <f>IFERROR(__xludf.DUMMYFUNCTION("""COMPUTED_VALUE"""),10211.95)</f>
        <v>10211.95</v>
      </c>
      <c r="D4252" s="3">
        <f>IFERROR(__xludf.DUMMYFUNCTION("""COMPUTED_VALUE"""),10123.35)</f>
        <v>10123.35</v>
      </c>
      <c r="E4252" s="3">
        <f>IFERROR(__xludf.DUMMYFUNCTION("""COMPUTED_VALUE"""),10146.55)</f>
        <v>10146.55</v>
      </c>
      <c r="F4252" s="3">
        <f>IFERROR(__xludf.DUMMYFUNCTION("""COMPUTED_VALUE"""),0.0)</f>
        <v>0</v>
      </c>
    </row>
    <row r="4253">
      <c r="A4253" s="7">
        <f>IFERROR(__xludf.DUMMYFUNCTION("""COMPUTED_VALUE"""),43031.64583333333)</f>
        <v>43031.64583</v>
      </c>
      <c r="B4253" s="3">
        <f>IFERROR(__xludf.DUMMYFUNCTION("""COMPUTED_VALUE"""),10176.65)</f>
        <v>10176.65</v>
      </c>
      <c r="C4253" s="3">
        <f>IFERROR(__xludf.DUMMYFUNCTION("""COMPUTED_VALUE"""),10224.15)</f>
        <v>10224.15</v>
      </c>
      <c r="D4253" s="3">
        <f>IFERROR(__xludf.DUMMYFUNCTION("""COMPUTED_VALUE"""),10124.5)</f>
        <v>10124.5</v>
      </c>
      <c r="E4253" s="3">
        <f>IFERROR(__xludf.DUMMYFUNCTION("""COMPUTED_VALUE"""),10184.85)</f>
        <v>10184.85</v>
      </c>
      <c r="F4253" s="3">
        <f>IFERROR(__xludf.DUMMYFUNCTION("""COMPUTED_VALUE"""),0.0)</f>
        <v>0</v>
      </c>
    </row>
    <row r="4254">
      <c r="A4254" s="7">
        <f>IFERROR(__xludf.DUMMYFUNCTION("""COMPUTED_VALUE"""),43032.64583333333)</f>
        <v>43032.64583</v>
      </c>
      <c r="B4254" s="3">
        <f>IFERROR(__xludf.DUMMYFUNCTION("""COMPUTED_VALUE"""),10218.55)</f>
        <v>10218.55</v>
      </c>
      <c r="C4254" s="3">
        <f>IFERROR(__xludf.DUMMYFUNCTION("""COMPUTED_VALUE"""),10237.75)</f>
        <v>10237.75</v>
      </c>
      <c r="D4254" s="3">
        <f>IFERROR(__xludf.DUMMYFUNCTION("""COMPUTED_VALUE"""),10182.4)</f>
        <v>10182.4</v>
      </c>
      <c r="E4254" s="3">
        <f>IFERROR(__xludf.DUMMYFUNCTION("""COMPUTED_VALUE"""),10207.7)</f>
        <v>10207.7</v>
      </c>
      <c r="F4254" s="3">
        <f>IFERROR(__xludf.DUMMYFUNCTION("""COMPUTED_VALUE"""),0.0)</f>
        <v>0</v>
      </c>
    </row>
    <row r="4255">
      <c r="A4255" s="7">
        <f>IFERROR(__xludf.DUMMYFUNCTION("""COMPUTED_VALUE"""),43033.64583333333)</f>
        <v>43033.64583</v>
      </c>
      <c r="B4255" s="3">
        <f>IFERROR(__xludf.DUMMYFUNCTION("""COMPUTED_VALUE"""),10321.15)</f>
        <v>10321.15</v>
      </c>
      <c r="C4255" s="3">
        <f>IFERROR(__xludf.DUMMYFUNCTION("""COMPUTED_VALUE"""),10340.55)</f>
        <v>10340.55</v>
      </c>
      <c r="D4255" s="3">
        <f>IFERROR(__xludf.DUMMYFUNCTION("""COMPUTED_VALUE"""),10240.9)</f>
        <v>10240.9</v>
      </c>
      <c r="E4255" s="3">
        <f>IFERROR(__xludf.DUMMYFUNCTION("""COMPUTED_VALUE"""),10295.35)</f>
        <v>10295.35</v>
      </c>
      <c r="F4255" s="3">
        <f>IFERROR(__xludf.DUMMYFUNCTION("""COMPUTED_VALUE"""),0.0)</f>
        <v>0</v>
      </c>
    </row>
    <row r="4256">
      <c r="A4256" s="7">
        <f>IFERROR(__xludf.DUMMYFUNCTION("""COMPUTED_VALUE"""),43034.64583333333)</f>
        <v>43034.64583</v>
      </c>
      <c r="B4256" s="3">
        <f>IFERROR(__xludf.DUMMYFUNCTION("""COMPUTED_VALUE"""),10291.8)</f>
        <v>10291.8</v>
      </c>
      <c r="C4256" s="3">
        <f>IFERROR(__xludf.DUMMYFUNCTION("""COMPUTED_VALUE"""),10355.65)</f>
        <v>10355.65</v>
      </c>
      <c r="D4256" s="3">
        <f>IFERROR(__xludf.DUMMYFUNCTION("""COMPUTED_VALUE"""),10271.85)</f>
        <v>10271.85</v>
      </c>
      <c r="E4256" s="3">
        <f>IFERROR(__xludf.DUMMYFUNCTION("""COMPUTED_VALUE"""),10343.8)</f>
        <v>10343.8</v>
      </c>
      <c r="F4256" s="3">
        <f>IFERROR(__xludf.DUMMYFUNCTION("""COMPUTED_VALUE"""),0.0)</f>
        <v>0</v>
      </c>
    </row>
    <row r="4257">
      <c r="A4257" s="7">
        <f>IFERROR(__xludf.DUMMYFUNCTION("""COMPUTED_VALUE"""),43035.64583333333)</f>
        <v>43035.64583</v>
      </c>
      <c r="B4257" s="3">
        <f>IFERROR(__xludf.DUMMYFUNCTION("""COMPUTED_VALUE"""),10362.3)</f>
        <v>10362.3</v>
      </c>
      <c r="C4257" s="3">
        <f>IFERROR(__xludf.DUMMYFUNCTION("""COMPUTED_VALUE"""),10366.15)</f>
        <v>10366.15</v>
      </c>
      <c r="D4257" s="3">
        <f>IFERROR(__xludf.DUMMYFUNCTION("""COMPUTED_VALUE"""),10311.3)</f>
        <v>10311.3</v>
      </c>
      <c r="E4257" s="3">
        <f>IFERROR(__xludf.DUMMYFUNCTION("""COMPUTED_VALUE"""),10323.05)</f>
        <v>10323.05</v>
      </c>
      <c r="F4257" s="3">
        <f>IFERROR(__xludf.DUMMYFUNCTION("""COMPUTED_VALUE"""),0.0)</f>
        <v>0</v>
      </c>
    </row>
    <row r="4258">
      <c r="A4258" s="7">
        <f>IFERROR(__xludf.DUMMYFUNCTION("""COMPUTED_VALUE"""),43038.64583333333)</f>
        <v>43038.64583</v>
      </c>
      <c r="B4258" s="3">
        <f>IFERROR(__xludf.DUMMYFUNCTION("""COMPUTED_VALUE"""),10353.85)</f>
        <v>10353.85</v>
      </c>
      <c r="C4258" s="3">
        <f>IFERROR(__xludf.DUMMYFUNCTION("""COMPUTED_VALUE"""),10384.5)</f>
        <v>10384.5</v>
      </c>
      <c r="D4258" s="3">
        <f>IFERROR(__xludf.DUMMYFUNCTION("""COMPUTED_VALUE"""),10344.3)</f>
        <v>10344.3</v>
      </c>
      <c r="E4258" s="3">
        <f>IFERROR(__xludf.DUMMYFUNCTION("""COMPUTED_VALUE"""),10363.65)</f>
        <v>10363.65</v>
      </c>
      <c r="F4258" s="3">
        <f>IFERROR(__xludf.DUMMYFUNCTION("""COMPUTED_VALUE"""),0.0)</f>
        <v>0</v>
      </c>
    </row>
    <row r="4259">
      <c r="A4259" s="7">
        <f>IFERROR(__xludf.DUMMYFUNCTION("""COMPUTED_VALUE"""),43039.64583333333)</f>
        <v>43039.64583</v>
      </c>
      <c r="B4259" s="3">
        <f>IFERROR(__xludf.DUMMYFUNCTION("""COMPUTED_VALUE"""),10364.9)</f>
        <v>10364.9</v>
      </c>
      <c r="C4259" s="3">
        <f>IFERROR(__xludf.DUMMYFUNCTION("""COMPUTED_VALUE"""),10367.7)</f>
        <v>10367.7</v>
      </c>
      <c r="D4259" s="3">
        <f>IFERROR(__xludf.DUMMYFUNCTION("""COMPUTED_VALUE"""),10323.95)</f>
        <v>10323.95</v>
      </c>
      <c r="E4259" s="3">
        <f>IFERROR(__xludf.DUMMYFUNCTION("""COMPUTED_VALUE"""),10335.3)</f>
        <v>10335.3</v>
      </c>
      <c r="F4259" s="3">
        <f>IFERROR(__xludf.DUMMYFUNCTION("""COMPUTED_VALUE"""),0.0)</f>
        <v>0</v>
      </c>
    </row>
    <row r="4260">
      <c r="A4260" s="7">
        <f>IFERROR(__xludf.DUMMYFUNCTION("""COMPUTED_VALUE"""),43040.64583333333)</f>
        <v>43040.64583</v>
      </c>
      <c r="B4260" s="3">
        <f>IFERROR(__xludf.DUMMYFUNCTION("""COMPUTED_VALUE"""),10390.35)</f>
        <v>10390.35</v>
      </c>
      <c r="C4260" s="3">
        <f>IFERROR(__xludf.DUMMYFUNCTION("""COMPUTED_VALUE"""),10451.65)</f>
        <v>10451.65</v>
      </c>
      <c r="D4260" s="3">
        <f>IFERROR(__xludf.DUMMYFUNCTION("""COMPUTED_VALUE"""),10383.05)</f>
        <v>10383.05</v>
      </c>
      <c r="E4260" s="3">
        <f>IFERROR(__xludf.DUMMYFUNCTION("""COMPUTED_VALUE"""),10440.5)</f>
        <v>10440.5</v>
      </c>
      <c r="F4260" s="3">
        <f>IFERROR(__xludf.DUMMYFUNCTION("""COMPUTED_VALUE"""),0.0)</f>
        <v>0</v>
      </c>
    </row>
    <row r="4261">
      <c r="A4261" s="7">
        <f>IFERROR(__xludf.DUMMYFUNCTION("""COMPUTED_VALUE"""),43041.64583333333)</f>
        <v>43041.64583</v>
      </c>
      <c r="B4261" s="3">
        <f>IFERROR(__xludf.DUMMYFUNCTION("""COMPUTED_VALUE"""),10440.5)</f>
        <v>10440.5</v>
      </c>
      <c r="C4261" s="3">
        <f>IFERROR(__xludf.DUMMYFUNCTION("""COMPUTED_VALUE"""),10453.0)</f>
        <v>10453</v>
      </c>
      <c r="D4261" s="3">
        <f>IFERROR(__xludf.DUMMYFUNCTION("""COMPUTED_VALUE"""),10412.55)</f>
        <v>10412.55</v>
      </c>
      <c r="E4261" s="3">
        <f>IFERROR(__xludf.DUMMYFUNCTION("""COMPUTED_VALUE"""),10423.8)</f>
        <v>10423.8</v>
      </c>
      <c r="F4261" s="3">
        <f>IFERROR(__xludf.DUMMYFUNCTION("""COMPUTED_VALUE"""),0.0)</f>
        <v>0</v>
      </c>
    </row>
    <row r="4262">
      <c r="A4262" s="7">
        <f>IFERROR(__xludf.DUMMYFUNCTION("""COMPUTED_VALUE"""),43042.64583333333)</f>
        <v>43042.64583</v>
      </c>
      <c r="B4262" s="3">
        <f>IFERROR(__xludf.DUMMYFUNCTION("""COMPUTED_VALUE"""),10461.55)</f>
        <v>10461.55</v>
      </c>
      <c r="C4262" s="3">
        <f>IFERROR(__xludf.DUMMYFUNCTION("""COMPUTED_VALUE"""),10461.7)</f>
        <v>10461.7</v>
      </c>
      <c r="D4262" s="3">
        <f>IFERROR(__xludf.DUMMYFUNCTION("""COMPUTED_VALUE"""),10403.6)</f>
        <v>10403.6</v>
      </c>
      <c r="E4262" s="3">
        <f>IFERROR(__xludf.DUMMYFUNCTION("""COMPUTED_VALUE"""),10452.5)</f>
        <v>10452.5</v>
      </c>
      <c r="F4262" s="3">
        <f>IFERROR(__xludf.DUMMYFUNCTION("""COMPUTED_VALUE"""),0.0)</f>
        <v>0</v>
      </c>
    </row>
    <row r="4263">
      <c r="A4263" s="7">
        <f>IFERROR(__xludf.DUMMYFUNCTION("""COMPUTED_VALUE"""),43045.64583333333)</f>
        <v>43045.64583</v>
      </c>
      <c r="B4263" s="3">
        <f>IFERROR(__xludf.DUMMYFUNCTION("""COMPUTED_VALUE"""),10431.75)</f>
        <v>10431.75</v>
      </c>
      <c r="C4263" s="3">
        <f>IFERROR(__xludf.DUMMYFUNCTION("""COMPUTED_VALUE"""),10490.45)</f>
        <v>10490.45</v>
      </c>
      <c r="D4263" s="3">
        <f>IFERROR(__xludf.DUMMYFUNCTION("""COMPUTED_VALUE"""),10413.75)</f>
        <v>10413.75</v>
      </c>
      <c r="E4263" s="3">
        <f>IFERROR(__xludf.DUMMYFUNCTION("""COMPUTED_VALUE"""),10451.8)</f>
        <v>10451.8</v>
      </c>
      <c r="F4263" s="3">
        <f>IFERROR(__xludf.DUMMYFUNCTION("""COMPUTED_VALUE"""),0.0)</f>
        <v>0</v>
      </c>
    </row>
    <row r="4264">
      <c r="A4264" s="7">
        <f>IFERROR(__xludf.DUMMYFUNCTION("""COMPUTED_VALUE"""),43046.64583333333)</f>
        <v>43046.64583</v>
      </c>
      <c r="B4264" s="3">
        <f>IFERROR(__xludf.DUMMYFUNCTION("""COMPUTED_VALUE"""),10477.15)</f>
        <v>10477.15</v>
      </c>
      <c r="C4264" s="3">
        <f>IFERROR(__xludf.DUMMYFUNCTION("""COMPUTED_VALUE"""),10485.75)</f>
        <v>10485.75</v>
      </c>
      <c r="D4264" s="3">
        <f>IFERROR(__xludf.DUMMYFUNCTION("""COMPUTED_VALUE"""),10340.8)</f>
        <v>10340.8</v>
      </c>
      <c r="E4264" s="3">
        <f>IFERROR(__xludf.DUMMYFUNCTION("""COMPUTED_VALUE"""),10350.15)</f>
        <v>10350.15</v>
      </c>
      <c r="F4264" s="3">
        <f>IFERROR(__xludf.DUMMYFUNCTION("""COMPUTED_VALUE"""),0.0)</f>
        <v>0</v>
      </c>
    </row>
    <row r="4265">
      <c r="A4265" s="7">
        <f>IFERROR(__xludf.DUMMYFUNCTION("""COMPUTED_VALUE"""),43047.64583333333)</f>
        <v>43047.64583</v>
      </c>
      <c r="B4265" s="3">
        <f>IFERROR(__xludf.DUMMYFUNCTION("""COMPUTED_VALUE"""),10361.95)</f>
        <v>10361.95</v>
      </c>
      <c r="C4265" s="3">
        <f>IFERROR(__xludf.DUMMYFUNCTION("""COMPUTED_VALUE"""),10384.25)</f>
        <v>10384.25</v>
      </c>
      <c r="D4265" s="3">
        <f>IFERROR(__xludf.DUMMYFUNCTION("""COMPUTED_VALUE"""),10285.5)</f>
        <v>10285.5</v>
      </c>
      <c r="E4265" s="3">
        <f>IFERROR(__xludf.DUMMYFUNCTION("""COMPUTED_VALUE"""),10303.15)</f>
        <v>10303.15</v>
      </c>
      <c r="F4265" s="3">
        <f>IFERROR(__xludf.DUMMYFUNCTION("""COMPUTED_VALUE"""),0.0)</f>
        <v>0</v>
      </c>
    </row>
    <row r="4266">
      <c r="A4266" s="7">
        <f>IFERROR(__xludf.DUMMYFUNCTION("""COMPUTED_VALUE"""),43048.64583333333)</f>
        <v>43048.64583</v>
      </c>
      <c r="B4266" s="3">
        <f>IFERROR(__xludf.DUMMYFUNCTION("""COMPUTED_VALUE"""),10358.65)</f>
        <v>10358.65</v>
      </c>
      <c r="C4266" s="3">
        <f>IFERROR(__xludf.DUMMYFUNCTION("""COMPUTED_VALUE"""),10368.45)</f>
        <v>10368.45</v>
      </c>
      <c r="D4266" s="3">
        <f>IFERROR(__xludf.DUMMYFUNCTION("""COMPUTED_VALUE"""),10266.95)</f>
        <v>10266.95</v>
      </c>
      <c r="E4266" s="3">
        <f>IFERROR(__xludf.DUMMYFUNCTION("""COMPUTED_VALUE"""),10308.95)</f>
        <v>10308.95</v>
      </c>
      <c r="F4266" s="3">
        <f>IFERROR(__xludf.DUMMYFUNCTION("""COMPUTED_VALUE"""),0.0)</f>
        <v>0</v>
      </c>
    </row>
    <row r="4267">
      <c r="A4267" s="7">
        <f>IFERROR(__xludf.DUMMYFUNCTION("""COMPUTED_VALUE"""),43049.64583333333)</f>
        <v>43049.64583</v>
      </c>
      <c r="B4267" s="3">
        <f>IFERROR(__xludf.DUMMYFUNCTION("""COMPUTED_VALUE"""),10304.35)</f>
        <v>10304.35</v>
      </c>
      <c r="C4267" s="3">
        <f>IFERROR(__xludf.DUMMYFUNCTION("""COMPUTED_VALUE"""),10344.95)</f>
        <v>10344.95</v>
      </c>
      <c r="D4267" s="3">
        <f>IFERROR(__xludf.DUMMYFUNCTION("""COMPUTED_VALUE"""),10254.1)</f>
        <v>10254.1</v>
      </c>
      <c r="E4267" s="3">
        <f>IFERROR(__xludf.DUMMYFUNCTION("""COMPUTED_VALUE"""),10321.75)</f>
        <v>10321.75</v>
      </c>
      <c r="F4267" s="3">
        <f>IFERROR(__xludf.DUMMYFUNCTION("""COMPUTED_VALUE"""),0.0)</f>
        <v>0</v>
      </c>
    </row>
    <row r="4268">
      <c r="A4268" s="7">
        <f>IFERROR(__xludf.DUMMYFUNCTION("""COMPUTED_VALUE"""),43052.64583333333)</f>
        <v>43052.64583</v>
      </c>
      <c r="B4268" s="3">
        <f>IFERROR(__xludf.DUMMYFUNCTION("""COMPUTED_VALUE"""),10322.0)</f>
        <v>10322</v>
      </c>
      <c r="C4268" s="3">
        <f>IFERROR(__xludf.DUMMYFUNCTION("""COMPUTED_VALUE"""),10334.15)</f>
        <v>10334.15</v>
      </c>
      <c r="D4268" s="3">
        <f>IFERROR(__xludf.DUMMYFUNCTION("""COMPUTED_VALUE"""),10216.25)</f>
        <v>10216.25</v>
      </c>
      <c r="E4268" s="3">
        <f>IFERROR(__xludf.DUMMYFUNCTION("""COMPUTED_VALUE"""),10224.95)</f>
        <v>10224.95</v>
      </c>
      <c r="F4268" s="3">
        <f>IFERROR(__xludf.DUMMYFUNCTION("""COMPUTED_VALUE"""),0.0)</f>
        <v>0</v>
      </c>
    </row>
    <row r="4269">
      <c r="A4269" s="7">
        <f>IFERROR(__xludf.DUMMYFUNCTION("""COMPUTED_VALUE"""),43053.64583333333)</f>
        <v>43053.64583</v>
      </c>
      <c r="B4269" s="3">
        <f>IFERROR(__xludf.DUMMYFUNCTION("""COMPUTED_VALUE"""),10223.4)</f>
        <v>10223.4</v>
      </c>
      <c r="C4269" s="3">
        <f>IFERROR(__xludf.DUMMYFUNCTION("""COMPUTED_VALUE"""),10248.0)</f>
        <v>10248</v>
      </c>
      <c r="D4269" s="3">
        <f>IFERROR(__xludf.DUMMYFUNCTION("""COMPUTED_VALUE"""),10175.55)</f>
        <v>10175.55</v>
      </c>
      <c r="E4269" s="3">
        <f>IFERROR(__xludf.DUMMYFUNCTION("""COMPUTED_VALUE"""),10186.6)</f>
        <v>10186.6</v>
      </c>
      <c r="F4269" s="3">
        <f>IFERROR(__xludf.DUMMYFUNCTION("""COMPUTED_VALUE"""),0.0)</f>
        <v>0</v>
      </c>
    </row>
    <row r="4270">
      <c r="A4270" s="7">
        <f>IFERROR(__xludf.DUMMYFUNCTION("""COMPUTED_VALUE"""),43054.64583333333)</f>
        <v>43054.64583</v>
      </c>
      <c r="B4270" s="3">
        <f>IFERROR(__xludf.DUMMYFUNCTION("""COMPUTED_VALUE"""),10171.95)</f>
        <v>10171.95</v>
      </c>
      <c r="C4270" s="3">
        <f>IFERROR(__xludf.DUMMYFUNCTION("""COMPUTED_VALUE"""),10175.45)</f>
        <v>10175.45</v>
      </c>
      <c r="D4270" s="3">
        <f>IFERROR(__xludf.DUMMYFUNCTION("""COMPUTED_VALUE"""),10094.0)</f>
        <v>10094</v>
      </c>
      <c r="E4270" s="3">
        <f>IFERROR(__xludf.DUMMYFUNCTION("""COMPUTED_VALUE"""),10118.05)</f>
        <v>10118.05</v>
      </c>
      <c r="F4270" s="3">
        <f>IFERROR(__xludf.DUMMYFUNCTION("""COMPUTED_VALUE"""),0.0)</f>
        <v>0</v>
      </c>
    </row>
    <row r="4271">
      <c r="A4271" s="7">
        <f>IFERROR(__xludf.DUMMYFUNCTION("""COMPUTED_VALUE"""),43055.64583333333)</f>
        <v>43055.64583</v>
      </c>
      <c r="B4271" s="3">
        <f>IFERROR(__xludf.DUMMYFUNCTION("""COMPUTED_VALUE"""),10152.9)</f>
        <v>10152.9</v>
      </c>
      <c r="C4271" s="3">
        <f>IFERROR(__xludf.DUMMYFUNCTION("""COMPUTED_VALUE"""),10232.25)</f>
        <v>10232.25</v>
      </c>
      <c r="D4271" s="3">
        <f>IFERROR(__xludf.DUMMYFUNCTION("""COMPUTED_VALUE"""),10139.2)</f>
        <v>10139.2</v>
      </c>
      <c r="E4271" s="3">
        <f>IFERROR(__xludf.DUMMYFUNCTION("""COMPUTED_VALUE"""),10214.75)</f>
        <v>10214.75</v>
      </c>
      <c r="F4271" s="3">
        <f>IFERROR(__xludf.DUMMYFUNCTION("""COMPUTED_VALUE"""),0.0)</f>
        <v>0</v>
      </c>
    </row>
    <row r="4272">
      <c r="A4272" s="7">
        <f>IFERROR(__xludf.DUMMYFUNCTION("""COMPUTED_VALUE"""),43056.64583333333)</f>
        <v>43056.64583</v>
      </c>
      <c r="B4272" s="3">
        <f>IFERROR(__xludf.DUMMYFUNCTION("""COMPUTED_VALUE"""),10324.55)</f>
        <v>10324.55</v>
      </c>
      <c r="C4272" s="3">
        <f>IFERROR(__xludf.DUMMYFUNCTION("""COMPUTED_VALUE"""),10343.6)</f>
        <v>10343.6</v>
      </c>
      <c r="D4272" s="3">
        <f>IFERROR(__xludf.DUMMYFUNCTION("""COMPUTED_VALUE"""),10268.05)</f>
        <v>10268.05</v>
      </c>
      <c r="E4272" s="3">
        <f>IFERROR(__xludf.DUMMYFUNCTION("""COMPUTED_VALUE"""),10283.6)</f>
        <v>10283.6</v>
      </c>
      <c r="F4272" s="3">
        <f>IFERROR(__xludf.DUMMYFUNCTION("""COMPUTED_VALUE"""),0.0)</f>
        <v>0</v>
      </c>
    </row>
    <row r="4273">
      <c r="A4273" s="7">
        <f>IFERROR(__xludf.DUMMYFUNCTION("""COMPUTED_VALUE"""),43059.64583333333)</f>
        <v>43059.64583</v>
      </c>
      <c r="B4273" s="3">
        <f>IFERROR(__xludf.DUMMYFUNCTION("""COMPUTED_VALUE"""),10287.2)</f>
        <v>10287.2</v>
      </c>
      <c r="C4273" s="3">
        <f>IFERROR(__xludf.DUMMYFUNCTION("""COMPUTED_VALUE"""),10309.85)</f>
        <v>10309.85</v>
      </c>
      <c r="D4273" s="3">
        <f>IFERROR(__xludf.DUMMYFUNCTION("""COMPUTED_VALUE"""),10261.5)</f>
        <v>10261.5</v>
      </c>
      <c r="E4273" s="3">
        <f>IFERROR(__xludf.DUMMYFUNCTION("""COMPUTED_VALUE"""),10298.75)</f>
        <v>10298.75</v>
      </c>
      <c r="F4273" s="3">
        <f>IFERROR(__xludf.DUMMYFUNCTION("""COMPUTED_VALUE"""),0.0)</f>
        <v>0</v>
      </c>
    </row>
    <row r="4274">
      <c r="A4274" s="7">
        <f>IFERROR(__xludf.DUMMYFUNCTION("""COMPUTED_VALUE"""),43060.64583333333)</f>
        <v>43060.64583</v>
      </c>
      <c r="B4274" s="3">
        <f>IFERROR(__xludf.DUMMYFUNCTION("""COMPUTED_VALUE"""),10329.25)</f>
        <v>10329.25</v>
      </c>
      <c r="C4274" s="3">
        <f>IFERROR(__xludf.DUMMYFUNCTION("""COMPUTED_VALUE"""),10358.7)</f>
        <v>10358.7</v>
      </c>
      <c r="D4274" s="3">
        <f>IFERROR(__xludf.DUMMYFUNCTION("""COMPUTED_VALUE"""),10315.05)</f>
        <v>10315.05</v>
      </c>
      <c r="E4274" s="3">
        <f>IFERROR(__xludf.DUMMYFUNCTION("""COMPUTED_VALUE"""),10326.9)</f>
        <v>10326.9</v>
      </c>
      <c r="F4274" s="3">
        <f>IFERROR(__xludf.DUMMYFUNCTION("""COMPUTED_VALUE"""),0.0)</f>
        <v>0</v>
      </c>
    </row>
    <row r="4275">
      <c r="A4275" s="7">
        <f>IFERROR(__xludf.DUMMYFUNCTION("""COMPUTED_VALUE"""),43061.64583333333)</f>
        <v>43061.64583</v>
      </c>
      <c r="B4275" s="3">
        <f>IFERROR(__xludf.DUMMYFUNCTION("""COMPUTED_VALUE"""),10350.8)</f>
        <v>10350.8</v>
      </c>
      <c r="C4275" s="3">
        <f>IFERROR(__xludf.DUMMYFUNCTION("""COMPUTED_VALUE"""),10368.7)</f>
        <v>10368.7</v>
      </c>
      <c r="D4275" s="3">
        <f>IFERROR(__xludf.DUMMYFUNCTION("""COMPUTED_VALUE"""),10309.55)</f>
        <v>10309.55</v>
      </c>
      <c r="E4275" s="3">
        <f>IFERROR(__xludf.DUMMYFUNCTION("""COMPUTED_VALUE"""),10342.3)</f>
        <v>10342.3</v>
      </c>
      <c r="F4275" s="3">
        <f>IFERROR(__xludf.DUMMYFUNCTION("""COMPUTED_VALUE"""),0.0)</f>
        <v>0</v>
      </c>
    </row>
    <row r="4276">
      <c r="A4276" s="7">
        <f>IFERROR(__xludf.DUMMYFUNCTION("""COMPUTED_VALUE"""),43062.64583333333)</f>
        <v>43062.64583</v>
      </c>
      <c r="B4276" s="3">
        <f>IFERROR(__xludf.DUMMYFUNCTION("""COMPUTED_VALUE"""),10358.45)</f>
        <v>10358.45</v>
      </c>
      <c r="C4276" s="3">
        <f>IFERROR(__xludf.DUMMYFUNCTION("""COMPUTED_VALUE"""),10374.3)</f>
        <v>10374.3</v>
      </c>
      <c r="D4276" s="3">
        <f>IFERROR(__xludf.DUMMYFUNCTION("""COMPUTED_VALUE"""),10307.3)</f>
        <v>10307.3</v>
      </c>
      <c r="E4276" s="3">
        <f>IFERROR(__xludf.DUMMYFUNCTION("""COMPUTED_VALUE"""),10348.75)</f>
        <v>10348.75</v>
      </c>
      <c r="F4276" s="3">
        <f>IFERROR(__xludf.DUMMYFUNCTION("""COMPUTED_VALUE"""),0.0)</f>
        <v>0</v>
      </c>
    </row>
    <row r="4277">
      <c r="A4277" s="7">
        <f>IFERROR(__xludf.DUMMYFUNCTION("""COMPUTED_VALUE"""),43063.64583333333)</f>
        <v>43063.64583</v>
      </c>
      <c r="B4277" s="3">
        <f>IFERROR(__xludf.DUMMYFUNCTION("""COMPUTED_VALUE"""),10366.8)</f>
        <v>10366.8</v>
      </c>
      <c r="C4277" s="3">
        <f>IFERROR(__xludf.DUMMYFUNCTION("""COMPUTED_VALUE"""),10404.5)</f>
        <v>10404.5</v>
      </c>
      <c r="D4277" s="3">
        <f>IFERROR(__xludf.DUMMYFUNCTION("""COMPUTED_VALUE"""),10362.25)</f>
        <v>10362.25</v>
      </c>
      <c r="E4277" s="3">
        <f>IFERROR(__xludf.DUMMYFUNCTION("""COMPUTED_VALUE"""),10389.7)</f>
        <v>10389.7</v>
      </c>
      <c r="F4277" s="3">
        <f>IFERROR(__xludf.DUMMYFUNCTION("""COMPUTED_VALUE"""),0.0)</f>
        <v>0</v>
      </c>
    </row>
    <row r="4278">
      <c r="A4278" s="7">
        <f>IFERROR(__xludf.DUMMYFUNCTION("""COMPUTED_VALUE"""),43066.64583333333)</f>
        <v>43066.64583</v>
      </c>
      <c r="B4278" s="3">
        <f>IFERROR(__xludf.DUMMYFUNCTION("""COMPUTED_VALUE"""),10361.05)</f>
        <v>10361.05</v>
      </c>
      <c r="C4278" s="3">
        <f>IFERROR(__xludf.DUMMYFUNCTION("""COMPUTED_VALUE"""),10407.15)</f>
        <v>10407.15</v>
      </c>
      <c r="D4278" s="3">
        <f>IFERROR(__xludf.DUMMYFUNCTION("""COMPUTED_VALUE"""),10340.2)</f>
        <v>10340.2</v>
      </c>
      <c r="E4278" s="3">
        <f>IFERROR(__xludf.DUMMYFUNCTION("""COMPUTED_VALUE"""),10399.55)</f>
        <v>10399.55</v>
      </c>
      <c r="F4278" s="3">
        <f>IFERROR(__xludf.DUMMYFUNCTION("""COMPUTED_VALUE"""),0.0)</f>
        <v>0</v>
      </c>
    </row>
    <row r="4279">
      <c r="A4279" s="7">
        <f>IFERROR(__xludf.DUMMYFUNCTION("""COMPUTED_VALUE"""),43067.64583333333)</f>
        <v>43067.64583</v>
      </c>
      <c r="B4279" s="3">
        <f>IFERROR(__xludf.DUMMYFUNCTION("""COMPUTED_VALUE"""),10387.9)</f>
        <v>10387.9</v>
      </c>
      <c r="C4279" s="3">
        <f>IFERROR(__xludf.DUMMYFUNCTION("""COMPUTED_VALUE"""),10409.55)</f>
        <v>10409.55</v>
      </c>
      <c r="D4279" s="3">
        <f>IFERROR(__xludf.DUMMYFUNCTION("""COMPUTED_VALUE"""),10355.2)</f>
        <v>10355.2</v>
      </c>
      <c r="E4279" s="3">
        <f>IFERROR(__xludf.DUMMYFUNCTION("""COMPUTED_VALUE"""),10370.25)</f>
        <v>10370.25</v>
      </c>
      <c r="F4279" s="3">
        <f>IFERROR(__xludf.DUMMYFUNCTION("""COMPUTED_VALUE"""),0.0)</f>
        <v>0</v>
      </c>
    </row>
    <row r="4280">
      <c r="A4280" s="7">
        <f>IFERROR(__xludf.DUMMYFUNCTION("""COMPUTED_VALUE"""),43068.64583333333)</f>
        <v>43068.64583</v>
      </c>
      <c r="B4280" s="3">
        <f>IFERROR(__xludf.DUMMYFUNCTION("""COMPUTED_VALUE"""),10376.65)</f>
        <v>10376.65</v>
      </c>
      <c r="C4280" s="3">
        <f>IFERROR(__xludf.DUMMYFUNCTION("""COMPUTED_VALUE"""),10392.95)</f>
        <v>10392.95</v>
      </c>
      <c r="D4280" s="3">
        <f>IFERROR(__xludf.DUMMYFUNCTION("""COMPUTED_VALUE"""),10345.9)</f>
        <v>10345.9</v>
      </c>
      <c r="E4280" s="3">
        <f>IFERROR(__xludf.DUMMYFUNCTION("""COMPUTED_VALUE"""),10361.3)</f>
        <v>10361.3</v>
      </c>
      <c r="F4280" s="3">
        <f>IFERROR(__xludf.DUMMYFUNCTION("""COMPUTED_VALUE"""),0.0)</f>
        <v>0</v>
      </c>
    </row>
    <row r="4281">
      <c r="A4281" s="7">
        <f>IFERROR(__xludf.DUMMYFUNCTION("""COMPUTED_VALUE"""),43069.64583333333)</f>
        <v>43069.64583</v>
      </c>
      <c r="B4281" s="3">
        <f>IFERROR(__xludf.DUMMYFUNCTION("""COMPUTED_VALUE"""),10332.7)</f>
        <v>10332.7</v>
      </c>
      <c r="C4281" s="3">
        <f>IFERROR(__xludf.DUMMYFUNCTION("""COMPUTED_VALUE"""),10332.7)</f>
        <v>10332.7</v>
      </c>
      <c r="D4281" s="3">
        <f>IFERROR(__xludf.DUMMYFUNCTION("""COMPUTED_VALUE"""),10211.25)</f>
        <v>10211.25</v>
      </c>
      <c r="E4281" s="3">
        <f>IFERROR(__xludf.DUMMYFUNCTION("""COMPUTED_VALUE"""),10226.55)</f>
        <v>10226.55</v>
      </c>
      <c r="F4281" s="3">
        <f>IFERROR(__xludf.DUMMYFUNCTION("""COMPUTED_VALUE"""),0.0)</f>
        <v>0</v>
      </c>
    </row>
    <row r="4282">
      <c r="A4282" s="7">
        <f>IFERROR(__xludf.DUMMYFUNCTION("""COMPUTED_VALUE"""),43070.64583333333)</f>
        <v>43070.64583</v>
      </c>
      <c r="B4282" s="3">
        <f>IFERROR(__xludf.DUMMYFUNCTION("""COMPUTED_VALUE"""),10263.7)</f>
        <v>10263.7</v>
      </c>
      <c r="C4282" s="3">
        <f>IFERROR(__xludf.DUMMYFUNCTION("""COMPUTED_VALUE"""),10272.7)</f>
        <v>10272.7</v>
      </c>
      <c r="D4282" s="3">
        <f>IFERROR(__xludf.DUMMYFUNCTION("""COMPUTED_VALUE"""),10108.55)</f>
        <v>10108.55</v>
      </c>
      <c r="E4282" s="3">
        <f>IFERROR(__xludf.DUMMYFUNCTION("""COMPUTED_VALUE"""),10121.8)</f>
        <v>10121.8</v>
      </c>
      <c r="F4282" s="3">
        <f>IFERROR(__xludf.DUMMYFUNCTION("""COMPUTED_VALUE"""),0.0)</f>
        <v>0</v>
      </c>
    </row>
    <row r="4283">
      <c r="A4283" s="7">
        <f>IFERROR(__xludf.DUMMYFUNCTION("""COMPUTED_VALUE"""),43073.64583333333)</f>
        <v>43073.64583</v>
      </c>
      <c r="B4283" s="3">
        <f>IFERROR(__xludf.DUMMYFUNCTION("""COMPUTED_VALUE"""),10175.05)</f>
        <v>10175.05</v>
      </c>
      <c r="C4283" s="3">
        <f>IFERROR(__xludf.DUMMYFUNCTION("""COMPUTED_VALUE"""),10179.2)</f>
        <v>10179.2</v>
      </c>
      <c r="D4283" s="3">
        <f>IFERROR(__xludf.DUMMYFUNCTION("""COMPUTED_VALUE"""),10095.7)</f>
        <v>10095.7</v>
      </c>
      <c r="E4283" s="3">
        <f>IFERROR(__xludf.DUMMYFUNCTION("""COMPUTED_VALUE"""),10127.75)</f>
        <v>10127.75</v>
      </c>
      <c r="F4283" s="3">
        <f>IFERROR(__xludf.DUMMYFUNCTION("""COMPUTED_VALUE"""),0.0)</f>
        <v>0</v>
      </c>
    </row>
    <row r="4284">
      <c r="A4284" s="7">
        <f>IFERROR(__xludf.DUMMYFUNCTION("""COMPUTED_VALUE"""),43074.64583333333)</f>
        <v>43074.64583</v>
      </c>
      <c r="B4284" s="3">
        <f>IFERROR(__xludf.DUMMYFUNCTION("""COMPUTED_VALUE"""),10118.25)</f>
        <v>10118.25</v>
      </c>
      <c r="C4284" s="3">
        <f>IFERROR(__xludf.DUMMYFUNCTION("""COMPUTED_VALUE"""),10147.95)</f>
        <v>10147.95</v>
      </c>
      <c r="D4284" s="3">
        <f>IFERROR(__xludf.DUMMYFUNCTION("""COMPUTED_VALUE"""),10069.1)</f>
        <v>10069.1</v>
      </c>
      <c r="E4284" s="3">
        <f>IFERROR(__xludf.DUMMYFUNCTION("""COMPUTED_VALUE"""),10118.25)</f>
        <v>10118.25</v>
      </c>
      <c r="F4284" s="3">
        <f>IFERROR(__xludf.DUMMYFUNCTION("""COMPUTED_VALUE"""),0.0)</f>
        <v>0</v>
      </c>
    </row>
    <row r="4285">
      <c r="A4285" s="7">
        <f>IFERROR(__xludf.DUMMYFUNCTION("""COMPUTED_VALUE"""),43075.64583333333)</f>
        <v>43075.64583</v>
      </c>
      <c r="B4285" s="3">
        <f>IFERROR(__xludf.DUMMYFUNCTION("""COMPUTED_VALUE"""),10088.8)</f>
        <v>10088.8</v>
      </c>
      <c r="C4285" s="3">
        <f>IFERROR(__xludf.DUMMYFUNCTION("""COMPUTED_VALUE"""),10104.2)</f>
        <v>10104.2</v>
      </c>
      <c r="D4285" s="3">
        <f>IFERROR(__xludf.DUMMYFUNCTION("""COMPUTED_VALUE"""),10033.35)</f>
        <v>10033.35</v>
      </c>
      <c r="E4285" s="3">
        <f>IFERROR(__xludf.DUMMYFUNCTION("""COMPUTED_VALUE"""),10044.1)</f>
        <v>10044.1</v>
      </c>
      <c r="F4285" s="3">
        <f>IFERROR(__xludf.DUMMYFUNCTION("""COMPUTED_VALUE"""),0.0)</f>
        <v>0</v>
      </c>
    </row>
    <row r="4286">
      <c r="A4286" s="7">
        <f>IFERROR(__xludf.DUMMYFUNCTION("""COMPUTED_VALUE"""),43076.64583333333)</f>
        <v>43076.64583</v>
      </c>
      <c r="B4286" s="3">
        <f>IFERROR(__xludf.DUMMYFUNCTION("""COMPUTED_VALUE"""),10063.45)</f>
        <v>10063.45</v>
      </c>
      <c r="C4286" s="3">
        <f>IFERROR(__xludf.DUMMYFUNCTION("""COMPUTED_VALUE"""),10182.65)</f>
        <v>10182.65</v>
      </c>
      <c r="D4286" s="3">
        <f>IFERROR(__xludf.DUMMYFUNCTION("""COMPUTED_VALUE"""),10061.9)</f>
        <v>10061.9</v>
      </c>
      <c r="E4286" s="3">
        <f>IFERROR(__xludf.DUMMYFUNCTION("""COMPUTED_VALUE"""),10166.7)</f>
        <v>10166.7</v>
      </c>
      <c r="F4286" s="3">
        <f>IFERROR(__xludf.DUMMYFUNCTION("""COMPUTED_VALUE"""),0.0)</f>
        <v>0</v>
      </c>
    </row>
    <row r="4287">
      <c r="A4287" s="7">
        <f>IFERROR(__xludf.DUMMYFUNCTION("""COMPUTED_VALUE"""),43077.64583333333)</f>
        <v>43077.64583</v>
      </c>
      <c r="B4287" s="3">
        <f>IFERROR(__xludf.DUMMYFUNCTION("""COMPUTED_VALUE"""),10198.45)</f>
        <v>10198.45</v>
      </c>
      <c r="C4287" s="3">
        <f>IFERROR(__xludf.DUMMYFUNCTION("""COMPUTED_VALUE"""),10270.85)</f>
        <v>10270.85</v>
      </c>
      <c r="D4287" s="3">
        <f>IFERROR(__xludf.DUMMYFUNCTION("""COMPUTED_VALUE"""),10195.25)</f>
        <v>10195.25</v>
      </c>
      <c r="E4287" s="3">
        <f>IFERROR(__xludf.DUMMYFUNCTION("""COMPUTED_VALUE"""),10265.65)</f>
        <v>10265.65</v>
      </c>
      <c r="F4287" s="3">
        <f>IFERROR(__xludf.DUMMYFUNCTION("""COMPUTED_VALUE"""),0.0)</f>
        <v>0</v>
      </c>
    </row>
    <row r="4288">
      <c r="A4288" s="7">
        <f>IFERROR(__xludf.DUMMYFUNCTION("""COMPUTED_VALUE"""),43080.64583333333)</f>
        <v>43080.64583</v>
      </c>
      <c r="B4288" s="3">
        <f>IFERROR(__xludf.DUMMYFUNCTION("""COMPUTED_VALUE"""),10310.5)</f>
        <v>10310.5</v>
      </c>
      <c r="C4288" s="3">
        <f>IFERROR(__xludf.DUMMYFUNCTION("""COMPUTED_VALUE"""),10329.2)</f>
        <v>10329.2</v>
      </c>
      <c r="D4288" s="3">
        <f>IFERROR(__xludf.DUMMYFUNCTION("""COMPUTED_VALUE"""),10282.05)</f>
        <v>10282.05</v>
      </c>
      <c r="E4288" s="3">
        <f>IFERROR(__xludf.DUMMYFUNCTION("""COMPUTED_VALUE"""),10322.25)</f>
        <v>10322.25</v>
      </c>
      <c r="F4288" s="3">
        <f>IFERROR(__xludf.DUMMYFUNCTION("""COMPUTED_VALUE"""),0.0)</f>
        <v>0</v>
      </c>
    </row>
    <row r="4289">
      <c r="A4289" s="7">
        <f>IFERROR(__xludf.DUMMYFUNCTION("""COMPUTED_VALUE"""),43081.64583333333)</f>
        <v>43081.64583</v>
      </c>
      <c r="B4289" s="3">
        <f>IFERROR(__xludf.DUMMYFUNCTION("""COMPUTED_VALUE"""),10324.9)</f>
        <v>10324.9</v>
      </c>
      <c r="C4289" s="3">
        <f>IFERROR(__xludf.DUMMYFUNCTION("""COMPUTED_VALUE"""),10326.1)</f>
        <v>10326.1</v>
      </c>
      <c r="D4289" s="3">
        <f>IFERROR(__xludf.DUMMYFUNCTION("""COMPUTED_VALUE"""),10230.2)</f>
        <v>10230.2</v>
      </c>
      <c r="E4289" s="3">
        <f>IFERROR(__xludf.DUMMYFUNCTION("""COMPUTED_VALUE"""),10240.15)</f>
        <v>10240.15</v>
      </c>
      <c r="F4289" s="3">
        <f>IFERROR(__xludf.DUMMYFUNCTION("""COMPUTED_VALUE"""),0.0)</f>
        <v>0</v>
      </c>
    </row>
    <row r="4290">
      <c r="A4290" s="7">
        <f>IFERROR(__xludf.DUMMYFUNCTION("""COMPUTED_VALUE"""),43082.64583333333)</f>
        <v>43082.64583</v>
      </c>
      <c r="B4290" s="3">
        <f>IFERROR(__xludf.DUMMYFUNCTION("""COMPUTED_VALUE"""),10236.6)</f>
        <v>10236.6</v>
      </c>
      <c r="C4290" s="3">
        <f>IFERROR(__xludf.DUMMYFUNCTION("""COMPUTED_VALUE"""),10296.55)</f>
        <v>10296.55</v>
      </c>
      <c r="D4290" s="3">
        <f>IFERROR(__xludf.DUMMYFUNCTION("""COMPUTED_VALUE"""),10169.85)</f>
        <v>10169.85</v>
      </c>
      <c r="E4290" s="3">
        <f>IFERROR(__xludf.DUMMYFUNCTION("""COMPUTED_VALUE"""),10192.95)</f>
        <v>10192.95</v>
      </c>
      <c r="F4290" s="3">
        <f>IFERROR(__xludf.DUMMYFUNCTION("""COMPUTED_VALUE"""),0.0)</f>
        <v>0</v>
      </c>
    </row>
    <row r="4291">
      <c r="A4291" s="7">
        <f>IFERROR(__xludf.DUMMYFUNCTION("""COMPUTED_VALUE"""),43083.64583333333)</f>
        <v>43083.64583</v>
      </c>
      <c r="B4291" s="3">
        <f>IFERROR(__xludf.DUMMYFUNCTION("""COMPUTED_VALUE"""),10229.3)</f>
        <v>10229.3</v>
      </c>
      <c r="C4291" s="3">
        <f>IFERROR(__xludf.DUMMYFUNCTION("""COMPUTED_VALUE"""),10276.1)</f>
        <v>10276.1</v>
      </c>
      <c r="D4291" s="3">
        <f>IFERROR(__xludf.DUMMYFUNCTION("""COMPUTED_VALUE"""),10141.55)</f>
        <v>10141.55</v>
      </c>
      <c r="E4291" s="3">
        <f>IFERROR(__xludf.DUMMYFUNCTION("""COMPUTED_VALUE"""),10252.1)</f>
        <v>10252.1</v>
      </c>
      <c r="F4291" s="3">
        <f>IFERROR(__xludf.DUMMYFUNCTION("""COMPUTED_VALUE"""),0.0)</f>
        <v>0</v>
      </c>
    </row>
    <row r="4292">
      <c r="A4292" s="7">
        <f>IFERROR(__xludf.DUMMYFUNCTION("""COMPUTED_VALUE"""),43084.64583333333)</f>
        <v>43084.64583</v>
      </c>
      <c r="B4292" s="3">
        <f>IFERROR(__xludf.DUMMYFUNCTION("""COMPUTED_VALUE"""),10345.65)</f>
        <v>10345.65</v>
      </c>
      <c r="C4292" s="3">
        <f>IFERROR(__xludf.DUMMYFUNCTION("""COMPUTED_VALUE"""),10373.1)</f>
        <v>10373.1</v>
      </c>
      <c r="D4292" s="3">
        <f>IFERROR(__xludf.DUMMYFUNCTION("""COMPUTED_VALUE"""),10319.65)</f>
        <v>10319.65</v>
      </c>
      <c r="E4292" s="3">
        <f>IFERROR(__xludf.DUMMYFUNCTION("""COMPUTED_VALUE"""),10333.25)</f>
        <v>10333.25</v>
      </c>
      <c r="F4292" s="3">
        <f>IFERROR(__xludf.DUMMYFUNCTION("""COMPUTED_VALUE"""),0.0)</f>
        <v>0</v>
      </c>
    </row>
    <row r="4293">
      <c r="A4293" s="7">
        <f>IFERROR(__xludf.DUMMYFUNCTION("""COMPUTED_VALUE"""),43087.64583333333)</f>
        <v>43087.64583</v>
      </c>
      <c r="B4293" s="3">
        <f>IFERROR(__xludf.DUMMYFUNCTION("""COMPUTED_VALUE"""),10263.1)</f>
        <v>10263.1</v>
      </c>
      <c r="C4293" s="3">
        <f>IFERROR(__xludf.DUMMYFUNCTION("""COMPUTED_VALUE"""),10443.55)</f>
        <v>10443.55</v>
      </c>
      <c r="D4293" s="3">
        <f>IFERROR(__xludf.DUMMYFUNCTION("""COMPUTED_VALUE"""),10074.8)</f>
        <v>10074.8</v>
      </c>
      <c r="E4293" s="3">
        <f>IFERROR(__xludf.DUMMYFUNCTION("""COMPUTED_VALUE"""),10388.75)</f>
        <v>10388.75</v>
      </c>
      <c r="F4293" s="3">
        <f>IFERROR(__xludf.DUMMYFUNCTION("""COMPUTED_VALUE"""),0.0)</f>
        <v>0</v>
      </c>
    </row>
    <row r="4294">
      <c r="A4294" s="7">
        <f>IFERROR(__xludf.DUMMYFUNCTION("""COMPUTED_VALUE"""),43088.64583333333)</f>
        <v>43088.64583</v>
      </c>
      <c r="B4294" s="3">
        <f>IFERROR(__xludf.DUMMYFUNCTION("""COMPUTED_VALUE"""),10414.8)</f>
        <v>10414.8</v>
      </c>
      <c r="C4294" s="3">
        <f>IFERROR(__xludf.DUMMYFUNCTION("""COMPUTED_VALUE"""),10472.2)</f>
        <v>10472.2</v>
      </c>
      <c r="D4294" s="3">
        <f>IFERROR(__xludf.DUMMYFUNCTION("""COMPUTED_VALUE"""),10406.0)</f>
        <v>10406</v>
      </c>
      <c r="E4294" s="3">
        <f>IFERROR(__xludf.DUMMYFUNCTION("""COMPUTED_VALUE"""),10463.2)</f>
        <v>10463.2</v>
      </c>
      <c r="F4294" s="3">
        <f>IFERROR(__xludf.DUMMYFUNCTION("""COMPUTED_VALUE"""),0.0)</f>
        <v>0</v>
      </c>
    </row>
    <row r="4295">
      <c r="A4295" s="7">
        <f>IFERROR(__xludf.DUMMYFUNCTION("""COMPUTED_VALUE"""),43089.64583333333)</f>
        <v>43089.64583</v>
      </c>
      <c r="B4295" s="3">
        <f>IFERROR(__xludf.DUMMYFUNCTION("""COMPUTED_VALUE"""),10494.4)</f>
        <v>10494.4</v>
      </c>
      <c r="C4295" s="3">
        <f>IFERROR(__xludf.DUMMYFUNCTION("""COMPUTED_VALUE"""),10494.45)</f>
        <v>10494.45</v>
      </c>
      <c r="D4295" s="3">
        <f>IFERROR(__xludf.DUMMYFUNCTION("""COMPUTED_VALUE"""),10437.15)</f>
        <v>10437.15</v>
      </c>
      <c r="E4295" s="3">
        <f>IFERROR(__xludf.DUMMYFUNCTION("""COMPUTED_VALUE"""),10444.2)</f>
        <v>10444.2</v>
      </c>
      <c r="F4295" s="3">
        <f>IFERROR(__xludf.DUMMYFUNCTION("""COMPUTED_VALUE"""),0.0)</f>
        <v>0</v>
      </c>
    </row>
    <row r="4296">
      <c r="A4296" s="7">
        <f>IFERROR(__xludf.DUMMYFUNCTION("""COMPUTED_VALUE"""),43090.64583333333)</f>
        <v>43090.64583</v>
      </c>
      <c r="B4296" s="3">
        <f>IFERROR(__xludf.DUMMYFUNCTION("""COMPUTED_VALUE"""),10473.95)</f>
        <v>10473.95</v>
      </c>
      <c r="C4296" s="3">
        <f>IFERROR(__xludf.DUMMYFUNCTION("""COMPUTED_VALUE"""),10473.95)</f>
        <v>10473.95</v>
      </c>
      <c r="D4296" s="3">
        <f>IFERROR(__xludf.DUMMYFUNCTION("""COMPUTED_VALUE"""),10426.9)</f>
        <v>10426.9</v>
      </c>
      <c r="E4296" s="3">
        <f>IFERROR(__xludf.DUMMYFUNCTION("""COMPUTED_VALUE"""),10440.3)</f>
        <v>10440.3</v>
      </c>
      <c r="F4296" s="3">
        <f>IFERROR(__xludf.DUMMYFUNCTION("""COMPUTED_VALUE"""),0.0)</f>
        <v>0</v>
      </c>
    </row>
    <row r="4297">
      <c r="A4297" s="7">
        <f>IFERROR(__xludf.DUMMYFUNCTION("""COMPUTED_VALUE"""),43091.64583333333)</f>
        <v>43091.64583</v>
      </c>
      <c r="B4297" s="3">
        <f>IFERROR(__xludf.DUMMYFUNCTION("""COMPUTED_VALUE"""),10457.3)</f>
        <v>10457.3</v>
      </c>
      <c r="C4297" s="3">
        <f>IFERROR(__xludf.DUMMYFUNCTION("""COMPUTED_VALUE"""),10501.1)</f>
        <v>10501.1</v>
      </c>
      <c r="D4297" s="3">
        <f>IFERROR(__xludf.DUMMYFUNCTION("""COMPUTED_VALUE"""),10448.25)</f>
        <v>10448.25</v>
      </c>
      <c r="E4297" s="3">
        <f>IFERROR(__xludf.DUMMYFUNCTION("""COMPUTED_VALUE"""),10493.0)</f>
        <v>10493</v>
      </c>
      <c r="F4297" s="3">
        <f>IFERROR(__xludf.DUMMYFUNCTION("""COMPUTED_VALUE"""),0.0)</f>
        <v>0</v>
      </c>
    </row>
    <row r="4298">
      <c r="A4298" s="7">
        <f>IFERROR(__xludf.DUMMYFUNCTION("""COMPUTED_VALUE"""),43095.64583333333)</f>
        <v>43095.64583</v>
      </c>
      <c r="B4298" s="3">
        <f>IFERROR(__xludf.DUMMYFUNCTION("""COMPUTED_VALUE"""),10512.3)</f>
        <v>10512.3</v>
      </c>
      <c r="C4298" s="3">
        <f>IFERROR(__xludf.DUMMYFUNCTION("""COMPUTED_VALUE"""),10545.45)</f>
        <v>10545.45</v>
      </c>
      <c r="D4298" s="3">
        <f>IFERROR(__xludf.DUMMYFUNCTION("""COMPUTED_VALUE"""),10477.95)</f>
        <v>10477.95</v>
      </c>
      <c r="E4298" s="3">
        <f>IFERROR(__xludf.DUMMYFUNCTION("""COMPUTED_VALUE"""),10531.5)</f>
        <v>10531.5</v>
      </c>
      <c r="F4298" s="3">
        <f>IFERROR(__xludf.DUMMYFUNCTION("""COMPUTED_VALUE"""),0.0)</f>
        <v>0</v>
      </c>
    </row>
    <row r="4299">
      <c r="A4299" s="7">
        <f>IFERROR(__xludf.DUMMYFUNCTION("""COMPUTED_VALUE"""),43096.64583333333)</f>
        <v>43096.64583</v>
      </c>
      <c r="B4299" s="3">
        <f>IFERROR(__xludf.DUMMYFUNCTION("""COMPUTED_VALUE"""),10531.05)</f>
        <v>10531.05</v>
      </c>
      <c r="C4299" s="3">
        <f>IFERROR(__xludf.DUMMYFUNCTION("""COMPUTED_VALUE"""),10552.4)</f>
        <v>10552.4</v>
      </c>
      <c r="D4299" s="3">
        <f>IFERROR(__xludf.DUMMYFUNCTION("""COMPUTED_VALUE"""),10469.25)</f>
        <v>10469.25</v>
      </c>
      <c r="E4299" s="3">
        <f>IFERROR(__xludf.DUMMYFUNCTION("""COMPUTED_VALUE"""),10490.75)</f>
        <v>10490.75</v>
      </c>
      <c r="F4299" s="3">
        <f>IFERROR(__xludf.DUMMYFUNCTION("""COMPUTED_VALUE"""),0.0)</f>
        <v>0</v>
      </c>
    </row>
    <row r="4300">
      <c r="A4300" s="7">
        <f>IFERROR(__xludf.DUMMYFUNCTION("""COMPUTED_VALUE"""),43097.64583333333)</f>
        <v>43097.64583</v>
      </c>
      <c r="B4300" s="3">
        <f>IFERROR(__xludf.DUMMYFUNCTION("""COMPUTED_VALUE"""),10498.2)</f>
        <v>10498.2</v>
      </c>
      <c r="C4300" s="3">
        <f>IFERROR(__xludf.DUMMYFUNCTION("""COMPUTED_VALUE"""),10534.55)</f>
        <v>10534.55</v>
      </c>
      <c r="D4300" s="3">
        <f>IFERROR(__xludf.DUMMYFUNCTION("""COMPUTED_VALUE"""),10460.45)</f>
        <v>10460.45</v>
      </c>
      <c r="E4300" s="3">
        <f>IFERROR(__xludf.DUMMYFUNCTION("""COMPUTED_VALUE"""),10477.9)</f>
        <v>10477.9</v>
      </c>
      <c r="F4300" s="3">
        <f>IFERROR(__xludf.DUMMYFUNCTION("""COMPUTED_VALUE"""),0.0)</f>
        <v>0</v>
      </c>
    </row>
    <row r="4301">
      <c r="A4301" s="7">
        <f>IFERROR(__xludf.DUMMYFUNCTION("""COMPUTED_VALUE"""),43098.64583333333)</f>
        <v>43098.64583</v>
      </c>
      <c r="B4301" s="3">
        <f>IFERROR(__xludf.DUMMYFUNCTION("""COMPUTED_VALUE"""),10492.35)</f>
        <v>10492.35</v>
      </c>
      <c r="C4301" s="3">
        <f>IFERROR(__xludf.DUMMYFUNCTION("""COMPUTED_VALUE"""),10538.7)</f>
        <v>10538.7</v>
      </c>
      <c r="D4301" s="3">
        <f>IFERROR(__xludf.DUMMYFUNCTION("""COMPUTED_VALUE"""),10488.65)</f>
        <v>10488.65</v>
      </c>
      <c r="E4301" s="3">
        <f>IFERROR(__xludf.DUMMYFUNCTION("""COMPUTED_VALUE"""),10530.7)</f>
        <v>10530.7</v>
      </c>
      <c r="F4301" s="3">
        <f>IFERROR(__xludf.DUMMYFUNCTION("""COMPUTED_VALUE"""),0.0)</f>
        <v>0</v>
      </c>
    </row>
    <row r="4302">
      <c r="A4302" s="7">
        <f>IFERROR(__xludf.DUMMYFUNCTION("""COMPUTED_VALUE"""),43101.64583333333)</f>
        <v>43101.64583</v>
      </c>
      <c r="B4302" s="3">
        <f>IFERROR(__xludf.DUMMYFUNCTION("""COMPUTED_VALUE"""),10531.7)</f>
        <v>10531.7</v>
      </c>
      <c r="C4302" s="3">
        <f>IFERROR(__xludf.DUMMYFUNCTION("""COMPUTED_VALUE"""),10537.85)</f>
        <v>10537.85</v>
      </c>
      <c r="D4302" s="3">
        <f>IFERROR(__xludf.DUMMYFUNCTION("""COMPUTED_VALUE"""),10423.1)</f>
        <v>10423.1</v>
      </c>
      <c r="E4302" s="3">
        <f>IFERROR(__xludf.DUMMYFUNCTION("""COMPUTED_VALUE"""),10435.55)</f>
        <v>10435.55</v>
      </c>
      <c r="F4302" s="3">
        <f>IFERROR(__xludf.DUMMYFUNCTION("""COMPUTED_VALUE"""),0.0)</f>
        <v>0</v>
      </c>
    </row>
    <row r="4303">
      <c r="A4303" s="7">
        <f>IFERROR(__xludf.DUMMYFUNCTION("""COMPUTED_VALUE"""),43102.64583333333)</f>
        <v>43102.64583</v>
      </c>
      <c r="B4303" s="3">
        <f>IFERROR(__xludf.DUMMYFUNCTION("""COMPUTED_VALUE"""),10477.55)</f>
        <v>10477.55</v>
      </c>
      <c r="C4303" s="3">
        <f>IFERROR(__xludf.DUMMYFUNCTION("""COMPUTED_VALUE"""),10495.2)</f>
        <v>10495.2</v>
      </c>
      <c r="D4303" s="3">
        <f>IFERROR(__xludf.DUMMYFUNCTION("""COMPUTED_VALUE"""),10404.65)</f>
        <v>10404.65</v>
      </c>
      <c r="E4303" s="3">
        <f>IFERROR(__xludf.DUMMYFUNCTION("""COMPUTED_VALUE"""),10442.2)</f>
        <v>10442.2</v>
      </c>
      <c r="F4303" s="3">
        <f>IFERROR(__xludf.DUMMYFUNCTION("""COMPUTED_VALUE"""),0.0)</f>
        <v>0</v>
      </c>
    </row>
    <row r="4304">
      <c r="A4304" s="7">
        <f>IFERROR(__xludf.DUMMYFUNCTION("""COMPUTED_VALUE"""),43103.64583333333)</f>
        <v>43103.64583</v>
      </c>
      <c r="B4304" s="3">
        <f>IFERROR(__xludf.DUMMYFUNCTION("""COMPUTED_VALUE"""),10482.65)</f>
        <v>10482.65</v>
      </c>
      <c r="C4304" s="3">
        <f>IFERROR(__xludf.DUMMYFUNCTION("""COMPUTED_VALUE"""),10503.6)</f>
        <v>10503.6</v>
      </c>
      <c r="D4304" s="3">
        <f>IFERROR(__xludf.DUMMYFUNCTION("""COMPUTED_VALUE"""),10429.55)</f>
        <v>10429.55</v>
      </c>
      <c r="E4304" s="3">
        <f>IFERROR(__xludf.DUMMYFUNCTION("""COMPUTED_VALUE"""),10443.2)</f>
        <v>10443.2</v>
      </c>
      <c r="F4304" s="3">
        <f>IFERROR(__xludf.DUMMYFUNCTION("""COMPUTED_VALUE"""),0.0)</f>
        <v>0</v>
      </c>
    </row>
    <row r="4305">
      <c r="A4305" s="7">
        <f>IFERROR(__xludf.DUMMYFUNCTION("""COMPUTED_VALUE"""),43104.64583333333)</f>
        <v>43104.64583</v>
      </c>
      <c r="B4305" s="3">
        <f>IFERROR(__xludf.DUMMYFUNCTION("""COMPUTED_VALUE"""),10469.4)</f>
        <v>10469.4</v>
      </c>
      <c r="C4305" s="3">
        <f>IFERROR(__xludf.DUMMYFUNCTION("""COMPUTED_VALUE"""),10513.0)</f>
        <v>10513</v>
      </c>
      <c r="D4305" s="3">
        <f>IFERROR(__xludf.DUMMYFUNCTION("""COMPUTED_VALUE"""),10441.45)</f>
        <v>10441.45</v>
      </c>
      <c r="E4305" s="3">
        <f>IFERROR(__xludf.DUMMYFUNCTION("""COMPUTED_VALUE"""),10504.8)</f>
        <v>10504.8</v>
      </c>
      <c r="F4305" s="3">
        <f>IFERROR(__xludf.DUMMYFUNCTION("""COMPUTED_VALUE"""),0.0)</f>
        <v>0</v>
      </c>
    </row>
    <row r="4306">
      <c r="A4306" s="7">
        <f>IFERROR(__xludf.DUMMYFUNCTION("""COMPUTED_VALUE"""),43105.64583333333)</f>
        <v>43105.64583</v>
      </c>
      <c r="B4306" s="3">
        <f>IFERROR(__xludf.DUMMYFUNCTION("""COMPUTED_VALUE"""),10534.25)</f>
        <v>10534.25</v>
      </c>
      <c r="C4306" s="3">
        <f>IFERROR(__xludf.DUMMYFUNCTION("""COMPUTED_VALUE"""),10566.1)</f>
        <v>10566.1</v>
      </c>
      <c r="D4306" s="3">
        <f>IFERROR(__xludf.DUMMYFUNCTION("""COMPUTED_VALUE"""),10520.1)</f>
        <v>10520.1</v>
      </c>
      <c r="E4306" s="3">
        <f>IFERROR(__xludf.DUMMYFUNCTION("""COMPUTED_VALUE"""),10558.85)</f>
        <v>10558.85</v>
      </c>
      <c r="F4306" s="3">
        <f>IFERROR(__xludf.DUMMYFUNCTION("""COMPUTED_VALUE"""),0.0)</f>
        <v>0</v>
      </c>
    </row>
    <row r="4307">
      <c r="A4307" s="7">
        <f>IFERROR(__xludf.DUMMYFUNCTION("""COMPUTED_VALUE"""),43108.64583333333)</f>
        <v>43108.64583</v>
      </c>
      <c r="B4307" s="3">
        <f>IFERROR(__xludf.DUMMYFUNCTION("""COMPUTED_VALUE"""),10591.7)</f>
        <v>10591.7</v>
      </c>
      <c r="C4307" s="3">
        <f>IFERROR(__xludf.DUMMYFUNCTION("""COMPUTED_VALUE"""),10631.2)</f>
        <v>10631.2</v>
      </c>
      <c r="D4307" s="3">
        <f>IFERROR(__xludf.DUMMYFUNCTION("""COMPUTED_VALUE"""),10588.55)</f>
        <v>10588.55</v>
      </c>
      <c r="E4307" s="3">
        <f>IFERROR(__xludf.DUMMYFUNCTION("""COMPUTED_VALUE"""),10623.6)</f>
        <v>10623.6</v>
      </c>
      <c r="F4307" s="3">
        <f>IFERROR(__xludf.DUMMYFUNCTION("""COMPUTED_VALUE"""),0.0)</f>
        <v>0</v>
      </c>
    </row>
    <row r="4308">
      <c r="A4308" s="7">
        <f>IFERROR(__xludf.DUMMYFUNCTION("""COMPUTED_VALUE"""),43109.64583333333)</f>
        <v>43109.64583</v>
      </c>
      <c r="B4308" s="3">
        <f>IFERROR(__xludf.DUMMYFUNCTION("""COMPUTED_VALUE"""),10645.1)</f>
        <v>10645.1</v>
      </c>
      <c r="C4308" s="3">
        <f>IFERROR(__xludf.DUMMYFUNCTION("""COMPUTED_VALUE"""),10659.15)</f>
        <v>10659.15</v>
      </c>
      <c r="D4308" s="3">
        <f>IFERROR(__xludf.DUMMYFUNCTION("""COMPUTED_VALUE"""),10603.6)</f>
        <v>10603.6</v>
      </c>
      <c r="E4308" s="3">
        <f>IFERROR(__xludf.DUMMYFUNCTION("""COMPUTED_VALUE"""),10637.0)</f>
        <v>10637</v>
      </c>
      <c r="F4308" s="3">
        <f>IFERROR(__xludf.DUMMYFUNCTION("""COMPUTED_VALUE"""),0.0)</f>
        <v>0</v>
      </c>
    </row>
    <row r="4309">
      <c r="A4309" s="7">
        <f>IFERROR(__xludf.DUMMYFUNCTION("""COMPUTED_VALUE"""),43110.64583333333)</f>
        <v>43110.64583</v>
      </c>
      <c r="B4309" s="3">
        <f>IFERROR(__xludf.DUMMYFUNCTION("""COMPUTED_VALUE"""),10652.05)</f>
        <v>10652.05</v>
      </c>
      <c r="C4309" s="3">
        <f>IFERROR(__xludf.DUMMYFUNCTION("""COMPUTED_VALUE"""),10655.5)</f>
        <v>10655.5</v>
      </c>
      <c r="D4309" s="3">
        <f>IFERROR(__xludf.DUMMYFUNCTION("""COMPUTED_VALUE"""),10592.7)</f>
        <v>10592.7</v>
      </c>
      <c r="E4309" s="3">
        <f>IFERROR(__xludf.DUMMYFUNCTION("""COMPUTED_VALUE"""),10632.2)</f>
        <v>10632.2</v>
      </c>
      <c r="F4309" s="3">
        <f>IFERROR(__xludf.DUMMYFUNCTION("""COMPUTED_VALUE"""),0.0)</f>
        <v>0</v>
      </c>
    </row>
    <row r="4310">
      <c r="A4310" s="7">
        <f>IFERROR(__xludf.DUMMYFUNCTION("""COMPUTED_VALUE"""),43111.64583333333)</f>
        <v>43111.64583</v>
      </c>
      <c r="B4310" s="3">
        <f>IFERROR(__xludf.DUMMYFUNCTION("""COMPUTED_VALUE"""),10637.05)</f>
        <v>10637.05</v>
      </c>
      <c r="C4310" s="3">
        <f>IFERROR(__xludf.DUMMYFUNCTION("""COMPUTED_VALUE"""),10664.6)</f>
        <v>10664.6</v>
      </c>
      <c r="D4310" s="3">
        <f>IFERROR(__xludf.DUMMYFUNCTION("""COMPUTED_VALUE"""),10612.35)</f>
        <v>10612.35</v>
      </c>
      <c r="E4310" s="3">
        <f>IFERROR(__xludf.DUMMYFUNCTION("""COMPUTED_VALUE"""),10651.2)</f>
        <v>10651.2</v>
      </c>
      <c r="F4310" s="3">
        <f>IFERROR(__xludf.DUMMYFUNCTION("""COMPUTED_VALUE"""),0.0)</f>
        <v>0</v>
      </c>
    </row>
    <row r="4311">
      <c r="A4311" s="7">
        <f>IFERROR(__xludf.DUMMYFUNCTION("""COMPUTED_VALUE"""),43112.64583333333)</f>
        <v>43112.64583</v>
      </c>
      <c r="B4311" s="3">
        <f>IFERROR(__xludf.DUMMYFUNCTION("""COMPUTED_VALUE"""),10682.55)</f>
        <v>10682.55</v>
      </c>
      <c r="C4311" s="3">
        <f>IFERROR(__xludf.DUMMYFUNCTION("""COMPUTED_VALUE"""),10690.4)</f>
        <v>10690.4</v>
      </c>
      <c r="D4311" s="3">
        <f>IFERROR(__xludf.DUMMYFUNCTION("""COMPUTED_VALUE"""),10597.1)</f>
        <v>10597.1</v>
      </c>
      <c r="E4311" s="3">
        <f>IFERROR(__xludf.DUMMYFUNCTION("""COMPUTED_VALUE"""),10681.25)</f>
        <v>10681.25</v>
      </c>
      <c r="F4311" s="3">
        <f>IFERROR(__xludf.DUMMYFUNCTION("""COMPUTED_VALUE"""),0.0)</f>
        <v>0</v>
      </c>
    </row>
    <row r="4312">
      <c r="A4312" s="7">
        <f>IFERROR(__xludf.DUMMYFUNCTION("""COMPUTED_VALUE"""),43115.64583333333)</f>
        <v>43115.64583</v>
      </c>
      <c r="B4312" s="3">
        <f>IFERROR(__xludf.DUMMYFUNCTION("""COMPUTED_VALUE"""),10718.5)</f>
        <v>10718.5</v>
      </c>
      <c r="C4312" s="3">
        <f>IFERROR(__xludf.DUMMYFUNCTION("""COMPUTED_VALUE"""),10782.65)</f>
        <v>10782.65</v>
      </c>
      <c r="D4312" s="3">
        <f>IFERROR(__xludf.DUMMYFUNCTION("""COMPUTED_VALUE"""),10713.8)</f>
        <v>10713.8</v>
      </c>
      <c r="E4312" s="3">
        <f>IFERROR(__xludf.DUMMYFUNCTION("""COMPUTED_VALUE"""),10741.55)</f>
        <v>10741.55</v>
      </c>
      <c r="F4312" s="3">
        <f>IFERROR(__xludf.DUMMYFUNCTION("""COMPUTED_VALUE"""),0.0)</f>
        <v>0</v>
      </c>
    </row>
    <row r="4313">
      <c r="A4313" s="7">
        <f>IFERROR(__xludf.DUMMYFUNCTION("""COMPUTED_VALUE"""),43116.64583333333)</f>
        <v>43116.64583</v>
      </c>
      <c r="B4313" s="3">
        <f>IFERROR(__xludf.DUMMYFUNCTION("""COMPUTED_VALUE"""),10761.5)</f>
        <v>10761.5</v>
      </c>
      <c r="C4313" s="3">
        <f>IFERROR(__xludf.DUMMYFUNCTION("""COMPUTED_VALUE"""),10762.35)</f>
        <v>10762.35</v>
      </c>
      <c r="D4313" s="3">
        <f>IFERROR(__xludf.DUMMYFUNCTION("""COMPUTED_VALUE"""),10687.85)</f>
        <v>10687.85</v>
      </c>
      <c r="E4313" s="3">
        <f>IFERROR(__xludf.DUMMYFUNCTION("""COMPUTED_VALUE"""),10700.45)</f>
        <v>10700.45</v>
      </c>
      <c r="F4313" s="3">
        <f>IFERROR(__xludf.DUMMYFUNCTION("""COMPUTED_VALUE"""),0.0)</f>
        <v>0</v>
      </c>
    </row>
    <row r="4314">
      <c r="A4314" s="7">
        <f>IFERROR(__xludf.DUMMYFUNCTION("""COMPUTED_VALUE"""),43117.64583333333)</f>
        <v>43117.64583</v>
      </c>
      <c r="B4314" s="3">
        <f>IFERROR(__xludf.DUMMYFUNCTION("""COMPUTED_VALUE"""),10702.45)</f>
        <v>10702.45</v>
      </c>
      <c r="C4314" s="3">
        <f>IFERROR(__xludf.DUMMYFUNCTION("""COMPUTED_VALUE"""),10803.0)</f>
        <v>10803</v>
      </c>
      <c r="D4314" s="3">
        <f>IFERROR(__xludf.DUMMYFUNCTION("""COMPUTED_VALUE"""),10666.75)</f>
        <v>10666.75</v>
      </c>
      <c r="E4314" s="3">
        <f>IFERROR(__xludf.DUMMYFUNCTION("""COMPUTED_VALUE"""),10788.55)</f>
        <v>10788.55</v>
      </c>
      <c r="F4314" s="3">
        <f>IFERROR(__xludf.DUMMYFUNCTION("""COMPUTED_VALUE"""),0.0)</f>
        <v>0</v>
      </c>
    </row>
    <row r="4315">
      <c r="A4315" s="7">
        <f>IFERROR(__xludf.DUMMYFUNCTION("""COMPUTED_VALUE"""),43118.64583333333)</f>
        <v>43118.64583</v>
      </c>
      <c r="B4315" s="3">
        <f>IFERROR(__xludf.DUMMYFUNCTION("""COMPUTED_VALUE"""),10873.4)</f>
        <v>10873.4</v>
      </c>
      <c r="C4315" s="3">
        <f>IFERROR(__xludf.DUMMYFUNCTION("""COMPUTED_VALUE"""),10887.5)</f>
        <v>10887.5</v>
      </c>
      <c r="D4315" s="3">
        <f>IFERROR(__xludf.DUMMYFUNCTION("""COMPUTED_VALUE"""),10782.4)</f>
        <v>10782.4</v>
      </c>
      <c r="E4315" s="3">
        <f>IFERROR(__xludf.DUMMYFUNCTION("""COMPUTED_VALUE"""),10817.0)</f>
        <v>10817</v>
      </c>
      <c r="F4315" s="3">
        <f>IFERROR(__xludf.DUMMYFUNCTION("""COMPUTED_VALUE"""),0.0)</f>
        <v>0</v>
      </c>
    </row>
    <row r="4316">
      <c r="A4316" s="7">
        <f>IFERROR(__xludf.DUMMYFUNCTION("""COMPUTED_VALUE"""),43119.64583333333)</f>
        <v>43119.64583</v>
      </c>
      <c r="B4316" s="3">
        <f>IFERROR(__xludf.DUMMYFUNCTION("""COMPUTED_VALUE"""),10829.2)</f>
        <v>10829.2</v>
      </c>
      <c r="C4316" s="3">
        <f>IFERROR(__xludf.DUMMYFUNCTION("""COMPUTED_VALUE"""),10906.85)</f>
        <v>10906.85</v>
      </c>
      <c r="D4316" s="3">
        <f>IFERROR(__xludf.DUMMYFUNCTION("""COMPUTED_VALUE"""),10793.9)</f>
        <v>10793.9</v>
      </c>
      <c r="E4316" s="3">
        <f>IFERROR(__xludf.DUMMYFUNCTION("""COMPUTED_VALUE"""),10894.7)</f>
        <v>10894.7</v>
      </c>
      <c r="F4316" s="3">
        <f>IFERROR(__xludf.DUMMYFUNCTION("""COMPUTED_VALUE"""),0.0)</f>
        <v>0</v>
      </c>
    </row>
    <row r="4317">
      <c r="A4317" s="7">
        <f>IFERROR(__xludf.DUMMYFUNCTION("""COMPUTED_VALUE"""),43122.64583333333)</f>
        <v>43122.64583</v>
      </c>
      <c r="B4317" s="3">
        <f>IFERROR(__xludf.DUMMYFUNCTION("""COMPUTED_VALUE"""),10883.2)</f>
        <v>10883.2</v>
      </c>
      <c r="C4317" s="3">
        <f>IFERROR(__xludf.DUMMYFUNCTION("""COMPUTED_VALUE"""),10975.1)</f>
        <v>10975.1</v>
      </c>
      <c r="D4317" s="3">
        <f>IFERROR(__xludf.DUMMYFUNCTION("""COMPUTED_VALUE"""),10881.4)</f>
        <v>10881.4</v>
      </c>
      <c r="E4317" s="3">
        <f>IFERROR(__xludf.DUMMYFUNCTION("""COMPUTED_VALUE"""),10966.2)</f>
        <v>10966.2</v>
      </c>
      <c r="F4317" s="3">
        <f>IFERROR(__xludf.DUMMYFUNCTION("""COMPUTED_VALUE"""),0.0)</f>
        <v>0</v>
      </c>
    </row>
    <row r="4318">
      <c r="A4318" s="7">
        <f>IFERROR(__xludf.DUMMYFUNCTION("""COMPUTED_VALUE"""),43123.64583333333)</f>
        <v>43123.64583</v>
      </c>
      <c r="B4318" s="3">
        <f>IFERROR(__xludf.DUMMYFUNCTION("""COMPUTED_VALUE"""),10997.4)</f>
        <v>10997.4</v>
      </c>
      <c r="C4318" s="3">
        <f>IFERROR(__xludf.DUMMYFUNCTION("""COMPUTED_VALUE"""),11092.9)</f>
        <v>11092.9</v>
      </c>
      <c r="D4318" s="3">
        <f>IFERROR(__xludf.DUMMYFUNCTION("""COMPUTED_VALUE"""),10994.55)</f>
        <v>10994.55</v>
      </c>
      <c r="E4318" s="3">
        <f>IFERROR(__xludf.DUMMYFUNCTION("""COMPUTED_VALUE"""),11083.7)</f>
        <v>11083.7</v>
      </c>
      <c r="F4318" s="3">
        <f>IFERROR(__xludf.DUMMYFUNCTION("""COMPUTED_VALUE"""),0.0)</f>
        <v>0</v>
      </c>
    </row>
    <row r="4319">
      <c r="A4319" s="7">
        <f>IFERROR(__xludf.DUMMYFUNCTION("""COMPUTED_VALUE"""),43124.64583333333)</f>
        <v>43124.64583</v>
      </c>
      <c r="B4319" s="3">
        <f>IFERROR(__xludf.DUMMYFUNCTION("""COMPUTED_VALUE"""),11069.35)</f>
        <v>11069.35</v>
      </c>
      <c r="C4319" s="3">
        <f>IFERROR(__xludf.DUMMYFUNCTION("""COMPUTED_VALUE"""),11110.1)</f>
        <v>11110.1</v>
      </c>
      <c r="D4319" s="3">
        <f>IFERROR(__xludf.DUMMYFUNCTION("""COMPUTED_VALUE"""),11046.15)</f>
        <v>11046.15</v>
      </c>
      <c r="E4319" s="3">
        <f>IFERROR(__xludf.DUMMYFUNCTION("""COMPUTED_VALUE"""),11086.0)</f>
        <v>11086</v>
      </c>
      <c r="F4319" s="3">
        <f>IFERROR(__xludf.DUMMYFUNCTION("""COMPUTED_VALUE"""),0.0)</f>
        <v>0</v>
      </c>
    </row>
    <row r="4320">
      <c r="A4320" s="7">
        <f>IFERROR(__xludf.DUMMYFUNCTION("""COMPUTED_VALUE"""),43125.64583333333)</f>
        <v>43125.64583</v>
      </c>
      <c r="B4320" s="3">
        <f>IFERROR(__xludf.DUMMYFUNCTION("""COMPUTED_VALUE"""),11095.6)</f>
        <v>11095.6</v>
      </c>
      <c r="C4320" s="3">
        <f>IFERROR(__xludf.DUMMYFUNCTION("""COMPUTED_VALUE"""),11095.6)</f>
        <v>11095.6</v>
      </c>
      <c r="D4320" s="3">
        <f>IFERROR(__xludf.DUMMYFUNCTION("""COMPUTED_VALUE"""),11009.2)</f>
        <v>11009.2</v>
      </c>
      <c r="E4320" s="3">
        <f>IFERROR(__xludf.DUMMYFUNCTION("""COMPUTED_VALUE"""),11069.65)</f>
        <v>11069.65</v>
      </c>
      <c r="F4320" s="3">
        <f>IFERROR(__xludf.DUMMYFUNCTION("""COMPUTED_VALUE"""),0.0)</f>
        <v>0</v>
      </c>
    </row>
    <row r="4321">
      <c r="A4321" s="7">
        <f>IFERROR(__xludf.DUMMYFUNCTION("""COMPUTED_VALUE"""),43129.64583333333)</f>
        <v>43129.64583</v>
      </c>
      <c r="B4321" s="3">
        <f>IFERROR(__xludf.DUMMYFUNCTION("""COMPUTED_VALUE"""),11079.35)</f>
        <v>11079.35</v>
      </c>
      <c r="C4321" s="3">
        <f>IFERROR(__xludf.DUMMYFUNCTION("""COMPUTED_VALUE"""),11171.55)</f>
        <v>11171.55</v>
      </c>
      <c r="D4321" s="3">
        <f>IFERROR(__xludf.DUMMYFUNCTION("""COMPUTED_VALUE"""),11075.95)</f>
        <v>11075.95</v>
      </c>
      <c r="E4321" s="3">
        <f>IFERROR(__xludf.DUMMYFUNCTION("""COMPUTED_VALUE"""),11130.4)</f>
        <v>11130.4</v>
      </c>
      <c r="F4321" s="3">
        <f>IFERROR(__xludf.DUMMYFUNCTION("""COMPUTED_VALUE"""),0.0)</f>
        <v>0</v>
      </c>
    </row>
    <row r="4322">
      <c r="A4322" s="7">
        <f>IFERROR(__xludf.DUMMYFUNCTION("""COMPUTED_VALUE"""),43130.64583333333)</f>
        <v>43130.64583</v>
      </c>
      <c r="B4322" s="3">
        <f>IFERROR(__xludf.DUMMYFUNCTION("""COMPUTED_VALUE"""),11120.85)</f>
        <v>11120.85</v>
      </c>
      <c r="C4322" s="3">
        <f>IFERROR(__xludf.DUMMYFUNCTION("""COMPUTED_VALUE"""),11121.1)</f>
        <v>11121.1</v>
      </c>
      <c r="D4322" s="3">
        <f>IFERROR(__xludf.DUMMYFUNCTION("""COMPUTED_VALUE"""),11033.9)</f>
        <v>11033.9</v>
      </c>
      <c r="E4322" s="3">
        <f>IFERROR(__xludf.DUMMYFUNCTION("""COMPUTED_VALUE"""),11049.65)</f>
        <v>11049.65</v>
      </c>
      <c r="F4322" s="3">
        <f>IFERROR(__xludf.DUMMYFUNCTION("""COMPUTED_VALUE"""),0.0)</f>
        <v>0</v>
      </c>
    </row>
    <row r="4323">
      <c r="A4323" s="7">
        <f>IFERROR(__xludf.DUMMYFUNCTION("""COMPUTED_VALUE"""),43131.64583333333)</f>
        <v>43131.64583</v>
      </c>
      <c r="B4323" s="3">
        <f>IFERROR(__xludf.DUMMYFUNCTION("""COMPUTED_VALUE"""),11018.8)</f>
        <v>11018.8</v>
      </c>
      <c r="C4323" s="3">
        <f>IFERROR(__xludf.DUMMYFUNCTION("""COMPUTED_VALUE"""),11058.5)</f>
        <v>11058.5</v>
      </c>
      <c r="D4323" s="3">
        <f>IFERROR(__xludf.DUMMYFUNCTION("""COMPUTED_VALUE"""),10979.3)</f>
        <v>10979.3</v>
      </c>
      <c r="E4323" s="3">
        <f>IFERROR(__xludf.DUMMYFUNCTION("""COMPUTED_VALUE"""),11027.7)</f>
        <v>11027.7</v>
      </c>
      <c r="F4323" s="3">
        <f>IFERROR(__xludf.DUMMYFUNCTION("""COMPUTED_VALUE"""),0.0)</f>
        <v>0</v>
      </c>
    </row>
    <row r="4324">
      <c r="A4324" s="7">
        <f>IFERROR(__xludf.DUMMYFUNCTION("""COMPUTED_VALUE"""),43132.64583333333)</f>
        <v>43132.64583</v>
      </c>
      <c r="B4324" s="3">
        <f>IFERROR(__xludf.DUMMYFUNCTION("""COMPUTED_VALUE"""),11044.55)</f>
        <v>11044.55</v>
      </c>
      <c r="C4324" s="3">
        <f>IFERROR(__xludf.DUMMYFUNCTION("""COMPUTED_VALUE"""),11117.35)</f>
        <v>11117.35</v>
      </c>
      <c r="D4324" s="3">
        <f>IFERROR(__xludf.DUMMYFUNCTION("""COMPUTED_VALUE"""),10878.8)</f>
        <v>10878.8</v>
      </c>
      <c r="E4324" s="3">
        <f>IFERROR(__xludf.DUMMYFUNCTION("""COMPUTED_VALUE"""),11016.9)</f>
        <v>11016.9</v>
      </c>
      <c r="F4324" s="3">
        <f>IFERROR(__xludf.DUMMYFUNCTION("""COMPUTED_VALUE"""),0.0)</f>
        <v>0</v>
      </c>
    </row>
    <row r="4325">
      <c r="A4325" s="7">
        <f>IFERROR(__xludf.DUMMYFUNCTION("""COMPUTED_VALUE"""),43133.64583333333)</f>
        <v>43133.64583</v>
      </c>
      <c r="B4325" s="3">
        <f>IFERROR(__xludf.DUMMYFUNCTION("""COMPUTED_VALUE"""),10938.2)</f>
        <v>10938.2</v>
      </c>
      <c r="C4325" s="3">
        <f>IFERROR(__xludf.DUMMYFUNCTION("""COMPUTED_VALUE"""),10954.95)</f>
        <v>10954.95</v>
      </c>
      <c r="D4325" s="3">
        <f>IFERROR(__xludf.DUMMYFUNCTION("""COMPUTED_VALUE"""),10736.1)</f>
        <v>10736.1</v>
      </c>
      <c r="E4325" s="3">
        <f>IFERROR(__xludf.DUMMYFUNCTION("""COMPUTED_VALUE"""),10760.6)</f>
        <v>10760.6</v>
      </c>
      <c r="F4325" s="3">
        <f>IFERROR(__xludf.DUMMYFUNCTION("""COMPUTED_VALUE"""),0.0)</f>
        <v>0</v>
      </c>
    </row>
    <row r="4326">
      <c r="A4326" s="7">
        <f>IFERROR(__xludf.DUMMYFUNCTION("""COMPUTED_VALUE"""),43136.64583333333)</f>
        <v>43136.64583</v>
      </c>
      <c r="B4326" s="3">
        <f>IFERROR(__xludf.DUMMYFUNCTION("""COMPUTED_VALUE"""),10604.3)</f>
        <v>10604.3</v>
      </c>
      <c r="C4326" s="3">
        <f>IFERROR(__xludf.DUMMYFUNCTION("""COMPUTED_VALUE"""),10702.75)</f>
        <v>10702.75</v>
      </c>
      <c r="D4326" s="3">
        <f>IFERROR(__xludf.DUMMYFUNCTION("""COMPUTED_VALUE"""),10586.8)</f>
        <v>10586.8</v>
      </c>
      <c r="E4326" s="3">
        <f>IFERROR(__xludf.DUMMYFUNCTION("""COMPUTED_VALUE"""),10666.55)</f>
        <v>10666.55</v>
      </c>
      <c r="F4326" s="3">
        <f>IFERROR(__xludf.DUMMYFUNCTION("""COMPUTED_VALUE"""),0.0)</f>
        <v>0</v>
      </c>
    </row>
    <row r="4327">
      <c r="A4327" s="7">
        <f>IFERROR(__xludf.DUMMYFUNCTION("""COMPUTED_VALUE"""),43137.64583333333)</f>
        <v>43137.64583</v>
      </c>
      <c r="B4327" s="3">
        <f>IFERROR(__xludf.DUMMYFUNCTION("""COMPUTED_VALUE"""),10295.15)</f>
        <v>10295.15</v>
      </c>
      <c r="C4327" s="3">
        <f>IFERROR(__xludf.DUMMYFUNCTION("""COMPUTED_VALUE"""),10594.15)</f>
        <v>10594.15</v>
      </c>
      <c r="D4327" s="3">
        <f>IFERROR(__xludf.DUMMYFUNCTION("""COMPUTED_VALUE"""),10276.3)</f>
        <v>10276.3</v>
      </c>
      <c r="E4327" s="3">
        <f>IFERROR(__xludf.DUMMYFUNCTION("""COMPUTED_VALUE"""),10498.25)</f>
        <v>10498.25</v>
      </c>
      <c r="F4327" s="3">
        <f>IFERROR(__xludf.DUMMYFUNCTION("""COMPUTED_VALUE"""),0.0)</f>
        <v>0</v>
      </c>
    </row>
    <row r="4328">
      <c r="A4328" s="7">
        <f>IFERROR(__xludf.DUMMYFUNCTION("""COMPUTED_VALUE"""),43138.64583333333)</f>
        <v>43138.64583</v>
      </c>
      <c r="B4328" s="3">
        <f>IFERROR(__xludf.DUMMYFUNCTION("""COMPUTED_VALUE"""),10607.2)</f>
        <v>10607.2</v>
      </c>
      <c r="C4328" s="3">
        <f>IFERROR(__xludf.DUMMYFUNCTION("""COMPUTED_VALUE"""),10614.0)</f>
        <v>10614</v>
      </c>
      <c r="D4328" s="3">
        <f>IFERROR(__xludf.DUMMYFUNCTION("""COMPUTED_VALUE"""),10446.4)</f>
        <v>10446.4</v>
      </c>
      <c r="E4328" s="3">
        <f>IFERROR(__xludf.DUMMYFUNCTION("""COMPUTED_VALUE"""),10476.7)</f>
        <v>10476.7</v>
      </c>
      <c r="F4328" s="3">
        <f>IFERROR(__xludf.DUMMYFUNCTION("""COMPUTED_VALUE"""),0.0)</f>
        <v>0</v>
      </c>
    </row>
    <row r="4329">
      <c r="A4329" s="7">
        <f>IFERROR(__xludf.DUMMYFUNCTION("""COMPUTED_VALUE"""),43139.64583333333)</f>
        <v>43139.64583</v>
      </c>
      <c r="B4329" s="3">
        <f>IFERROR(__xludf.DUMMYFUNCTION("""COMPUTED_VALUE"""),10518.5)</f>
        <v>10518.5</v>
      </c>
      <c r="C4329" s="3">
        <f>IFERROR(__xludf.DUMMYFUNCTION("""COMPUTED_VALUE"""),10637.8)</f>
        <v>10637.8</v>
      </c>
      <c r="D4329" s="3">
        <f>IFERROR(__xludf.DUMMYFUNCTION("""COMPUTED_VALUE"""),10479.55)</f>
        <v>10479.55</v>
      </c>
      <c r="E4329" s="3">
        <f>IFERROR(__xludf.DUMMYFUNCTION("""COMPUTED_VALUE"""),10576.85)</f>
        <v>10576.85</v>
      </c>
      <c r="F4329" s="3">
        <f>IFERROR(__xludf.DUMMYFUNCTION("""COMPUTED_VALUE"""),0.0)</f>
        <v>0</v>
      </c>
    </row>
    <row r="4330">
      <c r="A4330" s="7">
        <f>IFERROR(__xludf.DUMMYFUNCTION("""COMPUTED_VALUE"""),43140.64583333333)</f>
        <v>43140.64583</v>
      </c>
      <c r="B4330" s="3">
        <f>IFERROR(__xludf.DUMMYFUNCTION("""COMPUTED_VALUE"""),10416.5)</f>
        <v>10416.5</v>
      </c>
      <c r="C4330" s="3">
        <f>IFERROR(__xludf.DUMMYFUNCTION("""COMPUTED_VALUE"""),10480.2)</f>
        <v>10480.2</v>
      </c>
      <c r="D4330" s="3">
        <f>IFERROR(__xludf.DUMMYFUNCTION("""COMPUTED_VALUE"""),10398.2)</f>
        <v>10398.2</v>
      </c>
      <c r="E4330" s="3">
        <f>IFERROR(__xludf.DUMMYFUNCTION("""COMPUTED_VALUE"""),10454.95)</f>
        <v>10454.95</v>
      </c>
      <c r="F4330" s="3">
        <f>IFERROR(__xludf.DUMMYFUNCTION("""COMPUTED_VALUE"""),0.0)</f>
        <v>0</v>
      </c>
    </row>
    <row r="4331">
      <c r="A4331" s="7">
        <f>IFERROR(__xludf.DUMMYFUNCTION("""COMPUTED_VALUE"""),43143.64583333333)</f>
        <v>43143.64583</v>
      </c>
      <c r="B4331" s="3">
        <f>IFERROR(__xludf.DUMMYFUNCTION("""COMPUTED_VALUE"""),10518.2)</f>
        <v>10518.2</v>
      </c>
      <c r="C4331" s="3">
        <f>IFERROR(__xludf.DUMMYFUNCTION("""COMPUTED_VALUE"""),10555.5)</f>
        <v>10555.5</v>
      </c>
      <c r="D4331" s="3">
        <f>IFERROR(__xludf.DUMMYFUNCTION("""COMPUTED_VALUE"""),10485.4)</f>
        <v>10485.4</v>
      </c>
      <c r="E4331" s="3">
        <f>IFERROR(__xludf.DUMMYFUNCTION("""COMPUTED_VALUE"""),10539.75)</f>
        <v>10539.75</v>
      </c>
      <c r="F4331" s="3">
        <f>IFERROR(__xludf.DUMMYFUNCTION("""COMPUTED_VALUE"""),0.0)</f>
        <v>0</v>
      </c>
    </row>
    <row r="4332">
      <c r="A4332" s="7">
        <f>IFERROR(__xludf.DUMMYFUNCTION("""COMPUTED_VALUE"""),43145.64583333333)</f>
        <v>43145.64583</v>
      </c>
      <c r="B4332" s="3">
        <f>IFERROR(__xludf.DUMMYFUNCTION("""COMPUTED_VALUE"""),10585.75)</f>
        <v>10585.75</v>
      </c>
      <c r="C4332" s="3">
        <f>IFERROR(__xludf.DUMMYFUNCTION("""COMPUTED_VALUE"""),10590.55)</f>
        <v>10590.55</v>
      </c>
      <c r="D4332" s="3">
        <f>IFERROR(__xludf.DUMMYFUNCTION("""COMPUTED_VALUE"""),10456.65)</f>
        <v>10456.65</v>
      </c>
      <c r="E4332" s="3">
        <f>IFERROR(__xludf.DUMMYFUNCTION("""COMPUTED_VALUE"""),10500.9)</f>
        <v>10500.9</v>
      </c>
      <c r="F4332" s="3">
        <f>IFERROR(__xludf.DUMMYFUNCTION("""COMPUTED_VALUE"""),0.0)</f>
        <v>0</v>
      </c>
    </row>
    <row r="4333">
      <c r="A4333" s="7">
        <f>IFERROR(__xludf.DUMMYFUNCTION("""COMPUTED_VALUE"""),43146.64583333333)</f>
        <v>43146.64583</v>
      </c>
      <c r="B4333" s="3">
        <f>IFERROR(__xludf.DUMMYFUNCTION("""COMPUTED_VALUE"""),10537.9)</f>
        <v>10537.9</v>
      </c>
      <c r="C4333" s="3">
        <f>IFERROR(__xludf.DUMMYFUNCTION("""COMPUTED_VALUE"""),10618.1)</f>
        <v>10618.1</v>
      </c>
      <c r="D4333" s="3">
        <f>IFERROR(__xludf.DUMMYFUNCTION("""COMPUTED_VALUE"""),10511.05)</f>
        <v>10511.05</v>
      </c>
      <c r="E4333" s="3">
        <f>IFERROR(__xludf.DUMMYFUNCTION("""COMPUTED_VALUE"""),10545.5)</f>
        <v>10545.5</v>
      </c>
      <c r="F4333" s="3">
        <f>IFERROR(__xludf.DUMMYFUNCTION("""COMPUTED_VALUE"""),0.0)</f>
        <v>0</v>
      </c>
    </row>
    <row r="4334">
      <c r="A4334" s="7">
        <f>IFERROR(__xludf.DUMMYFUNCTION("""COMPUTED_VALUE"""),43147.64583333333)</f>
        <v>43147.64583</v>
      </c>
      <c r="B4334" s="3">
        <f>IFERROR(__xludf.DUMMYFUNCTION("""COMPUTED_VALUE"""),10596.2)</f>
        <v>10596.2</v>
      </c>
      <c r="C4334" s="3">
        <f>IFERROR(__xludf.DUMMYFUNCTION("""COMPUTED_VALUE"""),10612.9)</f>
        <v>10612.9</v>
      </c>
      <c r="D4334" s="3">
        <f>IFERROR(__xludf.DUMMYFUNCTION("""COMPUTED_VALUE"""),10434.05)</f>
        <v>10434.05</v>
      </c>
      <c r="E4334" s="3">
        <f>IFERROR(__xludf.DUMMYFUNCTION("""COMPUTED_VALUE"""),10452.3)</f>
        <v>10452.3</v>
      </c>
      <c r="F4334" s="3">
        <f>IFERROR(__xludf.DUMMYFUNCTION("""COMPUTED_VALUE"""),0.0)</f>
        <v>0</v>
      </c>
    </row>
    <row r="4335">
      <c r="A4335" s="7">
        <f>IFERROR(__xludf.DUMMYFUNCTION("""COMPUTED_VALUE"""),43150.64583333333)</f>
        <v>43150.64583</v>
      </c>
      <c r="B4335" s="3">
        <f>IFERROR(__xludf.DUMMYFUNCTION("""COMPUTED_VALUE"""),10488.9)</f>
        <v>10488.9</v>
      </c>
      <c r="C4335" s="3">
        <f>IFERROR(__xludf.DUMMYFUNCTION("""COMPUTED_VALUE"""),10489.35)</f>
        <v>10489.35</v>
      </c>
      <c r="D4335" s="3">
        <f>IFERROR(__xludf.DUMMYFUNCTION("""COMPUTED_VALUE"""),10302.75)</f>
        <v>10302.75</v>
      </c>
      <c r="E4335" s="3">
        <f>IFERROR(__xludf.DUMMYFUNCTION("""COMPUTED_VALUE"""),10378.4)</f>
        <v>10378.4</v>
      </c>
      <c r="F4335" s="3">
        <f>IFERROR(__xludf.DUMMYFUNCTION("""COMPUTED_VALUE"""),0.0)</f>
        <v>0</v>
      </c>
    </row>
    <row r="4336">
      <c r="A4336" s="7">
        <f>IFERROR(__xludf.DUMMYFUNCTION("""COMPUTED_VALUE"""),43151.64583333333)</f>
        <v>43151.64583</v>
      </c>
      <c r="B4336" s="3">
        <f>IFERROR(__xludf.DUMMYFUNCTION("""COMPUTED_VALUE"""),10391.0)</f>
        <v>10391</v>
      </c>
      <c r="C4336" s="3">
        <f>IFERROR(__xludf.DUMMYFUNCTION("""COMPUTED_VALUE"""),10429.35)</f>
        <v>10429.35</v>
      </c>
      <c r="D4336" s="3">
        <f>IFERROR(__xludf.DUMMYFUNCTION("""COMPUTED_VALUE"""),10347.65)</f>
        <v>10347.65</v>
      </c>
      <c r="E4336" s="3">
        <f>IFERROR(__xludf.DUMMYFUNCTION("""COMPUTED_VALUE"""),10360.4)</f>
        <v>10360.4</v>
      </c>
      <c r="F4336" s="3">
        <f>IFERROR(__xludf.DUMMYFUNCTION("""COMPUTED_VALUE"""),0.0)</f>
        <v>0</v>
      </c>
    </row>
    <row r="4337">
      <c r="A4337" s="7">
        <f>IFERROR(__xludf.DUMMYFUNCTION("""COMPUTED_VALUE"""),43152.64583333333)</f>
        <v>43152.64583</v>
      </c>
      <c r="B4337" s="3">
        <f>IFERROR(__xludf.DUMMYFUNCTION("""COMPUTED_VALUE"""),10426.0)</f>
        <v>10426</v>
      </c>
      <c r="C4337" s="3">
        <f>IFERROR(__xludf.DUMMYFUNCTION("""COMPUTED_VALUE"""),10426.1)</f>
        <v>10426.1</v>
      </c>
      <c r="D4337" s="3">
        <f>IFERROR(__xludf.DUMMYFUNCTION("""COMPUTED_VALUE"""),10349.6)</f>
        <v>10349.6</v>
      </c>
      <c r="E4337" s="3">
        <f>IFERROR(__xludf.DUMMYFUNCTION("""COMPUTED_VALUE"""),10397.45)</f>
        <v>10397.45</v>
      </c>
      <c r="F4337" s="3">
        <f>IFERROR(__xludf.DUMMYFUNCTION("""COMPUTED_VALUE"""),0.0)</f>
        <v>0</v>
      </c>
    </row>
    <row r="4338">
      <c r="A4338" s="7">
        <f>IFERROR(__xludf.DUMMYFUNCTION("""COMPUTED_VALUE"""),43153.64583333333)</f>
        <v>43153.64583</v>
      </c>
      <c r="B4338" s="3">
        <f>IFERROR(__xludf.DUMMYFUNCTION("""COMPUTED_VALUE"""),10354.35)</f>
        <v>10354.35</v>
      </c>
      <c r="C4338" s="3">
        <f>IFERROR(__xludf.DUMMYFUNCTION("""COMPUTED_VALUE"""),10397.55)</f>
        <v>10397.55</v>
      </c>
      <c r="D4338" s="3">
        <f>IFERROR(__xludf.DUMMYFUNCTION("""COMPUTED_VALUE"""),10340.65)</f>
        <v>10340.65</v>
      </c>
      <c r="E4338" s="3">
        <f>IFERROR(__xludf.DUMMYFUNCTION("""COMPUTED_VALUE"""),10382.7)</f>
        <v>10382.7</v>
      </c>
      <c r="F4338" s="3">
        <f>IFERROR(__xludf.DUMMYFUNCTION("""COMPUTED_VALUE"""),0.0)</f>
        <v>0</v>
      </c>
    </row>
    <row r="4339">
      <c r="A4339" s="7">
        <f>IFERROR(__xludf.DUMMYFUNCTION("""COMPUTED_VALUE"""),43154.64583333333)</f>
        <v>43154.64583</v>
      </c>
      <c r="B4339" s="3">
        <f>IFERROR(__xludf.DUMMYFUNCTION("""COMPUTED_VALUE"""),10408.1)</f>
        <v>10408.1</v>
      </c>
      <c r="C4339" s="3">
        <f>IFERROR(__xludf.DUMMYFUNCTION("""COMPUTED_VALUE"""),10499.1)</f>
        <v>10499.1</v>
      </c>
      <c r="D4339" s="3">
        <f>IFERROR(__xludf.DUMMYFUNCTION("""COMPUTED_VALUE"""),10396.65)</f>
        <v>10396.65</v>
      </c>
      <c r="E4339" s="3">
        <f>IFERROR(__xludf.DUMMYFUNCTION("""COMPUTED_VALUE"""),10491.05)</f>
        <v>10491.05</v>
      </c>
      <c r="F4339" s="3">
        <f>IFERROR(__xludf.DUMMYFUNCTION("""COMPUTED_VALUE"""),0.0)</f>
        <v>0</v>
      </c>
    </row>
    <row r="4340">
      <c r="A4340" s="7">
        <f>IFERROR(__xludf.DUMMYFUNCTION("""COMPUTED_VALUE"""),43157.64583333333)</f>
        <v>43157.64583</v>
      </c>
      <c r="B4340" s="3">
        <f>IFERROR(__xludf.DUMMYFUNCTION("""COMPUTED_VALUE"""),10526.55)</f>
        <v>10526.55</v>
      </c>
      <c r="C4340" s="3">
        <f>IFERROR(__xludf.DUMMYFUNCTION("""COMPUTED_VALUE"""),10592.95)</f>
        <v>10592.95</v>
      </c>
      <c r="D4340" s="3">
        <f>IFERROR(__xludf.DUMMYFUNCTION("""COMPUTED_VALUE"""),10520.2)</f>
        <v>10520.2</v>
      </c>
      <c r="E4340" s="3">
        <f>IFERROR(__xludf.DUMMYFUNCTION("""COMPUTED_VALUE"""),10582.6)</f>
        <v>10582.6</v>
      </c>
      <c r="F4340" s="3">
        <f>IFERROR(__xludf.DUMMYFUNCTION("""COMPUTED_VALUE"""),0.0)</f>
        <v>0</v>
      </c>
    </row>
    <row r="4341">
      <c r="A4341" s="7">
        <f>IFERROR(__xludf.DUMMYFUNCTION("""COMPUTED_VALUE"""),43158.64583333333)</f>
        <v>43158.64583</v>
      </c>
      <c r="B4341" s="3">
        <f>IFERROR(__xludf.DUMMYFUNCTION("""COMPUTED_VALUE"""),10615.2)</f>
        <v>10615.2</v>
      </c>
      <c r="C4341" s="3">
        <f>IFERROR(__xludf.DUMMYFUNCTION("""COMPUTED_VALUE"""),10631.65)</f>
        <v>10631.65</v>
      </c>
      <c r="D4341" s="3">
        <f>IFERROR(__xludf.DUMMYFUNCTION("""COMPUTED_VALUE"""),10537.25)</f>
        <v>10537.25</v>
      </c>
      <c r="E4341" s="3">
        <f>IFERROR(__xludf.DUMMYFUNCTION("""COMPUTED_VALUE"""),10554.3)</f>
        <v>10554.3</v>
      </c>
      <c r="F4341" s="3">
        <f>IFERROR(__xludf.DUMMYFUNCTION("""COMPUTED_VALUE"""),0.0)</f>
        <v>0</v>
      </c>
    </row>
    <row r="4342">
      <c r="A4342" s="7">
        <f>IFERROR(__xludf.DUMMYFUNCTION("""COMPUTED_VALUE"""),43159.64583333333)</f>
        <v>43159.64583</v>
      </c>
      <c r="B4342" s="3">
        <f>IFERROR(__xludf.DUMMYFUNCTION("""COMPUTED_VALUE"""),10488.95)</f>
        <v>10488.95</v>
      </c>
      <c r="C4342" s="3">
        <f>IFERROR(__xludf.DUMMYFUNCTION("""COMPUTED_VALUE"""),10535.5)</f>
        <v>10535.5</v>
      </c>
      <c r="D4342" s="3">
        <f>IFERROR(__xludf.DUMMYFUNCTION("""COMPUTED_VALUE"""),10461.55)</f>
        <v>10461.55</v>
      </c>
      <c r="E4342" s="3">
        <f>IFERROR(__xludf.DUMMYFUNCTION("""COMPUTED_VALUE"""),10492.85)</f>
        <v>10492.85</v>
      </c>
      <c r="F4342" s="3">
        <f>IFERROR(__xludf.DUMMYFUNCTION("""COMPUTED_VALUE"""),0.0)</f>
        <v>0</v>
      </c>
    </row>
    <row r="4343">
      <c r="A4343" s="7">
        <f>IFERROR(__xludf.DUMMYFUNCTION("""COMPUTED_VALUE"""),43160.64583333333)</f>
        <v>43160.64583</v>
      </c>
      <c r="B4343" s="3">
        <f>IFERROR(__xludf.DUMMYFUNCTION("""COMPUTED_VALUE"""),10479.95)</f>
        <v>10479.95</v>
      </c>
      <c r="C4343" s="3">
        <f>IFERROR(__xludf.DUMMYFUNCTION("""COMPUTED_VALUE"""),10525.5)</f>
        <v>10525.5</v>
      </c>
      <c r="D4343" s="3">
        <f>IFERROR(__xludf.DUMMYFUNCTION("""COMPUTED_VALUE"""),10447.15)</f>
        <v>10447.15</v>
      </c>
      <c r="E4343" s="3">
        <f>IFERROR(__xludf.DUMMYFUNCTION("""COMPUTED_VALUE"""),10458.35)</f>
        <v>10458.35</v>
      </c>
      <c r="F4343" s="3">
        <f>IFERROR(__xludf.DUMMYFUNCTION("""COMPUTED_VALUE"""),0.0)</f>
        <v>0</v>
      </c>
    </row>
    <row r="4344">
      <c r="A4344" s="7">
        <f>IFERROR(__xludf.DUMMYFUNCTION("""COMPUTED_VALUE"""),43164.64583333333)</f>
        <v>43164.64583</v>
      </c>
      <c r="B4344" s="3">
        <f>IFERROR(__xludf.DUMMYFUNCTION("""COMPUTED_VALUE"""),10428.3)</f>
        <v>10428.3</v>
      </c>
      <c r="C4344" s="3">
        <f>IFERROR(__xludf.DUMMYFUNCTION("""COMPUTED_VALUE"""),10428.7)</f>
        <v>10428.7</v>
      </c>
      <c r="D4344" s="3">
        <f>IFERROR(__xludf.DUMMYFUNCTION("""COMPUTED_VALUE"""),10323.9)</f>
        <v>10323.9</v>
      </c>
      <c r="E4344" s="3">
        <f>IFERROR(__xludf.DUMMYFUNCTION("""COMPUTED_VALUE"""),10358.85)</f>
        <v>10358.85</v>
      </c>
      <c r="F4344" s="3">
        <f>IFERROR(__xludf.DUMMYFUNCTION("""COMPUTED_VALUE"""),0.0)</f>
        <v>0</v>
      </c>
    </row>
    <row r="4345">
      <c r="A4345" s="7">
        <f>IFERROR(__xludf.DUMMYFUNCTION("""COMPUTED_VALUE"""),43165.64583333333)</f>
        <v>43165.64583</v>
      </c>
      <c r="B4345" s="3">
        <f>IFERROR(__xludf.DUMMYFUNCTION("""COMPUTED_VALUE"""),10420.5)</f>
        <v>10420.5</v>
      </c>
      <c r="C4345" s="3">
        <f>IFERROR(__xludf.DUMMYFUNCTION("""COMPUTED_VALUE"""),10441.35)</f>
        <v>10441.35</v>
      </c>
      <c r="D4345" s="3">
        <f>IFERROR(__xludf.DUMMYFUNCTION("""COMPUTED_VALUE"""),10215.9)</f>
        <v>10215.9</v>
      </c>
      <c r="E4345" s="3">
        <f>IFERROR(__xludf.DUMMYFUNCTION("""COMPUTED_VALUE"""),10249.25)</f>
        <v>10249.25</v>
      </c>
      <c r="F4345" s="3">
        <f>IFERROR(__xludf.DUMMYFUNCTION("""COMPUTED_VALUE"""),0.0)</f>
        <v>0</v>
      </c>
    </row>
    <row r="4346">
      <c r="A4346" s="7">
        <f>IFERROR(__xludf.DUMMYFUNCTION("""COMPUTED_VALUE"""),43166.64583333333)</f>
        <v>43166.64583</v>
      </c>
      <c r="B4346" s="3">
        <f>IFERROR(__xludf.DUMMYFUNCTION("""COMPUTED_VALUE"""),10232.95)</f>
        <v>10232.95</v>
      </c>
      <c r="C4346" s="3">
        <f>IFERROR(__xludf.DUMMYFUNCTION("""COMPUTED_VALUE"""),10243.35)</f>
        <v>10243.35</v>
      </c>
      <c r="D4346" s="3">
        <f>IFERROR(__xludf.DUMMYFUNCTION("""COMPUTED_VALUE"""),10141.55)</f>
        <v>10141.55</v>
      </c>
      <c r="E4346" s="3">
        <f>IFERROR(__xludf.DUMMYFUNCTION("""COMPUTED_VALUE"""),10154.2)</f>
        <v>10154.2</v>
      </c>
      <c r="F4346" s="3">
        <f>IFERROR(__xludf.DUMMYFUNCTION("""COMPUTED_VALUE"""),0.0)</f>
        <v>0</v>
      </c>
    </row>
    <row r="4347">
      <c r="A4347" s="7">
        <f>IFERROR(__xludf.DUMMYFUNCTION("""COMPUTED_VALUE"""),43167.64583333333)</f>
        <v>43167.64583</v>
      </c>
      <c r="B4347" s="3">
        <f>IFERROR(__xludf.DUMMYFUNCTION("""COMPUTED_VALUE"""),10216.25)</f>
        <v>10216.25</v>
      </c>
      <c r="C4347" s="3">
        <f>IFERROR(__xludf.DUMMYFUNCTION("""COMPUTED_VALUE"""),10270.35)</f>
        <v>10270.35</v>
      </c>
      <c r="D4347" s="3">
        <f>IFERROR(__xludf.DUMMYFUNCTION("""COMPUTED_VALUE"""),10146.4)</f>
        <v>10146.4</v>
      </c>
      <c r="E4347" s="3">
        <f>IFERROR(__xludf.DUMMYFUNCTION("""COMPUTED_VALUE"""),10242.65)</f>
        <v>10242.65</v>
      </c>
      <c r="F4347" s="3">
        <f>IFERROR(__xludf.DUMMYFUNCTION("""COMPUTED_VALUE"""),0.0)</f>
        <v>0</v>
      </c>
    </row>
    <row r="4348">
      <c r="A4348" s="7">
        <f>IFERROR(__xludf.DUMMYFUNCTION("""COMPUTED_VALUE"""),43168.64583333333)</f>
        <v>43168.64583</v>
      </c>
      <c r="B4348" s="3">
        <f>IFERROR(__xludf.DUMMYFUNCTION("""COMPUTED_VALUE"""),10271.3)</f>
        <v>10271.3</v>
      </c>
      <c r="C4348" s="3">
        <f>IFERROR(__xludf.DUMMYFUNCTION("""COMPUTED_VALUE"""),10296.7)</f>
        <v>10296.7</v>
      </c>
      <c r="D4348" s="3">
        <f>IFERROR(__xludf.DUMMYFUNCTION("""COMPUTED_VALUE"""),10211.9)</f>
        <v>10211.9</v>
      </c>
      <c r="E4348" s="3">
        <f>IFERROR(__xludf.DUMMYFUNCTION("""COMPUTED_VALUE"""),10226.85)</f>
        <v>10226.85</v>
      </c>
      <c r="F4348" s="3">
        <f>IFERROR(__xludf.DUMMYFUNCTION("""COMPUTED_VALUE"""),0.0)</f>
        <v>0</v>
      </c>
    </row>
    <row r="4349">
      <c r="A4349" s="7">
        <f>IFERROR(__xludf.DUMMYFUNCTION("""COMPUTED_VALUE"""),43171.64583333333)</f>
        <v>43171.64583</v>
      </c>
      <c r="B4349" s="3">
        <f>IFERROR(__xludf.DUMMYFUNCTION("""COMPUTED_VALUE"""),10301.6)</f>
        <v>10301.6</v>
      </c>
      <c r="C4349" s="3">
        <f>IFERROR(__xludf.DUMMYFUNCTION("""COMPUTED_VALUE"""),10433.65)</f>
        <v>10433.65</v>
      </c>
      <c r="D4349" s="3">
        <f>IFERROR(__xludf.DUMMYFUNCTION("""COMPUTED_VALUE"""),10295.45)</f>
        <v>10295.45</v>
      </c>
      <c r="E4349" s="3">
        <f>IFERROR(__xludf.DUMMYFUNCTION("""COMPUTED_VALUE"""),10421.4)</f>
        <v>10421.4</v>
      </c>
      <c r="F4349" s="3">
        <f>IFERROR(__xludf.DUMMYFUNCTION("""COMPUTED_VALUE"""),0.0)</f>
        <v>0</v>
      </c>
    </row>
    <row r="4350">
      <c r="A4350" s="7">
        <f>IFERROR(__xludf.DUMMYFUNCTION("""COMPUTED_VALUE"""),43172.64583333333)</f>
        <v>43172.64583</v>
      </c>
      <c r="B4350" s="3">
        <f>IFERROR(__xludf.DUMMYFUNCTION("""COMPUTED_VALUE"""),10389.5)</f>
        <v>10389.5</v>
      </c>
      <c r="C4350" s="3">
        <f>IFERROR(__xludf.DUMMYFUNCTION("""COMPUTED_VALUE"""),10478.6)</f>
        <v>10478.6</v>
      </c>
      <c r="D4350" s="3">
        <f>IFERROR(__xludf.DUMMYFUNCTION("""COMPUTED_VALUE"""),10377.85)</f>
        <v>10377.85</v>
      </c>
      <c r="E4350" s="3">
        <f>IFERROR(__xludf.DUMMYFUNCTION("""COMPUTED_VALUE"""),10426.85)</f>
        <v>10426.85</v>
      </c>
      <c r="F4350" s="3">
        <f>IFERROR(__xludf.DUMMYFUNCTION("""COMPUTED_VALUE"""),0.0)</f>
        <v>0</v>
      </c>
    </row>
    <row r="4351">
      <c r="A4351" s="7">
        <f>IFERROR(__xludf.DUMMYFUNCTION("""COMPUTED_VALUE"""),43173.64583333333)</f>
        <v>43173.64583</v>
      </c>
      <c r="B4351" s="3">
        <f>IFERROR(__xludf.DUMMYFUNCTION("""COMPUTED_VALUE"""),10393.05)</f>
        <v>10393.05</v>
      </c>
      <c r="C4351" s="3">
        <f>IFERROR(__xludf.DUMMYFUNCTION("""COMPUTED_VALUE"""),10420.35)</f>
        <v>10420.35</v>
      </c>
      <c r="D4351" s="3">
        <f>IFERROR(__xludf.DUMMYFUNCTION("""COMPUTED_VALUE"""),10336.3)</f>
        <v>10336.3</v>
      </c>
      <c r="E4351" s="3">
        <f>IFERROR(__xludf.DUMMYFUNCTION("""COMPUTED_VALUE"""),10410.9)</f>
        <v>10410.9</v>
      </c>
      <c r="F4351" s="3">
        <f>IFERROR(__xludf.DUMMYFUNCTION("""COMPUTED_VALUE"""),0.0)</f>
        <v>0</v>
      </c>
    </row>
    <row r="4352">
      <c r="A4352" s="7">
        <f>IFERROR(__xludf.DUMMYFUNCTION("""COMPUTED_VALUE"""),43174.64583333333)</f>
        <v>43174.64583</v>
      </c>
      <c r="B4352" s="3">
        <f>IFERROR(__xludf.DUMMYFUNCTION("""COMPUTED_VALUE"""),10405.45)</f>
        <v>10405.45</v>
      </c>
      <c r="C4352" s="3">
        <f>IFERROR(__xludf.DUMMYFUNCTION("""COMPUTED_VALUE"""),10420.0)</f>
        <v>10420</v>
      </c>
      <c r="D4352" s="3">
        <f>IFERROR(__xludf.DUMMYFUNCTION("""COMPUTED_VALUE"""),10346.2)</f>
        <v>10346.2</v>
      </c>
      <c r="E4352" s="3">
        <f>IFERROR(__xludf.DUMMYFUNCTION("""COMPUTED_VALUE"""),10360.15)</f>
        <v>10360.15</v>
      </c>
      <c r="F4352" s="3">
        <f>IFERROR(__xludf.DUMMYFUNCTION("""COMPUTED_VALUE"""),0.0)</f>
        <v>0</v>
      </c>
    </row>
    <row r="4353">
      <c r="A4353" s="7">
        <f>IFERROR(__xludf.DUMMYFUNCTION("""COMPUTED_VALUE"""),43175.64583333333)</f>
        <v>43175.64583</v>
      </c>
      <c r="B4353" s="3">
        <f>IFERROR(__xludf.DUMMYFUNCTION("""COMPUTED_VALUE"""),10345.15)</f>
        <v>10345.15</v>
      </c>
      <c r="C4353" s="3">
        <f>IFERROR(__xludf.DUMMYFUNCTION("""COMPUTED_VALUE"""),10346.3)</f>
        <v>10346.3</v>
      </c>
      <c r="D4353" s="3">
        <f>IFERROR(__xludf.DUMMYFUNCTION("""COMPUTED_VALUE"""),10180.25)</f>
        <v>10180.25</v>
      </c>
      <c r="E4353" s="3">
        <f>IFERROR(__xludf.DUMMYFUNCTION("""COMPUTED_VALUE"""),10195.15)</f>
        <v>10195.15</v>
      </c>
      <c r="F4353" s="3">
        <f>IFERROR(__xludf.DUMMYFUNCTION("""COMPUTED_VALUE"""),0.0)</f>
        <v>0</v>
      </c>
    </row>
    <row r="4354">
      <c r="A4354" s="7">
        <f>IFERROR(__xludf.DUMMYFUNCTION("""COMPUTED_VALUE"""),43178.64583333333)</f>
        <v>43178.64583</v>
      </c>
      <c r="B4354" s="3">
        <f>IFERROR(__xludf.DUMMYFUNCTION("""COMPUTED_VALUE"""),10215.35)</f>
        <v>10215.35</v>
      </c>
      <c r="C4354" s="3">
        <f>IFERROR(__xludf.DUMMYFUNCTION("""COMPUTED_VALUE"""),10224.55)</f>
        <v>10224.55</v>
      </c>
      <c r="D4354" s="3">
        <f>IFERROR(__xludf.DUMMYFUNCTION("""COMPUTED_VALUE"""),10075.3)</f>
        <v>10075.3</v>
      </c>
      <c r="E4354" s="3">
        <f>IFERROR(__xludf.DUMMYFUNCTION("""COMPUTED_VALUE"""),10094.25)</f>
        <v>10094.25</v>
      </c>
      <c r="F4354" s="3">
        <f>IFERROR(__xludf.DUMMYFUNCTION("""COMPUTED_VALUE"""),0.0)</f>
        <v>0</v>
      </c>
    </row>
    <row r="4355">
      <c r="A4355" s="7">
        <f>IFERROR(__xludf.DUMMYFUNCTION("""COMPUTED_VALUE"""),43179.64583333333)</f>
        <v>43179.64583</v>
      </c>
      <c r="B4355" s="3">
        <f>IFERROR(__xludf.DUMMYFUNCTION("""COMPUTED_VALUE"""),10051.55)</f>
        <v>10051.55</v>
      </c>
      <c r="C4355" s="3">
        <f>IFERROR(__xludf.DUMMYFUNCTION("""COMPUTED_VALUE"""),10155.65)</f>
        <v>10155.65</v>
      </c>
      <c r="D4355" s="3">
        <f>IFERROR(__xludf.DUMMYFUNCTION("""COMPUTED_VALUE"""),10049.1)</f>
        <v>10049.1</v>
      </c>
      <c r="E4355" s="3">
        <f>IFERROR(__xludf.DUMMYFUNCTION("""COMPUTED_VALUE"""),10124.35)</f>
        <v>10124.35</v>
      </c>
      <c r="F4355" s="3">
        <f>IFERROR(__xludf.DUMMYFUNCTION("""COMPUTED_VALUE"""),0.0)</f>
        <v>0</v>
      </c>
    </row>
    <row r="4356">
      <c r="A4356" s="7">
        <f>IFERROR(__xludf.DUMMYFUNCTION("""COMPUTED_VALUE"""),43180.64583333333)</f>
        <v>43180.64583</v>
      </c>
      <c r="B4356" s="3">
        <f>IFERROR(__xludf.DUMMYFUNCTION("""COMPUTED_VALUE"""),10181.95)</f>
        <v>10181.95</v>
      </c>
      <c r="C4356" s="3">
        <f>IFERROR(__xludf.DUMMYFUNCTION("""COMPUTED_VALUE"""),10227.3)</f>
        <v>10227.3</v>
      </c>
      <c r="D4356" s="3">
        <f>IFERROR(__xludf.DUMMYFUNCTION("""COMPUTED_VALUE"""),10132.95)</f>
        <v>10132.95</v>
      </c>
      <c r="E4356" s="3">
        <f>IFERROR(__xludf.DUMMYFUNCTION("""COMPUTED_VALUE"""),10155.25)</f>
        <v>10155.25</v>
      </c>
      <c r="F4356" s="3">
        <f>IFERROR(__xludf.DUMMYFUNCTION("""COMPUTED_VALUE"""),0.0)</f>
        <v>0</v>
      </c>
    </row>
    <row r="4357">
      <c r="A4357" s="7">
        <f>IFERROR(__xludf.DUMMYFUNCTION("""COMPUTED_VALUE"""),43181.64583333333)</f>
        <v>43181.64583</v>
      </c>
      <c r="B4357" s="3">
        <f>IFERROR(__xludf.DUMMYFUNCTION("""COMPUTED_VALUE"""),10167.5)</f>
        <v>10167.5</v>
      </c>
      <c r="C4357" s="3">
        <f>IFERROR(__xludf.DUMMYFUNCTION("""COMPUTED_VALUE"""),10207.85)</f>
        <v>10207.85</v>
      </c>
      <c r="D4357" s="3">
        <f>IFERROR(__xludf.DUMMYFUNCTION("""COMPUTED_VALUE"""),10105.4)</f>
        <v>10105.4</v>
      </c>
      <c r="E4357" s="3">
        <f>IFERROR(__xludf.DUMMYFUNCTION("""COMPUTED_VALUE"""),10114.75)</f>
        <v>10114.75</v>
      </c>
      <c r="F4357" s="3">
        <f>IFERROR(__xludf.DUMMYFUNCTION("""COMPUTED_VALUE"""),0.0)</f>
        <v>0</v>
      </c>
    </row>
    <row r="4358">
      <c r="A4358" s="7">
        <f>IFERROR(__xludf.DUMMYFUNCTION("""COMPUTED_VALUE"""),43182.64583333333)</f>
        <v>43182.64583</v>
      </c>
      <c r="B4358" s="3">
        <f>IFERROR(__xludf.DUMMYFUNCTION("""COMPUTED_VALUE"""),9968.8)</f>
        <v>9968.8</v>
      </c>
      <c r="C4358" s="3">
        <f>IFERROR(__xludf.DUMMYFUNCTION("""COMPUTED_VALUE"""),10027.7)</f>
        <v>10027.7</v>
      </c>
      <c r="D4358" s="3">
        <f>IFERROR(__xludf.DUMMYFUNCTION("""COMPUTED_VALUE"""),9951.9)</f>
        <v>9951.9</v>
      </c>
      <c r="E4358" s="3">
        <f>IFERROR(__xludf.DUMMYFUNCTION("""COMPUTED_VALUE"""),9998.05)</f>
        <v>9998.05</v>
      </c>
      <c r="F4358" s="3">
        <f>IFERROR(__xludf.DUMMYFUNCTION("""COMPUTED_VALUE"""),0.0)</f>
        <v>0</v>
      </c>
    </row>
    <row r="4359">
      <c r="A4359" s="7">
        <f>IFERROR(__xludf.DUMMYFUNCTION("""COMPUTED_VALUE"""),43185.64583333333)</f>
        <v>43185.64583</v>
      </c>
      <c r="B4359" s="3">
        <f>IFERROR(__xludf.DUMMYFUNCTION("""COMPUTED_VALUE"""),9989.15)</f>
        <v>9989.15</v>
      </c>
      <c r="C4359" s="3">
        <f>IFERROR(__xludf.DUMMYFUNCTION("""COMPUTED_VALUE"""),10143.5)</f>
        <v>10143.5</v>
      </c>
      <c r="D4359" s="3">
        <f>IFERROR(__xludf.DUMMYFUNCTION("""COMPUTED_VALUE"""),9958.55)</f>
        <v>9958.55</v>
      </c>
      <c r="E4359" s="3">
        <f>IFERROR(__xludf.DUMMYFUNCTION("""COMPUTED_VALUE"""),10130.65)</f>
        <v>10130.65</v>
      </c>
      <c r="F4359" s="3">
        <f>IFERROR(__xludf.DUMMYFUNCTION("""COMPUTED_VALUE"""),0.0)</f>
        <v>0</v>
      </c>
    </row>
    <row r="4360">
      <c r="A4360" s="7">
        <f>IFERROR(__xludf.DUMMYFUNCTION("""COMPUTED_VALUE"""),43186.64583333333)</f>
        <v>43186.64583</v>
      </c>
      <c r="B4360" s="3">
        <f>IFERROR(__xludf.DUMMYFUNCTION("""COMPUTED_VALUE"""),10188.0)</f>
        <v>10188</v>
      </c>
      <c r="C4360" s="3">
        <f>IFERROR(__xludf.DUMMYFUNCTION("""COMPUTED_VALUE"""),10207.9)</f>
        <v>10207.9</v>
      </c>
      <c r="D4360" s="3">
        <f>IFERROR(__xludf.DUMMYFUNCTION("""COMPUTED_VALUE"""),10139.65)</f>
        <v>10139.65</v>
      </c>
      <c r="E4360" s="3">
        <f>IFERROR(__xludf.DUMMYFUNCTION("""COMPUTED_VALUE"""),10184.15)</f>
        <v>10184.15</v>
      </c>
      <c r="F4360" s="3">
        <f>IFERROR(__xludf.DUMMYFUNCTION("""COMPUTED_VALUE"""),0.0)</f>
        <v>0</v>
      </c>
    </row>
    <row r="4361">
      <c r="A4361" s="7">
        <f>IFERROR(__xludf.DUMMYFUNCTION("""COMPUTED_VALUE"""),43187.64583333333)</f>
        <v>43187.64583</v>
      </c>
      <c r="B4361" s="3">
        <f>IFERROR(__xludf.DUMMYFUNCTION("""COMPUTED_VALUE"""),10143.6)</f>
        <v>10143.6</v>
      </c>
      <c r="C4361" s="3">
        <f>IFERROR(__xludf.DUMMYFUNCTION("""COMPUTED_VALUE"""),10158.35)</f>
        <v>10158.35</v>
      </c>
      <c r="D4361" s="3">
        <f>IFERROR(__xludf.DUMMYFUNCTION("""COMPUTED_VALUE"""),10096.9)</f>
        <v>10096.9</v>
      </c>
      <c r="E4361" s="3">
        <f>IFERROR(__xludf.DUMMYFUNCTION("""COMPUTED_VALUE"""),10113.7)</f>
        <v>10113.7</v>
      </c>
      <c r="F4361" s="3">
        <f>IFERROR(__xludf.DUMMYFUNCTION("""COMPUTED_VALUE"""),0.0)</f>
        <v>0</v>
      </c>
    </row>
    <row r="4362">
      <c r="A4362" s="7">
        <f>IFERROR(__xludf.DUMMYFUNCTION("""COMPUTED_VALUE"""),43192.64583333333)</f>
        <v>43192.64583</v>
      </c>
      <c r="B4362" s="3">
        <f>IFERROR(__xludf.DUMMYFUNCTION("""COMPUTED_VALUE"""),10151.65)</f>
        <v>10151.65</v>
      </c>
      <c r="C4362" s="3">
        <f>IFERROR(__xludf.DUMMYFUNCTION("""COMPUTED_VALUE"""),10220.1)</f>
        <v>10220.1</v>
      </c>
      <c r="D4362" s="3">
        <f>IFERROR(__xludf.DUMMYFUNCTION("""COMPUTED_VALUE"""),10127.75)</f>
        <v>10127.75</v>
      </c>
      <c r="E4362" s="3">
        <f>IFERROR(__xludf.DUMMYFUNCTION("""COMPUTED_VALUE"""),10211.8)</f>
        <v>10211.8</v>
      </c>
      <c r="F4362" s="3">
        <f>IFERROR(__xludf.DUMMYFUNCTION("""COMPUTED_VALUE"""),0.0)</f>
        <v>0</v>
      </c>
    </row>
    <row r="4363">
      <c r="A4363" s="7">
        <f>IFERROR(__xludf.DUMMYFUNCTION("""COMPUTED_VALUE"""),43193.64583333333)</f>
        <v>43193.64583</v>
      </c>
      <c r="B4363" s="3">
        <f>IFERROR(__xludf.DUMMYFUNCTION("""COMPUTED_VALUE"""),10186.85)</f>
        <v>10186.85</v>
      </c>
      <c r="C4363" s="3">
        <f>IFERROR(__xludf.DUMMYFUNCTION("""COMPUTED_VALUE"""),10255.35)</f>
        <v>10255.35</v>
      </c>
      <c r="D4363" s="3">
        <f>IFERROR(__xludf.DUMMYFUNCTION("""COMPUTED_VALUE"""),10171.05)</f>
        <v>10171.05</v>
      </c>
      <c r="E4363" s="3">
        <f>IFERROR(__xludf.DUMMYFUNCTION("""COMPUTED_VALUE"""),10245.0)</f>
        <v>10245</v>
      </c>
      <c r="F4363" s="3">
        <f>IFERROR(__xludf.DUMMYFUNCTION("""COMPUTED_VALUE"""),0.0)</f>
        <v>0</v>
      </c>
    </row>
    <row r="4364">
      <c r="A4364" s="7">
        <f>IFERROR(__xludf.DUMMYFUNCTION("""COMPUTED_VALUE"""),43194.64583333333)</f>
        <v>43194.64583</v>
      </c>
      <c r="B4364" s="3">
        <f>IFERROR(__xludf.DUMMYFUNCTION("""COMPUTED_VALUE"""),10274.6)</f>
        <v>10274.6</v>
      </c>
      <c r="C4364" s="3">
        <f>IFERROR(__xludf.DUMMYFUNCTION("""COMPUTED_VALUE"""),10279.85)</f>
        <v>10279.85</v>
      </c>
      <c r="D4364" s="3">
        <f>IFERROR(__xludf.DUMMYFUNCTION("""COMPUTED_VALUE"""),10111.3)</f>
        <v>10111.3</v>
      </c>
      <c r="E4364" s="3">
        <f>IFERROR(__xludf.DUMMYFUNCTION("""COMPUTED_VALUE"""),10128.4)</f>
        <v>10128.4</v>
      </c>
      <c r="F4364" s="3">
        <f>IFERROR(__xludf.DUMMYFUNCTION("""COMPUTED_VALUE"""),0.0)</f>
        <v>0</v>
      </c>
    </row>
    <row r="4365">
      <c r="A4365" s="7">
        <f>IFERROR(__xludf.DUMMYFUNCTION("""COMPUTED_VALUE"""),43195.64583333333)</f>
        <v>43195.64583</v>
      </c>
      <c r="B4365" s="3">
        <f>IFERROR(__xludf.DUMMYFUNCTION("""COMPUTED_VALUE"""),10228.45)</f>
        <v>10228.45</v>
      </c>
      <c r="C4365" s="3">
        <f>IFERROR(__xludf.DUMMYFUNCTION("""COMPUTED_VALUE"""),10331.8)</f>
        <v>10331.8</v>
      </c>
      <c r="D4365" s="3">
        <f>IFERROR(__xludf.DUMMYFUNCTION("""COMPUTED_VALUE"""),10227.45)</f>
        <v>10227.45</v>
      </c>
      <c r="E4365" s="3">
        <f>IFERROR(__xludf.DUMMYFUNCTION("""COMPUTED_VALUE"""),10325.15)</f>
        <v>10325.15</v>
      </c>
      <c r="F4365" s="3">
        <f>IFERROR(__xludf.DUMMYFUNCTION("""COMPUTED_VALUE"""),0.0)</f>
        <v>0</v>
      </c>
    </row>
    <row r="4366">
      <c r="A4366" s="7">
        <f>IFERROR(__xludf.DUMMYFUNCTION("""COMPUTED_VALUE"""),43196.64583333333)</f>
        <v>43196.64583</v>
      </c>
      <c r="B4366" s="3">
        <f>IFERROR(__xludf.DUMMYFUNCTION("""COMPUTED_VALUE"""),10322.75)</f>
        <v>10322.75</v>
      </c>
      <c r="C4366" s="3">
        <f>IFERROR(__xludf.DUMMYFUNCTION("""COMPUTED_VALUE"""),10350.45)</f>
        <v>10350.45</v>
      </c>
      <c r="D4366" s="3">
        <f>IFERROR(__xludf.DUMMYFUNCTION("""COMPUTED_VALUE"""),10290.85)</f>
        <v>10290.85</v>
      </c>
      <c r="E4366" s="3">
        <f>IFERROR(__xludf.DUMMYFUNCTION("""COMPUTED_VALUE"""),10331.6)</f>
        <v>10331.6</v>
      </c>
      <c r="F4366" s="3">
        <f>IFERROR(__xludf.DUMMYFUNCTION("""COMPUTED_VALUE"""),0.0)</f>
        <v>0</v>
      </c>
    </row>
    <row r="4367">
      <c r="A4367" s="7">
        <f>IFERROR(__xludf.DUMMYFUNCTION("""COMPUTED_VALUE"""),43199.64583333333)</f>
        <v>43199.64583</v>
      </c>
      <c r="B4367" s="3">
        <f>IFERROR(__xludf.DUMMYFUNCTION("""COMPUTED_VALUE"""),10333.7)</f>
        <v>10333.7</v>
      </c>
      <c r="C4367" s="3">
        <f>IFERROR(__xludf.DUMMYFUNCTION("""COMPUTED_VALUE"""),10397.7)</f>
        <v>10397.7</v>
      </c>
      <c r="D4367" s="3">
        <f>IFERROR(__xludf.DUMMYFUNCTION("""COMPUTED_VALUE"""),10328.5)</f>
        <v>10328.5</v>
      </c>
      <c r="E4367" s="3">
        <f>IFERROR(__xludf.DUMMYFUNCTION("""COMPUTED_VALUE"""),10379.35)</f>
        <v>10379.35</v>
      </c>
      <c r="F4367" s="3">
        <f>IFERROR(__xludf.DUMMYFUNCTION("""COMPUTED_VALUE"""),0.0)</f>
        <v>0</v>
      </c>
    </row>
    <row r="4368">
      <c r="A4368" s="7">
        <f>IFERROR(__xludf.DUMMYFUNCTION("""COMPUTED_VALUE"""),43200.64583333333)</f>
        <v>43200.64583</v>
      </c>
      <c r="B4368" s="3">
        <f>IFERROR(__xludf.DUMMYFUNCTION("""COMPUTED_VALUE"""),10412.9)</f>
        <v>10412.9</v>
      </c>
      <c r="C4368" s="3">
        <f>IFERROR(__xludf.DUMMYFUNCTION("""COMPUTED_VALUE"""),10424.85)</f>
        <v>10424.85</v>
      </c>
      <c r="D4368" s="3">
        <f>IFERROR(__xludf.DUMMYFUNCTION("""COMPUTED_VALUE"""),10381.5)</f>
        <v>10381.5</v>
      </c>
      <c r="E4368" s="3">
        <f>IFERROR(__xludf.DUMMYFUNCTION("""COMPUTED_VALUE"""),10402.25)</f>
        <v>10402.25</v>
      </c>
      <c r="F4368" s="3">
        <f>IFERROR(__xludf.DUMMYFUNCTION("""COMPUTED_VALUE"""),0.0)</f>
        <v>0</v>
      </c>
    </row>
    <row r="4369">
      <c r="A4369" s="7">
        <f>IFERROR(__xludf.DUMMYFUNCTION("""COMPUTED_VALUE"""),43201.64583333333)</f>
        <v>43201.64583</v>
      </c>
      <c r="B4369" s="3">
        <f>IFERROR(__xludf.DUMMYFUNCTION("""COMPUTED_VALUE"""),10428.15)</f>
        <v>10428.15</v>
      </c>
      <c r="C4369" s="3">
        <f>IFERROR(__xludf.DUMMYFUNCTION("""COMPUTED_VALUE"""),10428.15)</f>
        <v>10428.15</v>
      </c>
      <c r="D4369" s="3">
        <f>IFERROR(__xludf.DUMMYFUNCTION("""COMPUTED_VALUE"""),10355.6)</f>
        <v>10355.6</v>
      </c>
      <c r="E4369" s="3">
        <f>IFERROR(__xludf.DUMMYFUNCTION("""COMPUTED_VALUE"""),10417.15)</f>
        <v>10417.15</v>
      </c>
      <c r="F4369" s="3">
        <f>IFERROR(__xludf.DUMMYFUNCTION("""COMPUTED_VALUE"""),0.0)</f>
        <v>0</v>
      </c>
    </row>
    <row r="4370">
      <c r="A4370" s="7">
        <f>IFERROR(__xludf.DUMMYFUNCTION("""COMPUTED_VALUE"""),43202.64583333333)</f>
        <v>43202.64583</v>
      </c>
      <c r="B4370" s="3">
        <f>IFERROR(__xludf.DUMMYFUNCTION("""COMPUTED_VALUE"""),10410.65)</f>
        <v>10410.65</v>
      </c>
      <c r="C4370" s="3">
        <f>IFERROR(__xludf.DUMMYFUNCTION("""COMPUTED_VALUE"""),10469.9)</f>
        <v>10469.9</v>
      </c>
      <c r="D4370" s="3">
        <f>IFERROR(__xludf.DUMMYFUNCTION("""COMPUTED_VALUE"""),10395.25)</f>
        <v>10395.25</v>
      </c>
      <c r="E4370" s="3">
        <f>IFERROR(__xludf.DUMMYFUNCTION("""COMPUTED_VALUE"""),10458.65)</f>
        <v>10458.65</v>
      </c>
      <c r="F4370" s="3">
        <f>IFERROR(__xludf.DUMMYFUNCTION("""COMPUTED_VALUE"""),0.0)</f>
        <v>0</v>
      </c>
    </row>
    <row r="4371">
      <c r="A4371" s="7">
        <f>IFERROR(__xludf.DUMMYFUNCTION("""COMPUTED_VALUE"""),43203.64583333333)</f>
        <v>43203.64583</v>
      </c>
      <c r="B4371" s="3">
        <f>IFERROR(__xludf.DUMMYFUNCTION("""COMPUTED_VALUE"""),10495.3)</f>
        <v>10495.3</v>
      </c>
      <c r="C4371" s="3">
        <f>IFERROR(__xludf.DUMMYFUNCTION("""COMPUTED_VALUE"""),10519.9)</f>
        <v>10519.9</v>
      </c>
      <c r="D4371" s="3">
        <f>IFERROR(__xludf.DUMMYFUNCTION("""COMPUTED_VALUE"""),10451.45)</f>
        <v>10451.45</v>
      </c>
      <c r="E4371" s="3">
        <f>IFERROR(__xludf.DUMMYFUNCTION("""COMPUTED_VALUE"""),10480.6)</f>
        <v>10480.6</v>
      </c>
      <c r="F4371" s="3">
        <f>IFERROR(__xludf.DUMMYFUNCTION("""COMPUTED_VALUE"""),0.0)</f>
        <v>0</v>
      </c>
    </row>
    <row r="4372">
      <c r="A4372" s="7">
        <f>IFERROR(__xludf.DUMMYFUNCTION("""COMPUTED_VALUE"""),43206.64583333333)</f>
        <v>43206.64583</v>
      </c>
      <c r="B4372" s="3">
        <f>IFERROR(__xludf.DUMMYFUNCTION("""COMPUTED_VALUE"""),10398.3)</f>
        <v>10398.3</v>
      </c>
      <c r="C4372" s="3">
        <f>IFERROR(__xludf.DUMMYFUNCTION("""COMPUTED_VALUE"""),10540.15)</f>
        <v>10540.15</v>
      </c>
      <c r="D4372" s="3">
        <f>IFERROR(__xludf.DUMMYFUNCTION("""COMPUTED_VALUE"""),10396.35)</f>
        <v>10396.35</v>
      </c>
      <c r="E4372" s="3">
        <f>IFERROR(__xludf.DUMMYFUNCTION("""COMPUTED_VALUE"""),10528.35)</f>
        <v>10528.35</v>
      </c>
      <c r="F4372" s="3">
        <f>IFERROR(__xludf.DUMMYFUNCTION("""COMPUTED_VALUE"""),0.0)</f>
        <v>0</v>
      </c>
    </row>
    <row r="4373">
      <c r="A4373" s="7">
        <f>IFERROR(__xludf.DUMMYFUNCTION("""COMPUTED_VALUE"""),43207.64583333333)</f>
        <v>43207.64583</v>
      </c>
      <c r="B4373" s="3">
        <f>IFERROR(__xludf.DUMMYFUNCTION("""COMPUTED_VALUE"""),10557.3)</f>
        <v>10557.3</v>
      </c>
      <c r="C4373" s="3">
        <f>IFERROR(__xludf.DUMMYFUNCTION("""COMPUTED_VALUE"""),10560.45)</f>
        <v>10560.45</v>
      </c>
      <c r="D4373" s="3">
        <f>IFERROR(__xludf.DUMMYFUNCTION("""COMPUTED_VALUE"""),10495.65)</f>
        <v>10495.65</v>
      </c>
      <c r="E4373" s="3">
        <f>IFERROR(__xludf.DUMMYFUNCTION("""COMPUTED_VALUE"""),10548.7)</f>
        <v>10548.7</v>
      </c>
      <c r="F4373" s="3">
        <f>IFERROR(__xludf.DUMMYFUNCTION("""COMPUTED_VALUE"""),0.0)</f>
        <v>0</v>
      </c>
    </row>
    <row r="4374">
      <c r="A4374" s="7">
        <f>IFERROR(__xludf.DUMMYFUNCTION("""COMPUTED_VALUE"""),43208.64583333333)</f>
        <v>43208.64583</v>
      </c>
      <c r="B4374" s="3">
        <f>IFERROR(__xludf.DUMMYFUNCTION("""COMPUTED_VALUE"""),10578.9)</f>
        <v>10578.9</v>
      </c>
      <c r="C4374" s="3">
        <f>IFERROR(__xludf.DUMMYFUNCTION("""COMPUTED_VALUE"""),10594.2)</f>
        <v>10594.2</v>
      </c>
      <c r="D4374" s="3">
        <f>IFERROR(__xludf.DUMMYFUNCTION("""COMPUTED_VALUE"""),10509.7)</f>
        <v>10509.7</v>
      </c>
      <c r="E4374" s="3">
        <f>IFERROR(__xludf.DUMMYFUNCTION("""COMPUTED_VALUE"""),10526.2)</f>
        <v>10526.2</v>
      </c>
      <c r="F4374" s="3">
        <f>IFERROR(__xludf.DUMMYFUNCTION("""COMPUTED_VALUE"""),0.0)</f>
        <v>0</v>
      </c>
    </row>
    <row r="4375">
      <c r="A4375" s="7">
        <f>IFERROR(__xludf.DUMMYFUNCTION("""COMPUTED_VALUE"""),43209.64583333333)</f>
        <v>43209.64583</v>
      </c>
      <c r="B4375" s="3">
        <f>IFERROR(__xludf.DUMMYFUNCTION("""COMPUTED_VALUE"""),10563.65)</f>
        <v>10563.65</v>
      </c>
      <c r="C4375" s="3">
        <f>IFERROR(__xludf.DUMMYFUNCTION("""COMPUTED_VALUE"""),10572.2)</f>
        <v>10572.2</v>
      </c>
      <c r="D4375" s="3">
        <f>IFERROR(__xludf.DUMMYFUNCTION("""COMPUTED_VALUE"""),10546.2)</f>
        <v>10546.2</v>
      </c>
      <c r="E4375" s="3">
        <f>IFERROR(__xludf.DUMMYFUNCTION("""COMPUTED_VALUE"""),10565.3)</f>
        <v>10565.3</v>
      </c>
      <c r="F4375" s="3">
        <f>IFERROR(__xludf.DUMMYFUNCTION("""COMPUTED_VALUE"""),0.0)</f>
        <v>0</v>
      </c>
    </row>
    <row r="4376">
      <c r="A4376" s="7">
        <f>IFERROR(__xludf.DUMMYFUNCTION("""COMPUTED_VALUE"""),43210.64583333333)</f>
        <v>43210.64583</v>
      </c>
      <c r="B4376" s="3">
        <f>IFERROR(__xludf.DUMMYFUNCTION("""COMPUTED_VALUE"""),10560.35)</f>
        <v>10560.35</v>
      </c>
      <c r="C4376" s="3">
        <f>IFERROR(__xludf.DUMMYFUNCTION("""COMPUTED_VALUE"""),10582.35)</f>
        <v>10582.35</v>
      </c>
      <c r="D4376" s="3">
        <f>IFERROR(__xludf.DUMMYFUNCTION("""COMPUTED_VALUE"""),10527.45)</f>
        <v>10527.45</v>
      </c>
      <c r="E4376" s="3">
        <f>IFERROR(__xludf.DUMMYFUNCTION("""COMPUTED_VALUE"""),10564.05)</f>
        <v>10564.05</v>
      </c>
      <c r="F4376" s="3">
        <f>IFERROR(__xludf.DUMMYFUNCTION("""COMPUTED_VALUE"""),0.0)</f>
        <v>0</v>
      </c>
    </row>
    <row r="4377">
      <c r="A4377" s="7">
        <f>IFERROR(__xludf.DUMMYFUNCTION("""COMPUTED_VALUE"""),43213.64583333333)</f>
        <v>43213.64583</v>
      </c>
      <c r="B4377" s="3">
        <f>IFERROR(__xludf.DUMMYFUNCTION("""COMPUTED_VALUE"""),10592.8)</f>
        <v>10592.8</v>
      </c>
      <c r="C4377" s="3">
        <f>IFERROR(__xludf.DUMMYFUNCTION("""COMPUTED_VALUE"""),10638.35)</f>
        <v>10638.35</v>
      </c>
      <c r="D4377" s="3">
        <f>IFERROR(__xludf.DUMMYFUNCTION("""COMPUTED_VALUE"""),10514.95)</f>
        <v>10514.95</v>
      </c>
      <c r="E4377" s="3">
        <f>IFERROR(__xludf.DUMMYFUNCTION("""COMPUTED_VALUE"""),10584.7)</f>
        <v>10584.7</v>
      </c>
      <c r="F4377" s="3">
        <f>IFERROR(__xludf.DUMMYFUNCTION("""COMPUTED_VALUE"""),0.0)</f>
        <v>0</v>
      </c>
    </row>
    <row r="4378">
      <c r="A4378" s="7">
        <f>IFERROR(__xludf.DUMMYFUNCTION("""COMPUTED_VALUE"""),43214.64583333333)</f>
        <v>43214.64583</v>
      </c>
      <c r="B4378" s="3">
        <f>IFERROR(__xludf.DUMMYFUNCTION("""COMPUTED_VALUE"""),10578.1)</f>
        <v>10578.1</v>
      </c>
      <c r="C4378" s="3">
        <f>IFERROR(__xludf.DUMMYFUNCTION("""COMPUTED_VALUE"""),10636.8)</f>
        <v>10636.8</v>
      </c>
      <c r="D4378" s="3">
        <f>IFERROR(__xludf.DUMMYFUNCTION("""COMPUTED_VALUE"""),10569.0)</f>
        <v>10569</v>
      </c>
      <c r="E4378" s="3">
        <f>IFERROR(__xludf.DUMMYFUNCTION("""COMPUTED_VALUE"""),10614.35)</f>
        <v>10614.35</v>
      </c>
      <c r="F4378" s="3">
        <f>IFERROR(__xludf.DUMMYFUNCTION("""COMPUTED_VALUE"""),0.0)</f>
        <v>0</v>
      </c>
    </row>
    <row r="4379">
      <c r="A4379" s="7">
        <f>IFERROR(__xludf.DUMMYFUNCTION("""COMPUTED_VALUE"""),43215.64583333333)</f>
        <v>43215.64583</v>
      </c>
      <c r="B4379" s="3">
        <f>IFERROR(__xludf.DUMMYFUNCTION("""COMPUTED_VALUE"""),10612.4)</f>
        <v>10612.4</v>
      </c>
      <c r="C4379" s="3">
        <f>IFERROR(__xludf.DUMMYFUNCTION("""COMPUTED_VALUE"""),10612.6)</f>
        <v>10612.6</v>
      </c>
      <c r="D4379" s="3">
        <f>IFERROR(__xludf.DUMMYFUNCTION("""COMPUTED_VALUE"""),10536.45)</f>
        <v>10536.45</v>
      </c>
      <c r="E4379" s="3">
        <f>IFERROR(__xludf.DUMMYFUNCTION("""COMPUTED_VALUE"""),10570.55)</f>
        <v>10570.55</v>
      </c>
      <c r="F4379" s="3">
        <f>IFERROR(__xludf.DUMMYFUNCTION("""COMPUTED_VALUE"""),0.0)</f>
        <v>0</v>
      </c>
    </row>
    <row r="4380">
      <c r="A4380" s="7">
        <f>IFERROR(__xludf.DUMMYFUNCTION("""COMPUTED_VALUE"""),43216.64583333333)</f>
        <v>43216.64583</v>
      </c>
      <c r="B4380" s="3">
        <f>IFERROR(__xludf.DUMMYFUNCTION("""COMPUTED_VALUE"""),10586.5)</f>
        <v>10586.5</v>
      </c>
      <c r="C4380" s="3">
        <f>IFERROR(__xludf.DUMMYFUNCTION("""COMPUTED_VALUE"""),10628.4)</f>
        <v>10628.4</v>
      </c>
      <c r="D4380" s="3">
        <f>IFERROR(__xludf.DUMMYFUNCTION("""COMPUTED_VALUE"""),10559.65)</f>
        <v>10559.65</v>
      </c>
      <c r="E4380" s="3">
        <f>IFERROR(__xludf.DUMMYFUNCTION("""COMPUTED_VALUE"""),10617.8)</f>
        <v>10617.8</v>
      </c>
      <c r="F4380" s="3">
        <f>IFERROR(__xludf.DUMMYFUNCTION("""COMPUTED_VALUE"""),0.0)</f>
        <v>0</v>
      </c>
    </row>
    <row r="4381">
      <c r="A4381" s="7">
        <f>IFERROR(__xludf.DUMMYFUNCTION("""COMPUTED_VALUE"""),43217.64583333333)</f>
        <v>43217.64583</v>
      </c>
      <c r="B4381" s="3">
        <f>IFERROR(__xludf.DUMMYFUNCTION("""COMPUTED_VALUE"""),10651.65)</f>
        <v>10651.65</v>
      </c>
      <c r="C4381" s="3">
        <f>IFERROR(__xludf.DUMMYFUNCTION("""COMPUTED_VALUE"""),10719.8)</f>
        <v>10719.8</v>
      </c>
      <c r="D4381" s="3">
        <f>IFERROR(__xludf.DUMMYFUNCTION("""COMPUTED_VALUE"""),10647.55)</f>
        <v>10647.55</v>
      </c>
      <c r="E4381" s="3">
        <f>IFERROR(__xludf.DUMMYFUNCTION("""COMPUTED_VALUE"""),10692.3)</f>
        <v>10692.3</v>
      </c>
      <c r="F4381" s="3">
        <f>IFERROR(__xludf.DUMMYFUNCTION("""COMPUTED_VALUE"""),0.0)</f>
        <v>0</v>
      </c>
    </row>
    <row r="4382">
      <c r="A4382" s="7">
        <f>IFERROR(__xludf.DUMMYFUNCTION("""COMPUTED_VALUE"""),43220.64583333333)</f>
        <v>43220.64583</v>
      </c>
      <c r="B4382" s="3">
        <f>IFERROR(__xludf.DUMMYFUNCTION("""COMPUTED_VALUE"""),10705.75)</f>
        <v>10705.75</v>
      </c>
      <c r="C4382" s="3">
        <f>IFERROR(__xludf.DUMMYFUNCTION("""COMPUTED_VALUE"""),10759.0)</f>
        <v>10759</v>
      </c>
      <c r="D4382" s="3">
        <f>IFERROR(__xludf.DUMMYFUNCTION("""COMPUTED_VALUE"""),10704.6)</f>
        <v>10704.6</v>
      </c>
      <c r="E4382" s="3">
        <f>IFERROR(__xludf.DUMMYFUNCTION("""COMPUTED_VALUE"""),10739.35)</f>
        <v>10739.35</v>
      </c>
      <c r="F4382" s="3">
        <f>IFERROR(__xludf.DUMMYFUNCTION("""COMPUTED_VALUE"""),0.0)</f>
        <v>0</v>
      </c>
    </row>
    <row r="4383">
      <c r="A4383" s="7">
        <f>IFERROR(__xludf.DUMMYFUNCTION("""COMPUTED_VALUE"""),43222.64583333333)</f>
        <v>43222.64583</v>
      </c>
      <c r="B4383" s="3">
        <f>IFERROR(__xludf.DUMMYFUNCTION("""COMPUTED_VALUE"""),10783.85)</f>
        <v>10783.85</v>
      </c>
      <c r="C4383" s="3">
        <f>IFERROR(__xludf.DUMMYFUNCTION("""COMPUTED_VALUE"""),10784.65)</f>
        <v>10784.65</v>
      </c>
      <c r="D4383" s="3">
        <f>IFERROR(__xludf.DUMMYFUNCTION("""COMPUTED_VALUE"""),10689.8)</f>
        <v>10689.8</v>
      </c>
      <c r="E4383" s="3">
        <f>IFERROR(__xludf.DUMMYFUNCTION("""COMPUTED_VALUE"""),10718.05)</f>
        <v>10718.05</v>
      </c>
      <c r="F4383" s="3">
        <f>IFERROR(__xludf.DUMMYFUNCTION("""COMPUTED_VALUE"""),0.0)</f>
        <v>0</v>
      </c>
    </row>
    <row r="4384">
      <c r="A4384" s="7">
        <f>IFERROR(__xludf.DUMMYFUNCTION("""COMPUTED_VALUE"""),43223.64583333333)</f>
        <v>43223.64583</v>
      </c>
      <c r="B4384" s="3">
        <f>IFERROR(__xludf.DUMMYFUNCTION("""COMPUTED_VALUE"""),10720.15)</f>
        <v>10720.15</v>
      </c>
      <c r="C4384" s="3">
        <f>IFERROR(__xludf.DUMMYFUNCTION("""COMPUTED_VALUE"""),10720.6)</f>
        <v>10720.6</v>
      </c>
      <c r="D4384" s="3">
        <f>IFERROR(__xludf.DUMMYFUNCTION("""COMPUTED_VALUE"""),10647.45)</f>
        <v>10647.45</v>
      </c>
      <c r="E4384" s="3">
        <f>IFERROR(__xludf.DUMMYFUNCTION("""COMPUTED_VALUE"""),10679.65)</f>
        <v>10679.65</v>
      </c>
      <c r="F4384" s="3">
        <f>IFERROR(__xludf.DUMMYFUNCTION("""COMPUTED_VALUE"""),0.0)</f>
        <v>0</v>
      </c>
    </row>
    <row r="4385">
      <c r="A4385" s="7">
        <f>IFERROR(__xludf.DUMMYFUNCTION("""COMPUTED_VALUE"""),43224.64583333333)</f>
        <v>43224.64583</v>
      </c>
      <c r="B4385" s="3">
        <f>IFERROR(__xludf.DUMMYFUNCTION("""COMPUTED_VALUE"""),10700.45)</f>
        <v>10700.45</v>
      </c>
      <c r="C4385" s="3">
        <f>IFERROR(__xludf.DUMMYFUNCTION("""COMPUTED_VALUE"""),10700.45)</f>
        <v>10700.45</v>
      </c>
      <c r="D4385" s="3">
        <f>IFERROR(__xludf.DUMMYFUNCTION("""COMPUTED_VALUE"""),10601.6)</f>
        <v>10601.6</v>
      </c>
      <c r="E4385" s="3">
        <f>IFERROR(__xludf.DUMMYFUNCTION("""COMPUTED_VALUE"""),10618.25)</f>
        <v>10618.25</v>
      </c>
      <c r="F4385" s="3">
        <f>IFERROR(__xludf.DUMMYFUNCTION("""COMPUTED_VALUE"""),0.0)</f>
        <v>0</v>
      </c>
    </row>
    <row r="4386">
      <c r="A4386" s="7">
        <f>IFERROR(__xludf.DUMMYFUNCTION("""COMPUTED_VALUE"""),43227.64583333333)</f>
        <v>43227.64583</v>
      </c>
      <c r="B4386" s="3">
        <f>IFERROR(__xludf.DUMMYFUNCTION("""COMPUTED_VALUE"""),10653.15)</f>
        <v>10653.15</v>
      </c>
      <c r="C4386" s="3">
        <f>IFERROR(__xludf.DUMMYFUNCTION("""COMPUTED_VALUE"""),10725.65)</f>
        <v>10725.65</v>
      </c>
      <c r="D4386" s="3">
        <f>IFERROR(__xludf.DUMMYFUNCTION("""COMPUTED_VALUE"""),10635.65)</f>
        <v>10635.65</v>
      </c>
      <c r="E4386" s="3">
        <f>IFERROR(__xludf.DUMMYFUNCTION("""COMPUTED_VALUE"""),10715.5)</f>
        <v>10715.5</v>
      </c>
      <c r="F4386" s="3">
        <f>IFERROR(__xludf.DUMMYFUNCTION("""COMPUTED_VALUE"""),0.0)</f>
        <v>0</v>
      </c>
    </row>
    <row r="4387">
      <c r="A4387" s="7">
        <f>IFERROR(__xludf.DUMMYFUNCTION("""COMPUTED_VALUE"""),43228.64583333333)</f>
        <v>43228.64583</v>
      </c>
      <c r="B4387" s="3">
        <f>IFERROR(__xludf.DUMMYFUNCTION("""COMPUTED_VALUE"""),10757.9)</f>
        <v>10757.9</v>
      </c>
      <c r="C4387" s="3">
        <f>IFERROR(__xludf.DUMMYFUNCTION("""COMPUTED_VALUE"""),10758.55)</f>
        <v>10758.55</v>
      </c>
      <c r="D4387" s="3">
        <f>IFERROR(__xludf.DUMMYFUNCTION("""COMPUTED_VALUE"""),10689.4)</f>
        <v>10689.4</v>
      </c>
      <c r="E4387" s="3">
        <f>IFERROR(__xludf.DUMMYFUNCTION("""COMPUTED_VALUE"""),10717.8)</f>
        <v>10717.8</v>
      </c>
      <c r="F4387" s="3">
        <f>IFERROR(__xludf.DUMMYFUNCTION("""COMPUTED_VALUE"""),0.0)</f>
        <v>0</v>
      </c>
    </row>
    <row r="4388">
      <c r="A4388" s="7">
        <f>IFERROR(__xludf.DUMMYFUNCTION("""COMPUTED_VALUE"""),43229.64583333333)</f>
        <v>43229.64583</v>
      </c>
      <c r="B4388" s="3">
        <f>IFERROR(__xludf.DUMMYFUNCTION("""COMPUTED_VALUE"""),10693.35)</f>
        <v>10693.35</v>
      </c>
      <c r="C4388" s="3">
        <f>IFERROR(__xludf.DUMMYFUNCTION("""COMPUTED_VALUE"""),10766.25)</f>
        <v>10766.25</v>
      </c>
      <c r="D4388" s="3">
        <f>IFERROR(__xludf.DUMMYFUNCTION("""COMPUTED_VALUE"""),10689.85)</f>
        <v>10689.85</v>
      </c>
      <c r="E4388" s="3">
        <f>IFERROR(__xludf.DUMMYFUNCTION("""COMPUTED_VALUE"""),10741.7)</f>
        <v>10741.7</v>
      </c>
      <c r="F4388" s="3">
        <f>IFERROR(__xludf.DUMMYFUNCTION("""COMPUTED_VALUE"""),0.0)</f>
        <v>0</v>
      </c>
    </row>
    <row r="4389">
      <c r="A4389" s="7">
        <f>IFERROR(__xludf.DUMMYFUNCTION("""COMPUTED_VALUE"""),43230.64583333333)</f>
        <v>43230.64583</v>
      </c>
      <c r="B4389" s="3">
        <f>IFERROR(__xludf.DUMMYFUNCTION("""COMPUTED_VALUE"""),10779.65)</f>
        <v>10779.65</v>
      </c>
      <c r="C4389" s="3">
        <f>IFERROR(__xludf.DUMMYFUNCTION("""COMPUTED_VALUE"""),10785.55)</f>
        <v>10785.55</v>
      </c>
      <c r="D4389" s="3">
        <f>IFERROR(__xludf.DUMMYFUNCTION("""COMPUTED_VALUE"""),10705.0)</f>
        <v>10705</v>
      </c>
      <c r="E4389" s="3">
        <f>IFERROR(__xludf.DUMMYFUNCTION("""COMPUTED_VALUE"""),10716.55)</f>
        <v>10716.55</v>
      </c>
      <c r="F4389" s="3">
        <f>IFERROR(__xludf.DUMMYFUNCTION("""COMPUTED_VALUE"""),0.0)</f>
        <v>0</v>
      </c>
    </row>
    <row r="4390">
      <c r="A4390" s="7">
        <f>IFERROR(__xludf.DUMMYFUNCTION("""COMPUTED_VALUE"""),43231.64583333333)</f>
        <v>43231.64583</v>
      </c>
      <c r="B4390" s="3">
        <f>IFERROR(__xludf.DUMMYFUNCTION("""COMPUTED_VALUE"""),10741.95)</f>
        <v>10741.95</v>
      </c>
      <c r="C4390" s="3">
        <f>IFERROR(__xludf.DUMMYFUNCTION("""COMPUTED_VALUE"""),10812.05)</f>
        <v>10812.05</v>
      </c>
      <c r="D4390" s="3">
        <f>IFERROR(__xludf.DUMMYFUNCTION("""COMPUTED_VALUE"""),10724.45)</f>
        <v>10724.45</v>
      </c>
      <c r="E4390" s="3">
        <f>IFERROR(__xludf.DUMMYFUNCTION("""COMPUTED_VALUE"""),10806.5)</f>
        <v>10806.5</v>
      </c>
      <c r="F4390" s="3">
        <f>IFERROR(__xludf.DUMMYFUNCTION("""COMPUTED_VALUE"""),0.0)</f>
        <v>0</v>
      </c>
    </row>
    <row r="4391">
      <c r="A4391" s="7">
        <f>IFERROR(__xludf.DUMMYFUNCTION("""COMPUTED_VALUE"""),43234.64583333333)</f>
        <v>43234.64583</v>
      </c>
      <c r="B4391" s="3">
        <f>IFERROR(__xludf.DUMMYFUNCTION("""COMPUTED_VALUE"""),10815.15)</f>
        <v>10815.15</v>
      </c>
      <c r="C4391" s="3">
        <f>IFERROR(__xludf.DUMMYFUNCTION("""COMPUTED_VALUE"""),10834.85)</f>
        <v>10834.85</v>
      </c>
      <c r="D4391" s="3">
        <f>IFERROR(__xludf.DUMMYFUNCTION("""COMPUTED_VALUE"""),10774.75)</f>
        <v>10774.75</v>
      </c>
      <c r="E4391" s="3">
        <f>IFERROR(__xludf.DUMMYFUNCTION("""COMPUTED_VALUE"""),10806.6)</f>
        <v>10806.6</v>
      </c>
      <c r="F4391" s="3">
        <f>IFERROR(__xludf.DUMMYFUNCTION("""COMPUTED_VALUE"""),0.0)</f>
        <v>0</v>
      </c>
    </row>
    <row r="4392">
      <c r="A4392" s="7">
        <f>IFERROR(__xludf.DUMMYFUNCTION("""COMPUTED_VALUE"""),43235.64583333333)</f>
        <v>43235.64583</v>
      </c>
      <c r="B4392" s="3">
        <f>IFERROR(__xludf.DUMMYFUNCTION("""COMPUTED_VALUE"""),10812.6)</f>
        <v>10812.6</v>
      </c>
      <c r="C4392" s="3">
        <f>IFERROR(__xludf.DUMMYFUNCTION("""COMPUTED_VALUE"""),10929.2)</f>
        <v>10929.2</v>
      </c>
      <c r="D4392" s="3">
        <f>IFERROR(__xludf.DUMMYFUNCTION("""COMPUTED_VALUE"""),10781.4)</f>
        <v>10781.4</v>
      </c>
      <c r="E4392" s="3">
        <f>IFERROR(__xludf.DUMMYFUNCTION("""COMPUTED_VALUE"""),10801.85)</f>
        <v>10801.85</v>
      </c>
      <c r="F4392" s="3">
        <f>IFERROR(__xludf.DUMMYFUNCTION("""COMPUTED_VALUE"""),0.0)</f>
        <v>0</v>
      </c>
    </row>
    <row r="4393">
      <c r="A4393" s="7">
        <f>IFERROR(__xludf.DUMMYFUNCTION("""COMPUTED_VALUE"""),43236.64583333333)</f>
        <v>43236.64583</v>
      </c>
      <c r="B4393" s="3">
        <f>IFERROR(__xludf.DUMMYFUNCTION("""COMPUTED_VALUE"""),10751.95)</f>
        <v>10751.95</v>
      </c>
      <c r="C4393" s="3">
        <f>IFERROR(__xludf.DUMMYFUNCTION("""COMPUTED_VALUE"""),10790.45)</f>
        <v>10790.45</v>
      </c>
      <c r="D4393" s="3">
        <f>IFERROR(__xludf.DUMMYFUNCTION("""COMPUTED_VALUE"""),10699.7)</f>
        <v>10699.7</v>
      </c>
      <c r="E4393" s="3">
        <f>IFERROR(__xludf.DUMMYFUNCTION("""COMPUTED_VALUE"""),10741.1)</f>
        <v>10741.1</v>
      </c>
      <c r="F4393" s="3">
        <f>IFERROR(__xludf.DUMMYFUNCTION("""COMPUTED_VALUE"""),0.0)</f>
        <v>0</v>
      </c>
    </row>
    <row r="4394">
      <c r="A4394" s="7">
        <f>IFERROR(__xludf.DUMMYFUNCTION("""COMPUTED_VALUE"""),43237.64583333333)</f>
        <v>43237.64583</v>
      </c>
      <c r="B4394" s="3">
        <f>IFERROR(__xludf.DUMMYFUNCTION("""COMPUTED_VALUE"""),10775.6)</f>
        <v>10775.6</v>
      </c>
      <c r="C4394" s="3">
        <f>IFERROR(__xludf.DUMMYFUNCTION("""COMPUTED_VALUE"""),10777.25)</f>
        <v>10777.25</v>
      </c>
      <c r="D4394" s="3">
        <f>IFERROR(__xludf.DUMMYFUNCTION("""COMPUTED_VALUE"""),10664.5)</f>
        <v>10664.5</v>
      </c>
      <c r="E4394" s="3">
        <f>IFERROR(__xludf.DUMMYFUNCTION("""COMPUTED_VALUE"""),10682.7)</f>
        <v>10682.7</v>
      </c>
      <c r="F4394" s="3">
        <f>IFERROR(__xludf.DUMMYFUNCTION("""COMPUTED_VALUE"""),0.0)</f>
        <v>0</v>
      </c>
    </row>
    <row r="4395">
      <c r="A4395" s="7">
        <f>IFERROR(__xludf.DUMMYFUNCTION("""COMPUTED_VALUE"""),43238.64583333333)</f>
        <v>43238.64583</v>
      </c>
      <c r="B4395" s="3">
        <f>IFERROR(__xludf.DUMMYFUNCTION("""COMPUTED_VALUE"""),10671.85)</f>
        <v>10671.85</v>
      </c>
      <c r="C4395" s="3">
        <f>IFERROR(__xludf.DUMMYFUNCTION("""COMPUTED_VALUE"""),10674.95)</f>
        <v>10674.95</v>
      </c>
      <c r="D4395" s="3">
        <f>IFERROR(__xludf.DUMMYFUNCTION("""COMPUTED_VALUE"""),10589.1)</f>
        <v>10589.1</v>
      </c>
      <c r="E4395" s="3">
        <f>IFERROR(__xludf.DUMMYFUNCTION("""COMPUTED_VALUE"""),10596.4)</f>
        <v>10596.4</v>
      </c>
      <c r="F4395" s="3">
        <f>IFERROR(__xludf.DUMMYFUNCTION("""COMPUTED_VALUE"""),0.0)</f>
        <v>0</v>
      </c>
    </row>
    <row r="4396">
      <c r="A4396" s="7">
        <f>IFERROR(__xludf.DUMMYFUNCTION("""COMPUTED_VALUE"""),43241.64583333333)</f>
        <v>43241.64583</v>
      </c>
      <c r="B4396" s="3">
        <f>IFERROR(__xludf.DUMMYFUNCTION("""COMPUTED_VALUE"""),10616.7)</f>
        <v>10616.7</v>
      </c>
      <c r="C4396" s="3">
        <f>IFERROR(__xludf.DUMMYFUNCTION("""COMPUTED_VALUE"""),10621.7)</f>
        <v>10621.7</v>
      </c>
      <c r="D4396" s="3">
        <f>IFERROR(__xludf.DUMMYFUNCTION("""COMPUTED_VALUE"""),10505.8)</f>
        <v>10505.8</v>
      </c>
      <c r="E4396" s="3">
        <f>IFERROR(__xludf.DUMMYFUNCTION("""COMPUTED_VALUE"""),10516.7)</f>
        <v>10516.7</v>
      </c>
      <c r="F4396" s="3">
        <f>IFERROR(__xludf.DUMMYFUNCTION("""COMPUTED_VALUE"""),0.0)</f>
        <v>0</v>
      </c>
    </row>
    <row r="4397">
      <c r="A4397" s="7">
        <f>IFERROR(__xludf.DUMMYFUNCTION("""COMPUTED_VALUE"""),43242.64583333333)</f>
        <v>43242.64583</v>
      </c>
      <c r="B4397" s="3">
        <f>IFERROR(__xludf.DUMMYFUNCTION("""COMPUTED_VALUE"""),10518.45)</f>
        <v>10518.45</v>
      </c>
      <c r="C4397" s="3">
        <f>IFERROR(__xludf.DUMMYFUNCTION("""COMPUTED_VALUE"""),10558.6)</f>
        <v>10558.6</v>
      </c>
      <c r="D4397" s="3">
        <f>IFERROR(__xludf.DUMMYFUNCTION("""COMPUTED_VALUE"""),10490.55)</f>
        <v>10490.55</v>
      </c>
      <c r="E4397" s="3">
        <f>IFERROR(__xludf.DUMMYFUNCTION("""COMPUTED_VALUE"""),10536.7)</f>
        <v>10536.7</v>
      </c>
      <c r="F4397" s="3">
        <f>IFERROR(__xludf.DUMMYFUNCTION("""COMPUTED_VALUE"""),0.0)</f>
        <v>0</v>
      </c>
    </row>
    <row r="4398">
      <c r="A4398" s="7">
        <f>IFERROR(__xludf.DUMMYFUNCTION("""COMPUTED_VALUE"""),43243.64583333333)</f>
        <v>43243.64583</v>
      </c>
      <c r="B4398" s="3">
        <f>IFERROR(__xludf.DUMMYFUNCTION("""COMPUTED_VALUE"""),10521.1)</f>
        <v>10521.1</v>
      </c>
      <c r="C4398" s="3">
        <f>IFERROR(__xludf.DUMMYFUNCTION("""COMPUTED_VALUE"""),10533.55)</f>
        <v>10533.55</v>
      </c>
      <c r="D4398" s="3">
        <f>IFERROR(__xludf.DUMMYFUNCTION("""COMPUTED_VALUE"""),10417.8)</f>
        <v>10417.8</v>
      </c>
      <c r="E4398" s="3">
        <f>IFERROR(__xludf.DUMMYFUNCTION("""COMPUTED_VALUE"""),10430.35)</f>
        <v>10430.35</v>
      </c>
      <c r="F4398" s="3">
        <f>IFERROR(__xludf.DUMMYFUNCTION("""COMPUTED_VALUE"""),0.0)</f>
        <v>0</v>
      </c>
    </row>
    <row r="4399">
      <c r="A4399" s="7">
        <f>IFERROR(__xludf.DUMMYFUNCTION("""COMPUTED_VALUE"""),43244.64583333333)</f>
        <v>43244.64583</v>
      </c>
      <c r="B4399" s="3">
        <f>IFERROR(__xludf.DUMMYFUNCTION("""COMPUTED_VALUE"""),10464.85)</f>
        <v>10464.85</v>
      </c>
      <c r="C4399" s="3">
        <f>IFERROR(__xludf.DUMMYFUNCTION("""COMPUTED_VALUE"""),10535.15)</f>
        <v>10535.15</v>
      </c>
      <c r="D4399" s="3">
        <f>IFERROR(__xludf.DUMMYFUNCTION("""COMPUTED_VALUE"""),10419.8)</f>
        <v>10419.8</v>
      </c>
      <c r="E4399" s="3">
        <f>IFERROR(__xludf.DUMMYFUNCTION("""COMPUTED_VALUE"""),10513.85)</f>
        <v>10513.85</v>
      </c>
      <c r="F4399" s="3">
        <f>IFERROR(__xludf.DUMMYFUNCTION("""COMPUTED_VALUE"""),0.0)</f>
        <v>0</v>
      </c>
    </row>
    <row r="4400">
      <c r="A4400" s="7">
        <f>IFERROR(__xludf.DUMMYFUNCTION("""COMPUTED_VALUE"""),43245.64583333333)</f>
        <v>43245.64583</v>
      </c>
      <c r="B4400" s="3">
        <f>IFERROR(__xludf.DUMMYFUNCTION("""COMPUTED_VALUE"""),10533.05)</f>
        <v>10533.05</v>
      </c>
      <c r="C4400" s="3">
        <f>IFERROR(__xludf.DUMMYFUNCTION("""COMPUTED_VALUE"""),10628.05)</f>
        <v>10628.05</v>
      </c>
      <c r="D4400" s="3">
        <f>IFERROR(__xludf.DUMMYFUNCTION("""COMPUTED_VALUE"""),10524.0)</f>
        <v>10524</v>
      </c>
      <c r="E4400" s="3">
        <f>IFERROR(__xludf.DUMMYFUNCTION("""COMPUTED_VALUE"""),10605.15)</f>
        <v>10605.15</v>
      </c>
      <c r="F4400" s="3">
        <f>IFERROR(__xludf.DUMMYFUNCTION("""COMPUTED_VALUE"""),0.0)</f>
        <v>0</v>
      </c>
    </row>
    <row r="4401">
      <c r="A4401" s="7">
        <f>IFERROR(__xludf.DUMMYFUNCTION("""COMPUTED_VALUE"""),43248.64583333333)</f>
        <v>43248.64583</v>
      </c>
      <c r="B4401" s="3">
        <f>IFERROR(__xludf.DUMMYFUNCTION("""COMPUTED_VALUE"""),10648.35)</f>
        <v>10648.35</v>
      </c>
      <c r="C4401" s="3">
        <f>IFERROR(__xludf.DUMMYFUNCTION("""COMPUTED_VALUE"""),10709.8)</f>
        <v>10709.8</v>
      </c>
      <c r="D4401" s="3">
        <f>IFERROR(__xludf.DUMMYFUNCTION("""COMPUTED_VALUE"""),10640.55)</f>
        <v>10640.55</v>
      </c>
      <c r="E4401" s="3">
        <f>IFERROR(__xludf.DUMMYFUNCTION("""COMPUTED_VALUE"""),10688.65)</f>
        <v>10688.65</v>
      </c>
      <c r="F4401" s="3">
        <f>IFERROR(__xludf.DUMMYFUNCTION("""COMPUTED_VALUE"""),0.0)</f>
        <v>0</v>
      </c>
    </row>
    <row r="4402">
      <c r="A4402" s="7">
        <f>IFERROR(__xludf.DUMMYFUNCTION("""COMPUTED_VALUE"""),43249.64583333333)</f>
        <v>43249.64583</v>
      </c>
      <c r="B4402" s="3">
        <f>IFERROR(__xludf.DUMMYFUNCTION("""COMPUTED_VALUE"""),10689.4)</f>
        <v>10689.4</v>
      </c>
      <c r="C4402" s="3">
        <f>IFERROR(__xludf.DUMMYFUNCTION("""COMPUTED_VALUE"""),10717.25)</f>
        <v>10717.25</v>
      </c>
      <c r="D4402" s="3">
        <f>IFERROR(__xludf.DUMMYFUNCTION("""COMPUTED_VALUE"""),10616.1)</f>
        <v>10616.1</v>
      </c>
      <c r="E4402" s="3">
        <f>IFERROR(__xludf.DUMMYFUNCTION("""COMPUTED_VALUE"""),10633.3)</f>
        <v>10633.3</v>
      </c>
      <c r="F4402" s="3">
        <f>IFERROR(__xludf.DUMMYFUNCTION("""COMPUTED_VALUE"""),0.0)</f>
        <v>0</v>
      </c>
    </row>
    <row r="4403">
      <c r="A4403" s="7">
        <f>IFERROR(__xludf.DUMMYFUNCTION("""COMPUTED_VALUE"""),43250.64583333333)</f>
        <v>43250.64583</v>
      </c>
      <c r="B4403" s="3">
        <f>IFERROR(__xludf.DUMMYFUNCTION("""COMPUTED_VALUE"""),10579.0)</f>
        <v>10579</v>
      </c>
      <c r="C4403" s="3">
        <f>IFERROR(__xludf.DUMMYFUNCTION("""COMPUTED_VALUE"""),10648.7)</f>
        <v>10648.7</v>
      </c>
      <c r="D4403" s="3">
        <f>IFERROR(__xludf.DUMMYFUNCTION("""COMPUTED_VALUE"""),10558.45)</f>
        <v>10558.45</v>
      </c>
      <c r="E4403" s="3">
        <f>IFERROR(__xludf.DUMMYFUNCTION("""COMPUTED_VALUE"""),10614.35)</f>
        <v>10614.35</v>
      </c>
      <c r="F4403" s="3">
        <f>IFERROR(__xludf.DUMMYFUNCTION("""COMPUTED_VALUE"""),0.0)</f>
        <v>0</v>
      </c>
    </row>
    <row r="4404">
      <c r="A4404" s="7">
        <f>IFERROR(__xludf.DUMMYFUNCTION("""COMPUTED_VALUE"""),43251.64583333333)</f>
        <v>43251.64583</v>
      </c>
      <c r="B4404" s="3">
        <f>IFERROR(__xludf.DUMMYFUNCTION("""COMPUTED_VALUE"""),10670.1)</f>
        <v>10670.1</v>
      </c>
      <c r="C4404" s="3">
        <f>IFERROR(__xludf.DUMMYFUNCTION("""COMPUTED_VALUE"""),10763.8)</f>
        <v>10763.8</v>
      </c>
      <c r="D4404" s="3">
        <f>IFERROR(__xludf.DUMMYFUNCTION("""COMPUTED_VALUE"""),10620.4)</f>
        <v>10620.4</v>
      </c>
      <c r="E4404" s="3">
        <f>IFERROR(__xludf.DUMMYFUNCTION("""COMPUTED_VALUE"""),10736.15)</f>
        <v>10736.15</v>
      </c>
      <c r="F4404" s="3">
        <f>IFERROR(__xludf.DUMMYFUNCTION("""COMPUTED_VALUE"""),0.0)</f>
        <v>0</v>
      </c>
    </row>
    <row r="4405">
      <c r="A4405" s="7">
        <f>IFERROR(__xludf.DUMMYFUNCTION("""COMPUTED_VALUE"""),43252.64583333333)</f>
        <v>43252.64583</v>
      </c>
      <c r="B4405" s="3">
        <f>IFERROR(__xludf.DUMMYFUNCTION("""COMPUTED_VALUE"""),10738.45)</f>
        <v>10738.45</v>
      </c>
      <c r="C4405" s="3">
        <f>IFERROR(__xludf.DUMMYFUNCTION("""COMPUTED_VALUE"""),10764.75)</f>
        <v>10764.75</v>
      </c>
      <c r="D4405" s="3">
        <f>IFERROR(__xludf.DUMMYFUNCTION("""COMPUTED_VALUE"""),10681.5)</f>
        <v>10681.5</v>
      </c>
      <c r="E4405" s="3">
        <f>IFERROR(__xludf.DUMMYFUNCTION("""COMPUTED_VALUE"""),10696.2)</f>
        <v>10696.2</v>
      </c>
      <c r="F4405" s="3">
        <f>IFERROR(__xludf.DUMMYFUNCTION("""COMPUTED_VALUE"""),0.0)</f>
        <v>0</v>
      </c>
    </row>
    <row r="4406">
      <c r="A4406" s="7">
        <f>IFERROR(__xludf.DUMMYFUNCTION("""COMPUTED_VALUE"""),43255.64583333333)</f>
        <v>43255.64583</v>
      </c>
      <c r="B4406" s="3">
        <f>IFERROR(__xludf.DUMMYFUNCTION("""COMPUTED_VALUE"""),10765.95)</f>
        <v>10765.95</v>
      </c>
      <c r="C4406" s="3">
        <f>IFERROR(__xludf.DUMMYFUNCTION("""COMPUTED_VALUE"""),10770.3)</f>
        <v>10770.3</v>
      </c>
      <c r="D4406" s="3">
        <f>IFERROR(__xludf.DUMMYFUNCTION("""COMPUTED_VALUE"""),10618.35)</f>
        <v>10618.35</v>
      </c>
      <c r="E4406" s="3">
        <f>IFERROR(__xludf.DUMMYFUNCTION("""COMPUTED_VALUE"""),10628.5)</f>
        <v>10628.5</v>
      </c>
      <c r="F4406" s="3">
        <f>IFERROR(__xludf.DUMMYFUNCTION("""COMPUTED_VALUE"""),0.0)</f>
        <v>0</v>
      </c>
    </row>
    <row r="4407">
      <c r="A4407" s="7">
        <f>IFERROR(__xludf.DUMMYFUNCTION("""COMPUTED_VALUE"""),43256.64583333333)</f>
        <v>43256.64583</v>
      </c>
      <c r="B4407" s="3">
        <f>IFERROR(__xludf.DUMMYFUNCTION("""COMPUTED_VALUE"""),10630.7)</f>
        <v>10630.7</v>
      </c>
      <c r="C4407" s="3">
        <f>IFERROR(__xludf.DUMMYFUNCTION("""COMPUTED_VALUE"""),10633.15)</f>
        <v>10633.15</v>
      </c>
      <c r="D4407" s="3">
        <f>IFERROR(__xludf.DUMMYFUNCTION("""COMPUTED_VALUE"""),10550.9)</f>
        <v>10550.9</v>
      </c>
      <c r="E4407" s="3">
        <f>IFERROR(__xludf.DUMMYFUNCTION("""COMPUTED_VALUE"""),10593.15)</f>
        <v>10593.15</v>
      </c>
      <c r="F4407" s="3">
        <f>IFERROR(__xludf.DUMMYFUNCTION("""COMPUTED_VALUE"""),0.0)</f>
        <v>0</v>
      </c>
    </row>
    <row r="4408">
      <c r="A4408" s="7">
        <f>IFERROR(__xludf.DUMMYFUNCTION("""COMPUTED_VALUE"""),43257.64583333333)</f>
        <v>43257.64583</v>
      </c>
      <c r="B4408" s="3">
        <f>IFERROR(__xludf.DUMMYFUNCTION("""COMPUTED_VALUE"""),10603.45)</f>
        <v>10603.45</v>
      </c>
      <c r="C4408" s="3">
        <f>IFERROR(__xludf.DUMMYFUNCTION("""COMPUTED_VALUE"""),10698.35)</f>
        <v>10698.35</v>
      </c>
      <c r="D4408" s="3">
        <f>IFERROR(__xludf.DUMMYFUNCTION("""COMPUTED_VALUE"""),10587.5)</f>
        <v>10587.5</v>
      </c>
      <c r="E4408" s="3">
        <f>IFERROR(__xludf.DUMMYFUNCTION("""COMPUTED_VALUE"""),10684.65)</f>
        <v>10684.65</v>
      </c>
      <c r="F4408" s="3">
        <f>IFERROR(__xludf.DUMMYFUNCTION("""COMPUTED_VALUE"""),0.0)</f>
        <v>0</v>
      </c>
    </row>
    <row r="4409">
      <c r="A4409" s="7">
        <f>IFERROR(__xludf.DUMMYFUNCTION("""COMPUTED_VALUE"""),43258.64583333333)</f>
        <v>43258.64583</v>
      </c>
      <c r="B4409" s="3">
        <f>IFERROR(__xludf.DUMMYFUNCTION("""COMPUTED_VALUE"""),10722.6)</f>
        <v>10722.6</v>
      </c>
      <c r="C4409" s="3">
        <f>IFERROR(__xludf.DUMMYFUNCTION("""COMPUTED_VALUE"""),10818.0)</f>
        <v>10818</v>
      </c>
      <c r="D4409" s="3">
        <f>IFERROR(__xludf.DUMMYFUNCTION("""COMPUTED_VALUE"""),10722.6)</f>
        <v>10722.6</v>
      </c>
      <c r="E4409" s="3">
        <f>IFERROR(__xludf.DUMMYFUNCTION("""COMPUTED_VALUE"""),10768.35)</f>
        <v>10768.35</v>
      </c>
      <c r="F4409" s="3">
        <f>IFERROR(__xludf.DUMMYFUNCTION("""COMPUTED_VALUE"""),0.0)</f>
        <v>0</v>
      </c>
    </row>
    <row r="4410">
      <c r="A4410" s="7">
        <f>IFERROR(__xludf.DUMMYFUNCTION("""COMPUTED_VALUE"""),43259.64583333333)</f>
        <v>43259.64583</v>
      </c>
      <c r="B4410" s="3">
        <f>IFERROR(__xludf.DUMMYFUNCTION("""COMPUTED_VALUE"""),10736.4)</f>
        <v>10736.4</v>
      </c>
      <c r="C4410" s="3">
        <f>IFERROR(__xludf.DUMMYFUNCTION("""COMPUTED_VALUE"""),10779.45)</f>
        <v>10779.45</v>
      </c>
      <c r="D4410" s="3">
        <f>IFERROR(__xludf.DUMMYFUNCTION("""COMPUTED_VALUE"""),10709.05)</f>
        <v>10709.05</v>
      </c>
      <c r="E4410" s="3">
        <f>IFERROR(__xludf.DUMMYFUNCTION("""COMPUTED_VALUE"""),10767.65)</f>
        <v>10767.65</v>
      </c>
      <c r="F4410" s="3">
        <f>IFERROR(__xludf.DUMMYFUNCTION("""COMPUTED_VALUE"""),0.0)</f>
        <v>0</v>
      </c>
    </row>
    <row r="4411">
      <c r="A4411" s="7">
        <f>IFERROR(__xludf.DUMMYFUNCTION("""COMPUTED_VALUE"""),43262.64583333333)</f>
        <v>43262.64583</v>
      </c>
      <c r="B4411" s="3">
        <f>IFERROR(__xludf.DUMMYFUNCTION("""COMPUTED_VALUE"""),10781.85)</f>
        <v>10781.85</v>
      </c>
      <c r="C4411" s="3">
        <f>IFERROR(__xludf.DUMMYFUNCTION("""COMPUTED_VALUE"""),10850.55)</f>
        <v>10850.55</v>
      </c>
      <c r="D4411" s="3">
        <f>IFERROR(__xludf.DUMMYFUNCTION("""COMPUTED_VALUE"""),10777.05)</f>
        <v>10777.05</v>
      </c>
      <c r="E4411" s="3">
        <f>IFERROR(__xludf.DUMMYFUNCTION("""COMPUTED_VALUE"""),10786.95)</f>
        <v>10786.95</v>
      </c>
      <c r="F4411" s="3">
        <f>IFERROR(__xludf.DUMMYFUNCTION("""COMPUTED_VALUE"""),0.0)</f>
        <v>0</v>
      </c>
    </row>
    <row r="4412">
      <c r="A4412" s="7">
        <f>IFERROR(__xludf.DUMMYFUNCTION("""COMPUTED_VALUE"""),43263.64583333333)</f>
        <v>43263.64583</v>
      </c>
      <c r="B4412" s="3">
        <f>IFERROR(__xludf.DUMMYFUNCTION("""COMPUTED_VALUE"""),10816.15)</f>
        <v>10816.15</v>
      </c>
      <c r="C4412" s="3">
        <f>IFERROR(__xludf.DUMMYFUNCTION("""COMPUTED_VALUE"""),10856.55)</f>
        <v>10856.55</v>
      </c>
      <c r="D4412" s="3">
        <f>IFERROR(__xludf.DUMMYFUNCTION("""COMPUTED_VALUE"""),10789.4)</f>
        <v>10789.4</v>
      </c>
      <c r="E4412" s="3">
        <f>IFERROR(__xludf.DUMMYFUNCTION("""COMPUTED_VALUE"""),10842.85)</f>
        <v>10842.85</v>
      </c>
      <c r="F4412" s="3">
        <f>IFERROR(__xludf.DUMMYFUNCTION("""COMPUTED_VALUE"""),0.0)</f>
        <v>0</v>
      </c>
    </row>
    <row r="4413">
      <c r="A4413" s="7">
        <f>IFERROR(__xludf.DUMMYFUNCTION("""COMPUTED_VALUE"""),43264.64583333333)</f>
        <v>43264.64583</v>
      </c>
      <c r="B4413" s="3">
        <f>IFERROR(__xludf.DUMMYFUNCTION("""COMPUTED_VALUE"""),10887.5)</f>
        <v>10887.5</v>
      </c>
      <c r="C4413" s="3">
        <f>IFERROR(__xludf.DUMMYFUNCTION("""COMPUTED_VALUE"""),10893.25)</f>
        <v>10893.25</v>
      </c>
      <c r="D4413" s="3">
        <f>IFERROR(__xludf.DUMMYFUNCTION("""COMPUTED_VALUE"""),10842.65)</f>
        <v>10842.65</v>
      </c>
      <c r="E4413" s="3">
        <f>IFERROR(__xludf.DUMMYFUNCTION("""COMPUTED_VALUE"""),10856.7)</f>
        <v>10856.7</v>
      </c>
      <c r="F4413" s="3">
        <f>IFERROR(__xludf.DUMMYFUNCTION("""COMPUTED_VALUE"""),0.0)</f>
        <v>0</v>
      </c>
    </row>
    <row r="4414">
      <c r="A4414" s="7">
        <f>IFERROR(__xludf.DUMMYFUNCTION("""COMPUTED_VALUE"""),43265.64583333333)</f>
        <v>43265.64583</v>
      </c>
      <c r="B4414" s="3">
        <f>IFERROR(__xludf.DUMMYFUNCTION("""COMPUTED_VALUE"""),10832.9)</f>
        <v>10832.9</v>
      </c>
      <c r="C4414" s="3">
        <f>IFERROR(__xludf.DUMMYFUNCTION("""COMPUTED_VALUE"""),10833.7)</f>
        <v>10833.7</v>
      </c>
      <c r="D4414" s="3">
        <f>IFERROR(__xludf.DUMMYFUNCTION("""COMPUTED_VALUE"""),10773.55)</f>
        <v>10773.55</v>
      </c>
      <c r="E4414" s="3">
        <f>IFERROR(__xludf.DUMMYFUNCTION("""COMPUTED_VALUE"""),10808.05)</f>
        <v>10808.05</v>
      </c>
      <c r="F4414" s="3">
        <f>IFERROR(__xludf.DUMMYFUNCTION("""COMPUTED_VALUE"""),0.0)</f>
        <v>0</v>
      </c>
    </row>
    <row r="4415">
      <c r="A4415" s="7">
        <f>IFERROR(__xludf.DUMMYFUNCTION("""COMPUTED_VALUE"""),43266.64583333333)</f>
        <v>43266.64583</v>
      </c>
      <c r="B4415" s="3">
        <f>IFERROR(__xludf.DUMMYFUNCTION("""COMPUTED_VALUE"""),10808.65)</f>
        <v>10808.65</v>
      </c>
      <c r="C4415" s="3">
        <f>IFERROR(__xludf.DUMMYFUNCTION("""COMPUTED_VALUE"""),10834.0)</f>
        <v>10834</v>
      </c>
      <c r="D4415" s="3">
        <f>IFERROR(__xludf.DUMMYFUNCTION("""COMPUTED_VALUE"""),10755.4)</f>
        <v>10755.4</v>
      </c>
      <c r="E4415" s="3">
        <f>IFERROR(__xludf.DUMMYFUNCTION("""COMPUTED_VALUE"""),10817.7)</f>
        <v>10817.7</v>
      </c>
      <c r="F4415" s="3">
        <f>IFERROR(__xludf.DUMMYFUNCTION("""COMPUTED_VALUE"""),0.0)</f>
        <v>0</v>
      </c>
    </row>
    <row r="4416">
      <c r="A4416" s="7">
        <f>IFERROR(__xludf.DUMMYFUNCTION("""COMPUTED_VALUE"""),43269.64583333333)</f>
        <v>43269.64583</v>
      </c>
      <c r="B4416" s="3">
        <f>IFERROR(__xludf.DUMMYFUNCTION("""COMPUTED_VALUE"""),10830.2)</f>
        <v>10830.2</v>
      </c>
      <c r="C4416" s="3">
        <f>IFERROR(__xludf.DUMMYFUNCTION("""COMPUTED_VALUE"""),10830.2)</f>
        <v>10830.2</v>
      </c>
      <c r="D4416" s="3">
        <f>IFERROR(__xludf.DUMMYFUNCTION("""COMPUTED_VALUE"""),10787.35)</f>
        <v>10787.35</v>
      </c>
      <c r="E4416" s="3">
        <f>IFERROR(__xludf.DUMMYFUNCTION("""COMPUTED_VALUE"""),10799.85)</f>
        <v>10799.85</v>
      </c>
      <c r="F4416" s="3">
        <f>IFERROR(__xludf.DUMMYFUNCTION("""COMPUTED_VALUE"""),0.0)</f>
        <v>0</v>
      </c>
    </row>
    <row r="4417">
      <c r="A4417" s="7">
        <f>IFERROR(__xludf.DUMMYFUNCTION("""COMPUTED_VALUE"""),43270.64583333333)</f>
        <v>43270.64583</v>
      </c>
      <c r="B4417" s="3">
        <f>IFERROR(__xludf.DUMMYFUNCTION("""COMPUTED_VALUE"""),10789.45)</f>
        <v>10789.45</v>
      </c>
      <c r="C4417" s="3">
        <f>IFERROR(__xludf.DUMMYFUNCTION("""COMPUTED_VALUE"""),10789.45)</f>
        <v>10789.45</v>
      </c>
      <c r="D4417" s="3">
        <f>IFERROR(__xludf.DUMMYFUNCTION("""COMPUTED_VALUE"""),10701.2)</f>
        <v>10701.2</v>
      </c>
      <c r="E4417" s="3">
        <f>IFERROR(__xludf.DUMMYFUNCTION("""COMPUTED_VALUE"""),10710.45)</f>
        <v>10710.45</v>
      </c>
      <c r="F4417" s="3">
        <f>IFERROR(__xludf.DUMMYFUNCTION("""COMPUTED_VALUE"""),0.0)</f>
        <v>0</v>
      </c>
    </row>
    <row r="4418">
      <c r="A4418" s="7">
        <f>IFERROR(__xludf.DUMMYFUNCTION("""COMPUTED_VALUE"""),43271.64583333333)</f>
        <v>43271.64583</v>
      </c>
      <c r="B4418" s="3">
        <f>IFERROR(__xludf.DUMMYFUNCTION("""COMPUTED_VALUE"""),10734.65)</f>
        <v>10734.65</v>
      </c>
      <c r="C4418" s="3">
        <f>IFERROR(__xludf.DUMMYFUNCTION("""COMPUTED_VALUE"""),10781.8)</f>
        <v>10781.8</v>
      </c>
      <c r="D4418" s="3">
        <f>IFERROR(__xludf.DUMMYFUNCTION("""COMPUTED_VALUE"""),10724.05)</f>
        <v>10724.05</v>
      </c>
      <c r="E4418" s="3">
        <f>IFERROR(__xludf.DUMMYFUNCTION("""COMPUTED_VALUE"""),10772.05)</f>
        <v>10772.05</v>
      </c>
      <c r="F4418" s="3">
        <f>IFERROR(__xludf.DUMMYFUNCTION("""COMPUTED_VALUE"""),0.0)</f>
        <v>0</v>
      </c>
    </row>
    <row r="4419">
      <c r="A4419" s="7">
        <f>IFERROR(__xludf.DUMMYFUNCTION("""COMPUTED_VALUE"""),43272.64583333333)</f>
        <v>43272.64583</v>
      </c>
      <c r="B4419" s="3">
        <f>IFERROR(__xludf.DUMMYFUNCTION("""COMPUTED_VALUE"""),10808.45)</f>
        <v>10808.45</v>
      </c>
      <c r="C4419" s="3">
        <f>IFERROR(__xludf.DUMMYFUNCTION("""COMPUTED_VALUE"""),10809.6)</f>
        <v>10809.6</v>
      </c>
      <c r="D4419" s="3">
        <f>IFERROR(__xludf.DUMMYFUNCTION("""COMPUTED_VALUE"""),10725.9)</f>
        <v>10725.9</v>
      </c>
      <c r="E4419" s="3">
        <f>IFERROR(__xludf.DUMMYFUNCTION("""COMPUTED_VALUE"""),10741.1)</f>
        <v>10741.1</v>
      </c>
      <c r="F4419" s="3">
        <f>IFERROR(__xludf.DUMMYFUNCTION("""COMPUTED_VALUE"""),0.0)</f>
        <v>0</v>
      </c>
    </row>
    <row r="4420">
      <c r="A4420" s="7">
        <f>IFERROR(__xludf.DUMMYFUNCTION("""COMPUTED_VALUE"""),43273.64583333333)</f>
        <v>43273.64583</v>
      </c>
      <c r="B4420" s="3">
        <f>IFERROR(__xludf.DUMMYFUNCTION("""COMPUTED_VALUE"""),10742.7)</f>
        <v>10742.7</v>
      </c>
      <c r="C4420" s="3">
        <f>IFERROR(__xludf.DUMMYFUNCTION("""COMPUTED_VALUE"""),10837.0)</f>
        <v>10837</v>
      </c>
      <c r="D4420" s="3">
        <f>IFERROR(__xludf.DUMMYFUNCTION("""COMPUTED_VALUE"""),10710.45)</f>
        <v>10710.45</v>
      </c>
      <c r="E4420" s="3">
        <f>IFERROR(__xludf.DUMMYFUNCTION("""COMPUTED_VALUE"""),10821.85)</f>
        <v>10821.85</v>
      </c>
      <c r="F4420" s="3">
        <f>IFERROR(__xludf.DUMMYFUNCTION("""COMPUTED_VALUE"""),0.0)</f>
        <v>0</v>
      </c>
    </row>
    <row r="4421">
      <c r="A4421" s="7">
        <f>IFERROR(__xludf.DUMMYFUNCTION("""COMPUTED_VALUE"""),43276.64583333333)</f>
        <v>43276.64583</v>
      </c>
      <c r="B4421" s="3">
        <f>IFERROR(__xludf.DUMMYFUNCTION("""COMPUTED_VALUE"""),10822.9)</f>
        <v>10822.9</v>
      </c>
      <c r="C4421" s="3">
        <f>IFERROR(__xludf.DUMMYFUNCTION("""COMPUTED_VALUE"""),10831.05)</f>
        <v>10831.05</v>
      </c>
      <c r="D4421" s="3">
        <f>IFERROR(__xludf.DUMMYFUNCTION("""COMPUTED_VALUE"""),10753.05)</f>
        <v>10753.05</v>
      </c>
      <c r="E4421" s="3">
        <f>IFERROR(__xludf.DUMMYFUNCTION("""COMPUTED_VALUE"""),10762.45)</f>
        <v>10762.45</v>
      </c>
      <c r="F4421" s="3">
        <f>IFERROR(__xludf.DUMMYFUNCTION("""COMPUTED_VALUE"""),0.0)</f>
        <v>0</v>
      </c>
    </row>
    <row r="4422">
      <c r="A4422" s="7">
        <f>IFERROR(__xludf.DUMMYFUNCTION("""COMPUTED_VALUE"""),43277.64583333333)</f>
        <v>43277.64583</v>
      </c>
      <c r="B4422" s="3">
        <f>IFERROR(__xludf.DUMMYFUNCTION("""COMPUTED_VALUE"""),10742.7)</f>
        <v>10742.7</v>
      </c>
      <c r="C4422" s="3">
        <f>IFERROR(__xludf.DUMMYFUNCTION("""COMPUTED_VALUE"""),10805.25)</f>
        <v>10805.25</v>
      </c>
      <c r="D4422" s="3">
        <f>IFERROR(__xludf.DUMMYFUNCTION("""COMPUTED_VALUE"""),10732.55)</f>
        <v>10732.55</v>
      </c>
      <c r="E4422" s="3">
        <f>IFERROR(__xludf.DUMMYFUNCTION("""COMPUTED_VALUE"""),10769.15)</f>
        <v>10769.15</v>
      </c>
      <c r="F4422" s="3">
        <f>IFERROR(__xludf.DUMMYFUNCTION("""COMPUTED_VALUE"""),0.0)</f>
        <v>0</v>
      </c>
    </row>
    <row r="4423">
      <c r="A4423" s="7">
        <f>IFERROR(__xludf.DUMMYFUNCTION("""COMPUTED_VALUE"""),43278.64583333333)</f>
        <v>43278.64583</v>
      </c>
      <c r="B4423" s="3">
        <f>IFERROR(__xludf.DUMMYFUNCTION("""COMPUTED_VALUE"""),10785.5)</f>
        <v>10785.5</v>
      </c>
      <c r="C4423" s="3">
        <f>IFERROR(__xludf.DUMMYFUNCTION("""COMPUTED_VALUE"""),10785.5)</f>
        <v>10785.5</v>
      </c>
      <c r="D4423" s="3">
        <f>IFERROR(__xludf.DUMMYFUNCTION("""COMPUTED_VALUE"""),10652.4)</f>
        <v>10652.4</v>
      </c>
      <c r="E4423" s="3">
        <f>IFERROR(__xludf.DUMMYFUNCTION("""COMPUTED_VALUE"""),10671.4)</f>
        <v>10671.4</v>
      </c>
      <c r="F4423" s="3">
        <f>IFERROR(__xludf.DUMMYFUNCTION("""COMPUTED_VALUE"""),0.0)</f>
        <v>0</v>
      </c>
    </row>
    <row r="4424">
      <c r="A4424" s="7">
        <f>IFERROR(__xludf.DUMMYFUNCTION("""COMPUTED_VALUE"""),43279.64583333333)</f>
        <v>43279.64583</v>
      </c>
      <c r="B4424" s="3">
        <f>IFERROR(__xludf.DUMMYFUNCTION("""COMPUTED_VALUE"""),10660.8)</f>
        <v>10660.8</v>
      </c>
      <c r="C4424" s="3">
        <f>IFERROR(__xludf.DUMMYFUNCTION("""COMPUTED_VALUE"""),10674.2)</f>
        <v>10674.2</v>
      </c>
      <c r="D4424" s="3">
        <f>IFERROR(__xludf.DUMMYFUNCTION("""COMPUTED_VALUE"""),10557.7)</f>
        <v>10557.7</v>
      </c>
      <c r="E4424" s="3">
        <f>IFERROR(__xludf.DUMMYFUNCTION("""COMPUTED_VALUE"""),10589.1)</f>
        <v>10589.1</v>
      </c>
      <c r="F4424" s="3">
        <f>IFERROR(__xludf.DUMMYFUNCTION("""COMPUTED_VALUE"""),0.0)</f>
        <v>0</v>
      </c>
    </row>
    <row r="4425">
      <c r="A4425" s="7">
        <f>IFERROR(__xludf.DUMMYFUNCTION("""COMPUTED_VALUE"""),43280.64583333333)</f>
        <v>43280.64583</v>
      </c>
      <c r="B4425" s="3">
        <f>IFERROR(__xludf.DUMMYFUNCTION("""COMPUTED_VALUE"""),10612.85)</f>
        <v>10612.85</v>
      </c>
      <c r="C4425" s="3">
        <f>IFERROR(__xludf.DUMMYFUNCTION("""COMPUTED_VALUE"""),10723.05)</f>
        <v>10723.05</v>
      </c>
      <c r="D4425" s="3">
        <f>IFERROR(__xludf.DUMMYFUNCTION("""COMPUTED_VALUE"""),10612.35)</f>
        <v>10612.35</v>
      </c>
      <c r="E4425" s="3">
        <f>IFERROR(__xludf.DUMMYFUNCTION("""COMPUTED_VALUE"""),10714.3)</f>
        <v>10714.3</v>
      </c>
      <c r="F4425" s="3">
        <f>IFERROR(__xludf.DUMMYFUNCTION("""COMPUTED_VALUE"""),0.0)</f>
        <v>0</v>
      </c>
    </row>
    <row r="4426">
      <c r="A4426" s="7">
        <f>IFERROR(__xludf.DUMMYFUNCTION("""COMPUTED_VALUE"""),43283.64583333333)</f>
        <v>43283.64583</v>
      </c>
      <c r="B4426" s="3">
        <f>IFERROR(__xludf.DUMMYFUNCTION("""COMPUTED_VALUE"""),10732.35)</f>
        <v>10732.35</v>
      </c>
      <c r="C4426" s="3">
        <f>IFERROR(__xludf.DUMMYFUNCTION("""COMPUTED_VALUE"""),10736.15)</f>
        <v>10736.15</v>
      </c>
      <c r="D4426" s="3">
        <f>IFERROR(__xludf.DUMMYFUNCTION("""COMPUTED_VALUE"""),10604.65)</f>
        <v>10604.65</v>
      </c>
      <c r="E4426" s="3">
        <f>IFERROR(__xludf.DUMMYFUNCTION("""COMPUTED_VALUE"""),10657.3)</f>
        <v>10657.3</v>
      </c>
      <c r="F4426" s="3">
        <f>IFERROR(__xludf.DUMMYFUNCTION("""COMPUTED_VALUE"""),0.0)</f>
        <v>0</v>
      </c>
    </row>
    <row r="4427">
      <c r="A4427" s="7">
        <f>IFERROR(__xludf.DUMMYFUNCTION("""COMPUTED_VALUE"""),43284.64583333333)</f>
        <v>43284.64583</v>
      </c>
      <c r="B4427" s="3">
        <f>IFERROR(__xludf.DUMMYFUNCTION("""COMPUTED_VALUE"""),10668.6)</f>
        <v>10668.6</v>
      </c>
      <c r="C4427" s="3">
        <f>IFERROR(__xludf.DUMMYFUNCTION("""COMPUTED_VALUE"""),10713.3)</f>
        <v>10713.3</v>
      </c>
      <c r="D4427" s="3">
        <f>IFERROR(__xludf.DUMMYFUNCTION("""COMPUTED_VALUE"""),10630.25)</f>
        <v>10630.25</v>
      </c>
      <c r="E4427" s="3">
        <f>IFERROR(__xludf.DUMMYFUNCTION("""COMPUTED_VALUE"""),10699.9)</f>
        <v>10699.9</v>
      </c>
      <c r="F4427" s="3">
        <f>IFERROR(__xludf.DUMMYFUNCTION("""COMPUTED_VALUE"""),0.0)</f>
        <v>0</v>
      </c>
    </row>
    <row r="4428">
      <c r="A4428" s="7">
        <f>IFERROR(__xludf.DUMMYFUNCTION("""COMPUTED_VALUE"""),43285.64583333333)</f>
        <v>43285.64583</v>
      </c>
      <c r="B4428" s="3">
        <f>IFERROR(__xludf.DUMMYFUNCTION("""COMPUTED_VALUE"""),10715.0)</f>
        <v>10715</v>
      </c>
      <c r="C4428" s="3">
        <f>IFERROR(__xludf.DUMMYFUNCTION("""COMPUTED_VALUE"""),10777.15)</f>
        <v>10777.15</v>
      </c>
      <c r="D4428" s="3">
        <f>IFERROR(__xludf.DUMMYFUNCTION("""COMPUTED_VALUE"""),10677.75)</f>
        <v>10677.75</v>
      </c>
      <c r="E4428" s="3">
        <f>IFERROR(__xludf.DUMMYFUNCTION("""COMPUTED_VALUE"""),10769.9)</f>
        <v>10769.9</v>
      </c>
      <c r="F4428" s="3">
        <f>IFERROR(__xludf.DUMMYFUNCTION("""COMPUTED_VALUE"""),0.0)</f>
        <v>0</v>
      </c>
    </row>
    <row r="4429">
      <c r="A4429" s="7">
        <f>IFERROR(__xludf.DUMMYFUNCTION("""COMPUTED_VALUE"""),43286.64583333333)</f>
        <v>43286.64583</v>
      </c>
      <c r="B4429" s="3">
        <f>IFERROR(__xludf.DUMMYFUNCTION("""COMPUTED_VALUE"""),10786.05)</f>
        <v>10786.05</v>
      </c>
      <c r="C4429" s="3">
        <f>IFERROR(__xludf.DUMMYFUNCTION("""COMPUTED_VALUE"""),10786.05)</f>
        <v>10786.05</v>
      </c>
      <c r="D4429" s="3">
        <f>IFERROR(__xludf.DUMMYFUNCTION("""COMPUTED_VALUE"""),10726.25)</f>
        <v>10726.25</v>
      </c>
      <c r="E4429" s="3">
        <f>IFERROR(__xludf.DUMMYFUNCTION("""COMPUTED_VALUE"""),10749.75)</f>
        <v>10749.75</v>
      </c>
      <c r="F4429" s="3">
        <f>IFERROR(__xludf.DUMMYFUNCTION("""COMPUTED_VALUE"""),0.0)</f>
        <v>0</v>
      </c>
    </row>
    <row r="4430">
      <c r="A4430" s="7">
        <f>IFERROR(__xludf.DUMMYFUNCTION("""COMPUTED_VALUE"""),43287.64583333333)</f>
        <v>43287.64583</v>
      </c>
      <c r="B4430" s="3">
        <f>IFERROR(__xludf.DUMMYFUNCTION("""COMPUTED_VALUE"""),10744.15)</f>
        <v>10744.15</v>
      </c>
      <c r="C4430" s="3">
        <f>IFERROR(__xludf.DUMMYFUNCTION("""COMPUTED_VALUE"""),10816.35)</f>
        <v>10816.35</v>
      </c>
      <c r="D4430" s="3">
        <f>IFERROR(__xludf.DUMMYFUNCTION("""COMPUTED_VALUE"""),10735.05)</f>
        <v>10735.05</v>
      </c>
      <c r="E4430" s="3">
        <f>IFERROR(__xludf.DUMMYFUNCTION("""COMPUTED_VALUE"""),10772.65)</f>
        <v>10772.65</v>
      </c>
      <c r="F4430" s="3">
        <f>IFERROR(__xludf.DUMMYFUNCTION("""COMPUTED_VALUE"""),0.0)</f>
        <v>0</v>
      </c>
    </row>
    <row r="4431">
      <c r="A4431" s="7">
        <f>IFERROR(__xludf.DUMMYFUNCTION("""COMPUTED_VALUE"""),43290.64583333333)</f>
        <v>43290.64583</v>
      </c>
      <c r="B4431" s="3">
        <f>IFERROR(__xludf.DUMMYFUNCTION("""COMPUTED_VALUE"""),10838.3)</f>
        <v>10838.3</v>
      </c>
      <c r="C4431" s="3">
        <f>IFERROR(__xludf.DUMMYFUNCTION("""COMPUTED_VALUE"""),10860.35)</f>
        <v>10860.35</v>
      </c>
      <c r="D4431" s="3">
        <f>IFERROR(__xludf.DUMMYFUNCTION("""COMPUTED_VALUE"""),10807.15)</f>
        <v>10807.15</v>
      </c>
      <c r="E4431" s="3">
        <f>IFERROR(__xludf.DUMMYFUNCTION("""COMPUTED_VALUE"""),10852.9)</f>
        <v>10852.9</v>
      </c>
      <c r="F4431" s="3">
        <f>IFERROR(__xludf.DUMMYFUNCTION("""COMPUTED_VALUE"""),0.0)</f>
        <v>0</v>
      </c>
    </row>
    <row r="4432">
      <c r="A4432" s="7">
        <f>IFERROR(__xludf.DUMMYFUNCTION("""COMPUTED_VALUE"""),43291.64583333333)</f>
        <v>43291.64583</v>
      </c>
      <c r="B4432" s="3">
        <f>IFERROR(__xludf.DUMMYFUNCTION("""COMPUTED_VALUE"""),10902.75)</f>
        <v>10902.75</v>
      </c>
      <c r="C4432" s="3">
        <f>IFERROR(__xludf.DUMMYFUNCTION("""COMPUTED_VALUE"""),10956.9)</f>
        <v>10956.9</v>
      </c>
      <c r="D4432" s="3">
        <f>IFERROR(__xludf.DUMMYFUNCTION("""COMPUTED_VALUE"""),10876.65)</f>
        <v>10876.65</v>
      </c>
      <c r="E4432" s="3">
        <f>IFERROR(__xludf.DUMMYFUNCTION("""COMPUTED_VALUE"""),10947.25)</f>
        <v>10947.25</v>
      </c>
      <c r="F4432" s="3">
        <f>IFERROR(__xludf.DUMMYFUNCTION("""COMPUTED_VALUE"""),0.0)</f>
        <v>0</v>
      </c>
    </row>
    <row r="4433">
      <c r="A4433" s="7">
        <f>IFERROR(__xludf.DUMMYFUNCTION("""COMPUTED_VALUE"""),43292.64583333333)</f>
        <v>43292.64583</v>
      </c>
      <c r="B4433" s="3">
        <f>IFERROR(__xludf.DUMMYFUNCTION("""COMPUTED_VALUE"""),10956.4)</f>
        <v>10956.4</v>
      </c>
      <c r="C4433" s="3">
        <f>IFERROR(__xludf.DUMMYFUNCTION("""COMPUTED_VALUE"""),10976.65)</f>
        <v>10976.65</v>
      </c>
      <c r="D4433" s="3">
        <f>IFERROR(__xludf.DUMMYFUNCTION("""COMPUTED_VALUE"""),10923.0)</f>
        <v>10923</v>
      </c>
      <c r="E4433" s="3">
        <f>IFERROR(__xludf.DUMMYFUNCTION("""COMPUTED_VALUE"""),10948.3)</f>
        <v>10948.3</v>
      </c>
      <c r="F4433" s="3">
        <f>IFERROR(__xludf.DUMMYFUNCTION("""COMPUTED_VALUE"""),0.0)</f>
        <v>0</v>
      </c>
    </row>
    <row r="4434">
      <c r="A4434" s="7">
        <f>IFERROR(__xludf.DUMMYFUNCTION("""COMPUTED_VALUE"""),43293.64583333333)</f>
        <v>43293.64583</v>
      </c>
      <c r="B4434" s="3">
        <f>IFERROR(__xludf.DUMMYFUNCTION("""COMPUTED_VALUE"""),11006.95)</f>
        <v>11006.95</v>
      </c>
      <c r="C4434" s="3">
        <f>IFERROR(__xludf.DUMMYFUNCTION("""COMPUTED_VALUE"""),11078.3)</f>
        <v>11078.3</v>
      </c>
      <c r="D4434" s="3">
        <f>IFERROR(__xludf.DUMMYFUNCTION("""COMPUTED_VALUE"""),10999.65)</f>
        <v>10999.65</v>
      </c>
      <c r="E4434" s="3">
        <f>IFERROR(__xludf.DUMMYFUNCTION("""COMPUTED_VALUE"""),11023.2)</f>
        <v>11023.2</v>
      </c>
      <c r="F4434" s="3">
        <f>IFERROR(__xludf.DUMMYFUNCTION("""COMPUTED_VALUE"""),0.0)</f>
        <v>0</v>
      </c>
    </row>
    <row r="4435">
      <c r="A4435" s="7">
        <f>IFERROR(__xludf.DUMMYFUNCTION("""COMPUTED_VALUE"""),43294.64583333333)</f>
        <v>43294.64583</v>
      </c>
      <c r="B4435" s="3">
        <f>IFERROR(__xludf.DUMMYFUNCTION("""COMPUTED_VALUE"""),11056.9)</f>
        <v>11056.9</v>
      </c>
      <c r="C4435" s="3">
        <f>IFERROR(__xludf.DUMMYFUNCTION("""COMPUTED_VALUE"""),11071.35)</f>
        <v>11071.35</v>
      </c>
      <c r="D4435" s="3">
        <f>IFERROR(__xludf.DUMMYFUNCTION("""COMPUTED_VALUE"""),10999.75)</f>
        <v>10999.75</v>
      </c>
      <c r="E4435" s="3">
        <f>IFERROR(__xludf.DUMMYFUNCTION("""COMPUTED_VALUE"""),11018.9)</f>
        <v>11018.9</v>
      </c>
      <c r="F4435" s="3">
        <f>IFERROR(__xludf.DUMMYFUNCTION("""COMPUTED_VALUE"""),0.0)</f>
        <v>0</v>
      </c>
    </row>
    <row r="4436">
      <c r="A4436" s="7">
        <f>IFERROR(__xludf.DUMMYFUNCTION("""COMPUTED_VALUE"""),43297.64583333333)</f>
        <v>43297.64583</v>
      </c>
      <c r="B4436" s="3">
        <f>IFERROR(__xludf.DUMMYFUNCTION("""COMPUTED_VALUE"""),11018.95)</f>
        <v>11018.95</v>
      </c>
      <c r="C4436" s="3">
        <f>IFERROR(__xludf.DUMMYFUNCTION("""COMPUTED_VALUE"""),11019.5)</f>
        <v>11019.5</v>
      </c>
      <c r="D4436" s="3">
        <f>IFERROR(__xludf.DUMMYFUNCTION("""COMPUTED_VALUE"""),10926.25)</f>
        <v>10926.25</v>
      </c>
      <c r="E4436" s="3">
        <f>IFERROR(__xludf.DUMMYFUNCTION("""COMPUTED_VALUE"""),10936.85)</f>
        <v>10936.85</v>
      </c>
      <c r="F4436" s="3">
        <f>IFERROR(__xludf.DUMMYFUNCTION("""COMPUTED_VALUE"""),0.0)</f>
        <v>0</v>
      </c>
    </row>
    <row r="4437">
      <c r="A4437" s="7">
        <f>IFERROR(__xludf.DUMMYFUNCTION("""COMPUTED_VALUE"""),43298.64583333333)</f>
        <v>43298.64583</v>
      </c>
      <c r="B4437" s="3">
        <f>IFERROR(__xludf.DUMMYFUNCTION("""COMPUTED_VALUE"""),10939.65)</f>
        <v>10939.65</v>
      </c>
      <c r="C4437" s="3">
        <f>IFERROR(__xludf.DUMMYFUNCTION("""COMPUTED_VALUE"""),11018.5)</f>
        <v>11018.5</v>
      </c>
      <c r="D4437" s="3">
        <f>IFERROR(__xludf.DUMMYFUNCTION("""COMPUTED_VALUE"""),10925.6)</f>
        <v>10925.6</v>
      </c>
      <c r="E4437" s="3">
        <f>IFERROR(__xludf.DUMMYFUNCTION("""COMPUTED_VALUE"""),11008.05)</f>
        <v>11008.05</v>
      </c>
      <c r="F4437" s="3">
        <f>IFERROR(__xludf.DUMMYFUNCTION("""COMPUTED_VALUE"""),0.0)</f>
        <v>0</v>
      </c>
    </row>
    <row r="4438">
      <c r="A4438" s="7">
        <f>IFERROR(__xludf.DUMMYFUNCTION("""COMPUTED_VALUE"""),43299.64583333333)</f>
        <v>43299.64583</v>
      </c>
      <c r="B4438" s="3">
        <f>IFERROR(__xludf.DUMMYFUNCTION("""COMPUTED_VALUE"""),11060.2)</f>
        <v>11060.2</v>
      </c>
      <c r="C4438" s="3">
        <f>IFERROR(__xludf.DUMMYFUNCTION("""COMPUTED_VALUE"""),11076.2)</f>
        <v>11076.2</v>
      </c>
      <c r="D4438" s="3">
        <f>IFERROR(__xludf.DUMMYFUNCTION("""COMPUTED_VALUE"""),10956.3)</f>
        <v>10956.3</v>
      </c>
      <c r="E4438" s="3">
        <f>IFERROR(__xludf.DUMMYFUNCTION("""COMPUTED_VALUE"""),10980.45)</f>
        <v>10980.45</v>
      </c>
      <c r="F4438" s="3">
        <f>IFERROR(__xludf.DUMMYFUNCTION("""COMPUTED_VALUE"""),0.0)</f>
        <v>0</v>
      </c>
    </row>
    <row r="4439">
      <c r="A4439" s="7">
        <f>IFERROR(__xludf.DUMMYFUNCTION("""COMPUTED_VALUE"""),43300.64583333333)</f>
        <v>43300.64583</v>
      </c>
      <c r="B4439" s="3">
        <f>IFERROR(__xludf.DUMMYFUNCTION("""COMPUTED_VALUE"""),10999.5)</f>
        <v>10999.5</v>
      </c>
      <c r="C4439" s="3">
        <f>IFERROR(__xludf.DUMMYFUNCTION("""COMPUTED_VALUE"""),11006.5)</f>
        <v>11006.5</v>
      </c>
      <c r="D4439" s="3">
        <f>IFERROR(__xludf.DUMMYFUNCTION("""COMPUTED_VALUE"""),10935.45)</f>
        <v>10935.45</v>
      </c>
      <c r="E4439" s="3">
        <f>IFERROR(__xludf.DUMMYFUNCTION("""COMPUTED_VALUE"""),10957.1)</f>
        <v>10957.1</v>
      </c>
      <c r="F4439" s="3">
        <f>IFERROR(__xludf.DUMMYFUNCTION("""COMPUTED_VALUE"""),0.0)</f>
        <v>0</v>
      </c>
    </row>
    <row r="4440">
      <c r="A4440" s="7">
        <f>IFERROR(__xludf.DUMMYFUNCTION("""COMPUTED_VALUE"""),43301.64583333333)</f>
        <v>43301.64583</v>
      </c>
      <c r="B4440" s="3">
        <f>IFERROR(__xludf.DUMMYFUNCTION("""COMPUTED_VALUE"""),10963.5)</f>
        <v>10963.5</v>
      </c>
      <c r="C4440" s="3">
        <f>IFERROR(__xludf.DUMMYFUNCTION("""COMPUTED_VALUE"""),11030.25)</f>
        <v>11030.25</v>
      </c>
      <c r="D4440" s="3">
        <f>IFERROR(__xludf.DUMMYFUNCTION("""COMPUTED_VALUE"""),10946.2)</f>
        <v>10946.2</v>
      </c>
      <c r="E4440" s="3">
        <f>IFERROR(__xludf.DUMMYFUNCTION("""COMPUTED_VALUE"""),11010.2)</f>
        <v>11010.2</v>
      </c>
      <c r="F4440" s="3">
        <f>IFERROR(__xludf.DUMMYFUNCTION("""COMPUTED_VALUE"""),0.0)</f>
        <v>0</v>
      </c>
    </row>
    <row r="4441">
      <c r="A4441" s="7">
        <f>IFERROR(__xludf.DUMMYFUNCTION("""COMPUTED_VALUE"""),43304.64583333333)</f>
        <v>43304.64583</v>
      </c>
      <c r="B4441" s="3">
        <f>IFERROR(__xludf.DUMMYFUNCTION("""COMPUTED_VALUE"""),11019.85)</f>
        <v>11019.85</v>
      </c>
      <c r="C4441" s="3">
        <f>IFERROR(__xludf.DUMMYFUNCTION("""COMPUTED_VALUE"""),11093.4)</f>
        <v>11093.4</v>
      </c>
      <c r="D4441" s="3">
        <f>IFERROR(__xludf.DUMMYFUNCTION("""COMPUTED_VALUE"""),11010.95)</f>
        <v>11010.95</v>
      </c>
      <c r="E4441" s="3">
        <f>IFERROR(__xludf.DUMMYFUNCTION("""COMPUTED_VALUE"""),11084.75)</f>
        <v>11084.75</v>
      </c>
      <c r="F4441" s="3">
        <f>IFERROR(__xludf.DUMMYFUNCTION("""COMPUTED_VALUE"""),0.0)</f>
        <v>0</v>
      </c>
    </row>
    <row r="4442">
      <c r="A4442" s="7">
        <f>IFERROR(__xludf.DUMMYFUNCTION("""COMPUTED_VALUE"""),43305.64583333333)</f>
        <v>43305.64583</v>
      </c>
      <c r="B4442" s="3">
        <f>IFERROR(__xludf.DUMMYFUNCTION("""COMPUTED_VALUE"""),11109.0)</f>
        <v>11109</v>
      </c>
      <c r="C4442" s="3">
        <f>IFERROR(__xludf.DUMMYFUNCTION("""COMPUTED_VALUE"""),11143.4)</f>
        <v>11143.4</v>
      </c>
      <c r="D4442" s="3">
        <f>IFERROR(__xludf.DUMMYFUNCTION("""COMPUTED_VALUE"""),11092.5)</f>
        <v>11092.5</v>
      </c>
      <c r="E4442" s="3">
        <f>IFERROR(__xludf.DUMMYFUNCTION("""COMPUTED_VALUE"""),11134.3)</f>
        <v>11134.3</v>
      </c>
      <c r="F4442" s="3">
        <f>IFERROR(__xludf.DUMMYFUNCTION("""COMPUTED_VALUE"""),0.0)</f>
        <v>0</v>
      </c>
    </row>
    <row r="4443">
      <c r="A4443" s="7">
        <f>IFERROR(__xludf.DUMMYFUNCTION("""COMPUTED_VALUE"""),43306.64583333333)</f>
        <v>43306.64583</v>
      </c>
      <c r="B4443" s="3">
        <f>IFERROR(__xludf.DUMMYFUNCTION("""COMPUTED_VALUE"""),11148.4)</f>
        <v>11148.4</v>
      </c>
      <c r="C4443" s="3">
        <f>IFERROR(__xludf.DUMMYFUNCTION("""COMPUTED_VALUE"""),11157.15)</f>
        <v>11157.15</v>
      </c>
      <c r="D4443" s="3">
        <f>IFERROR(__xludf.DUMMYFUNCTION("""COMPUTED_VALUE"""),11113.25)</f>
        <v>11113.25</v>
      </c>
      <c r="E4443" s="3">
        <f>IFERROR(__xludf.DUMMYFUNCTION("""COMPUTED_VALUE"""),11132.0)</f>
        <v>11132</v>
      </c>
      <c r="F4443" s="3">
        <f>IFERROR(__xludf.DUMMYFUNCTION("""COMPUTED_VALUE"""),0.0)</f>
        <v>0</v>
      </c>
    </row>
    <row r="4444">
      <c r="A4444" s="7">
        <f>IFERROR(__xludf.DUMMYFUNCTION("""COMPUTED_VALUE"""),43307.64583333333)</f>
        <v>43307.64583</v>
      </c>
      <c r="B4444" s="3">
        <f>IFERROR(__xludf.DUMMYFUNCTION("""COMPUTED_VALUE"""),11132.95)</f>
        <v>11132.95</v>
      </c>
      <c r="C4444" s="3">
        <f>IFERROR(__xludf.DUMMYFUNCTION("""COMPUTED_VALUE"""),11185.85)</f>
        <v>11185.85</v>
      </c>
      <c r="D4444" s="3">
        <f>IFERROR(__xludf.DUMMYFUNCTION("""COMPUTED_VALUE"""),11125.7)</f>
        <v>11125.7</v>
      </c>
      <c r="E4444" s="3">
        <f>IFERROR(__xludf.DUMMYFUNCTION("""COMPUTED_VALUE"""),11167.3)</f>
        <v>11167.3</v>
      </c>
      <c r="F4444" s="3">
        <f>IFERROR(__xludf.DUMMYFUNCTION("""COMPUTED_VALUE"""),0.0)</f>
        <v>0</v>
      </c>
    </row>
    <row r="4445">
      <c r="A4445" s="7">
        <f>IFERROR(__xludf.DUMMYFUNCTION("""COMPUTED_VALUE"""),43308.64583333333)</f>
        <v>43308.64583</v>
      </c>
      <c r="B4445" s="3">
        <f>IFERROR(__xludf.DUMMYFUNCTION("""COMPUTED_VALUE"""),11232.75)</f>
        <v>11232.75</v>
      </c>
      <c r="C4445" s="3">
        <f>IFERROR(__xludf.DUMMYFUNCTION("""COMPUTED_VALUE"""),11283.4)</f>
        <v>11283.4</v>
      </c>
      <c r="D4445" s="3">
        <f>IFERROR(__xludf.DUMMYFUNCTION("""COMPUTED_VALUE"""),11210.25)</f>
        <v>11210.25</v>
      </c>
      <c r="E4445" s="3">
        <f>IFERROR(__xludf.DUMMYFUNCTION("""COMPUTED_VALUE"""),11278.35)</f>
        <v>11278.35</v>
      </c>
      <c r="F4445" s="3">
        <f>IFERROR(__xludf.DUMMYFUNCTION("""COMPUTED_VALUE"""),0.0)</f>
        <v>0</v>
      </c>
    </row>
    <row r="4446">
      <c r="A4446" s="7">
        <f>IFERROR(__xludf.DUMMYFUNCTION("""COMPUTED_VALUE"""),43311.64583333333)</f>
        <v>43311.64583</v>
      </c>
      <c r="B4446" s="3">
        <f>IFERROR(__xludf.DUMMYFUNCTION("""COMPUTED_VALUE"""),11296.65)</f>
        <v>11296.65</v>
      </c>
      <c r="C4446" s="3">
        <f>IFERROR(__xludf.DUMMYFUNCTION("""COMPUTED_VALUE"""),11328.1)</f>
        <v>11328.1</v>
      </c>
      <c r="D4446" s="3">
        <f>IFERROR(__xludf.DUMMYFUNCTION("""COMPUTED_VALUE"""),11261.45)</f>
        <v>11261.45</v>
      </c>
      <c r="E4446" s="3">
        <f>IFERROR(__xludf.DUMMYFUNCTION("""COMPUTED_VALUE"""),11319.55)</f>
        <v>11319.55</v>
      </c>
      <c r="F4446" s="3">
        <f>IFERROR(__xludf.DUMMYFUNCTION("""COMPUTED_VALUE"""),0.0)</f>
        <v>0</v>
      </c>
    </row>
    <row r="4447">
      <c r="A4447" s="7">
        <f>IFERROR(__xludf.DUMMYFUNCTION("""COMPUTED_VALUE"""),43312.64583333333)</f>
        <v>43312.64583</v>
      </c>
      <c r="B4447" s="3">
        <f>IFERROR(__xludf.DUMMYFUNCTION("""COMPUTED_VALUE"""),11311.05)</f>
        <v>11311.05</v>
      </c>
      <c r="C4447" s="3">
        <f>IFERROR(__xludf.DUMMYFUNCTION("""COMPUTED_VALUE"""),11366.0)</f>
        <v>11366</v>
      </c>
      <c r="D4447" s="3">
        <f>IFERROR(__xludf.DUMMYFUNCTION("""COMPUTED_VALUE"""),11267.75)</f>
        <v>11267.75</v>
      </c>
      <c r="E4447" s="3">
        <f>IFERROR(__xludf.DUMMYFUNCTION("""COMPUTED_VALUE"""),11356.5)</f>
        <v>11356.5</v>
      </c>
      <c r="F4447" s="3">
        <f>IFERROR(__xludf.DUMMYFUNCTION("""COMPUTED_VALUE"""),0.0)</f>
        <v>0</v>
      </c>
    </row>
    <row r="4448">
      <c r="A4448" s="7">
        <f>IFERROR(__xludf.DUMMYFUNCTION("""COMPUTED_VALUE"""),43313.64583333333)</f>
        <v>43313.64583</v>
      </c>
      <c r="B4448" s="3">
        <f>IFERROR(__xludf.DUMMYFUNCTION("""COMPUTED_VALUE"""),11359.8)</f>
        <v>11359.8</v>
      </c>
      <c r="C4448" s="3">
        <f>IFERROR(__xludf.DUMMYFUNCTION("""COMPUTED_VALUE"""),11390.55)</f>
        <v>11390.55</v>
      </c>
      <c r="D4448" s="3">
        <f>IFERROR(__xludf.DUMMYFUNCTION("""COMPUTED_VALUE"""),11313.55)</f>
        <v>11313.55</v>
      </c>
      <c r="E4448" s="3">
        <f>IFERROR(__xludf.DUMMYFUNCTION("""COMPUTED_VALUE"""),11346.2)</f>
        <v>11346.2</v>
      </c>
      <c r="F4448" s="3">
        <f>IFERROR(__xludf.DUMMYFUNCTION("""COMPUTED_VALUE"""),0.0)</f>
        <v>0</v>
      </c>
    </row>
    <row r="4449">
      <c r="A4449" s="7">
        <f>IFERROR(__xludf.DUMMYFUNCTION("""COMPUTED_VALUE"""),43314.64583333333)</f>
        <v>43314.64583</v>
      </c>
      <c r="B4449" s="3">
        <f>IFERROR(__xludf.DUMMYFUNCTION("""COMPUTED_VALUE"""),11328.9)</f>
        <v>11328.9</v>
      </c>
      <c r="C4449" s="3">
        <f>IFERROR(__xludf.DUMMYFUNCTION("""COMPUTED_VALUE"""),11328.9)</f>
        <v>11328.9</v>
      </c>
      <c r="D4449" s="3">
        <f>IFERROR(__xludf.DUMMYFUNCTION("""COMPUTED_VALUE"""),11234.95)</f>
        <v>11234.95</v>
      </c>
      <c r="E4449" s="3">
        <f>IFERROR(__xludf.DUMMYFUNCTION("""COMPUTED_VALUE"""),11244.7)</f>
        <v>11244.7</v>
      </c>
      <c r="F4449" s="3">
        <f>IFERROR(__xludf.DUMMYFUNCTION("""COMPUTED_VALUE"""),0.0)</f>
        <v>0</v>
      </c>
    </row>
    <row r="4450">
      <c r="A4450" s="7">
        <f>IFERROR(__xludf.DUMMYFUNCTION("""COMPUTED_VALUE"""),43315.64583333333)</f>
        <v>43315.64583</v>
      </c>
      <c r="B4450" s="3">
        <f>IFERROR(__xludf.DUMMYFUNCTION("""COMPUTED_VALUE"""),11297.8)</f>
        <v>11297.8</v>
      </c>
      <c r="C4450" s="3">
        <f>IFERROR(__xludf.DUMMYFUNCTION("""COMPUTED_VALUE"""),11368.0)</f>
        <v>11368</v>
      </c>
      <c r="D4450" s="3">
        <f>IFERROR(__xludf.DUMMYFUNCTION("""COMPUTED_VALUE"""),11294.55)</f>
        <v>11294.55</v>
      </c>
      <c r="E4450" s="3">
        <f>IFERROR(__xludf.DUMMYFUNCTION("""COMPUTED_VALUE"""),11360.8)</f>
        <v>11360.8</v>
      </c>
      <c r="F4450" s="3">
        <f>IFERROR(__xludf.DUMMYFUNCTION("""COMPUTED_VALUE"""),0.0)</f>
        <v>0</v>
      </c>
    </row>
    <row r="4451">
      <c r="A4451" s="7">
        <f>IFERROR(__xludf.DUMMYFUNCTION("""COMPUTED_VALUE"""),43318.64583333333)</f>
        <v>43318.64583</v>
      </c>
      <c r="B4451" s="3">
        <f>IFERROR(__xludf.DUMMYFUNCTION("""COMPUTED_VALUE"""),11401.5)</f>
        <v>11401.5</v>
      </c>
      <c r="C4451" s="3">
        <f>IFERROR(__xludf.DUMMYFUNCTION("""COMPUTED_VALUE"""),11427.65)</f>
        <v>11427.65</v>
      </c>
      <c r="D4451" s="3">
        <f>IFERROR(__xludf.DUMMYFUNCTION("""COMPUTED_VALUE"""),11370.6)</f>
        <v>11370.6</v>
      </c>
      <c r="E4451" s="3">
        <f>IFERROR(__xludf.DUMMYFUNCTION("""COMPUTED_VALUE"""),11387.1)</f>
        <v>11387.1</v>
      </c>
      <c r="F4451" s="3">
        <f>IFERROR(__xludf.DUMMYFUNCTION("""COMPUTED_VALUE"""),0.0)</f>
        <v>0</v>
      </c>
    </row>
    <row r="4452">
      <c r="A4452" s="7">
        <f>IFERROR(__xludf.DUMMYFUNCTION("""COMPUTED_VALUE"""),43319.64583333333)</f>
        <v>43319.64583</v>
      </c>
      <c r="B4452" s="3">
        <f>IFERROR(__xludf.DUMMYFUNCTION("""COMPUTED_VALUE"""),11423.15)</f>
        <v>11423.15</v>
      </c>
      <c r="C4452" s="3">
        <f>IFERROR(__xludf.DUMMYFUNCTION("""COMPUTED_VALUE"""),11428.95)</f>
        <v>11428.95</v>
      </c>
      <c r="D4452" s="3">
        <f>IFERROR(__xludf.DUMMYFUNCTION("""COMPUTED_VALUE"""),11359.7)</f>
        <v>11359.7</v>
      </c>
      <c r="E4452" s="3">
        <f>IFERROR(__xludf.DUMMYFUNCTION("""COMPUTED_VALUE"""),11389.45)</f>
        <v>11389.45</v>
      </c>
      <c r="F4452" s="3">
        <f>IFERROR(__xludf.DUMMYFUNCTION("""COMPUTED_VALUE"""),0.0)</f>
        <v>0</v>
      </c>
    </row>
    <row r="4453">
      <c r="A4453" s="7">
        <f>IFERROR(__xludf.DUMMYFUNCTION("""COMPUTED_VALUE"""),43320.64583333333)</f>
        <v>43320.64583</v>
      </c>
      <c r="B4453" s="3">
        <f>IFERROR(__xludf.DUMMYFUNCTION("""COMPUTED_VALUE"""),11412.5)</f>
        <v>11412.5</v>
      </c>
      <c r="C4453" s="3">
        <f>IFERROR(__xludf.DUMMYFUNCTION("""COMPUTED_VALUE"""),11459.95)</f>
        <v>11459.95</v>
      </c>
      <c r="D4453" s="3">
        <f>IFERROR(__xludf.DUMMYFUNCTION("""COMPUTED_VALUE"""),11379.3)</f>
        <v>11379.3</v>
      </c>
      <c r="E4453" s="3">
        <f>IFERROR(__xludf.DUMMYFUNCTION("""COMPUTED_VALUE"""),11450.0)</f>
        <v>11450</v>
      </c>
      <c r="F4453" s="3">
        <f>IFERROR(__xludf.DUMMYFUNCTION("""COMPUTED_VALUE"""),0.0)</f>
        <v>0</v>
      </c>
    </row>
    <row r="4454">
      <c r="A4454" s="7">
        <f>IFERROR(__xludf.DUMMYFUNCTION("""COMPUTED_VALUE"""),43321.64583333333)</f>
        <v>43321.64583</v>
      </c>
      <c r="B4454" s="3">
        <f>IFERROR(__xludf.DUMMYFUNCTION("""COMPUTED_VALUE"""),11493.25)</f>
        <v>11493.25</v>
      </c>
      <c r="C4454" s="3">
        <f>IFERROR(__xludf.DUMMYFUNCTION("""COMPUTED_VALUE"""),11495.2)</f>
        <v>11495.2</v>
      </c>
      <c r="D4454" s="3">
        <f>IFERROR(__xludf.DUMMYFUNCTION("""COMPUTED_VALUE"""),11454.1)</f>
        <v>11454.1</v>
      </c>
      <c r="E4454" s="3">
        <f>IFERROR(__xludf.DUMMYFUNCTION("""COMPUTED_VALUE"""),11470.7)</f>
        <v>11470.7</v>
      </c>
      <c r="F4454" s="3">
        <f>IFERROR(__xludf.DUMMYFUNCTION("""COMPUTED_VALUE"""),0.0)</f>
        <v>0</v>
      </c>
    </row>
    <row r="4455">
      <c r="A4455" s="7">
        <f>IFERROR(__xludf.DUMMYFUNCTION("""COMPUTED_VALUE"""),43322.64583333333)</f>
        <v>43322.64583</v>
      </c>
      <c r="B4455" s="3">
        <f>IFERROR(__xludf.DUMMYFUNCTION("""COMPUTED_VALUE"""),11474.95)</f>
        <v>11474.95</v>
      </c>
      <c r="C4455" s="3">
        <f>IFERROR(__xludf.DUMMYFUNCTION("""COMPUTED_VALUE"""),11478.75)</f>
        <v>11478.75</v>
      </c>
      <c r="D4455" s="3">
        <f>IFERROR(__xludf.DUMMYFUNCTION("""COMPUTED_VALUE"""),11419.65)</f>
        <v>11419.65</v>
      </c>
      <c r="E4455" s="3">
        <f>IFERROR(__xludf.DUMMYFUNCTION("""COMPUTED_VALUE"""),11429.5)</f>
        <v>11429.5</v>
      </c>
      <c r="F4455" s="3">
        <f>IFERROR(__xludf.DUMMYFUNCTION("""COMPUTED_VALUE"""),0.0)</f>
        <v>0</v>
      </c>
    </row>
    <row r="4456">
      <c r="A4456" s="7">
        <f>IFERROR(__xludf.DUMMYFUNCTION("""COMPUTED_VALUE"""),43325.64583333333)</f>
        <v>43325.64583</v>
      </c>
      <c r="B4456" s="3">
        <f>IFERROR(__xludf.DUMMYFUNCTION("""COMPUTED_VALUE"""),11369.6)</f>
        <v>11369.6</v>
      </c>
      <c r="C4456" s="3">
        <f>IFERROR(__xludf.DUMMYFUNCTION("""COMPUTED_VALUE"""),11406.3)</f>
        <v>11406.3</v>
      </c>
      <c r="D4456" s="3">
        <f>IFERROR(__xludf.DUMMYFUNCTION("""COMPUTED_VALUE"""),11340.3)</f>
        <v>11340.3</v>
      </c>
      <c r="E4456" s="3">
        <f>IFERROR(__xludf.DUMMYFUNCTION("""COMPUTED_VALUE"""),11355.75)</f>
        <v>11355.75</v>
      </c>
      <c r="F4456" s="3">
        <f>IFERROR(__xludf.DUMMYFUNCTION("""COMPUTED_VALUE"""),0.0)</f>
        <v>0</v>
      </c>
    </row>
    <row r="4457">
      <c r="A4457" s="7">
        <f>IFERROR(__xludf.DUMMYFUNCTION("""COMPUTED_VALUE"""),43326.64583333333)</f>
        <v>43326.64583</v>
      </c>
      <c r="B4457" s="3">
        <f>IFERROR(__xludf.DUMMYFUNCTION("""COMPUTED_VALUE"""),11381.7)</f>
        <v>11381.7</v>
      </c>
      <c r="C4457" s="3">
        <f>IFERROR(__xludf.DUMMYFUNCTION("""COMPUTED_VALUE"""),11452.45)</f>
        <v>11452.45</v>
      </c>
      <c r="D4457" s="3">
        <f>IFERROR(__xludf.DUMMYFUNCTION("""COMPUTED_VALUE"""),11370.8)</f>
        <v>11370.8</v>
      </c>
      <c r="E4457" s="3">
        <f>IFERROR(__xludf.DUMMYFUNCTION("""COMPUTED_VALUE"""),11435.1)</f>
        <v>11435.1</v>
      </c>
      <c r="F4457" s="3">
        <f>IFERROR(__xludf.DUMMYFUNCTION("""COMPUTED_VALUE"""),0.0)</f>
        <v>0</v>
      </c>
    </row>
    <row r="4458">
      <c r="A4458" s="7">
        <f>IFERROR(__xludf.DUMMYFUNCTION("""COMPUTED_VALUE"""),43328.64583333333)</f>
        <v>43328.64583</v>
      </c>
      <c r="B4458" s="3">
        <f>IFERROR(__xludf.DUMMYFUNCTION("""COMPUTED_VALUE"""),11397.15)</f>
        <v>11397.15</v>
      </c>
      <c r="C4458" s="3">
        <f>IFERROR(__xludf.DUMMYFUNCTION("""COMPUTED_VALUE"""),11449.85)</f>
        <v>11449.85</v>
      </c>
      <c r="D4458" s="3">
        <f>IFERROR(__xludf.DUMMYFUNCTION("""COMPUTED_VALUE"""),11366.25)</f>
        <v>11366.25</v>
      </c>
      <c r="E4458" s="3">
        <f>IFERROR(__xludf.DUMMYFUNCTION("""COMPUTED_VALUE"""),11385.05)</f>
        <v>11385.05</v>
      </c>
      <c r="F4458" s="3">
        <f>IFERROR(__xludf.DUMMYFUNCTION("""COMPUTED_VALUE"""),0.0)</f>
        <v>0</v>
      </c>
    </row>
    <row r="4459">
      <c r="A4459" s="7">
        <f>IFERROR(__xludf.DUMMYFUNCTION("""COMPUTED_VALUE"""),43329.64583333333)</f>
        <v>43329.64583</v>
      </c>
      <c r="B4459" s="3">
        <f>IFERROR(__xludf.DUMMYFUNCTION("""COMPUTED_VALUE"""),11437.15)</f>
        <v>11437.15</v>
      </c>
      <c r="C4459" s="3">
        <f>IFERROR(__xludf.DUMMYFUNCTION("""COMPUTED_VALUE"""),11486.45)</f>
        <v>11486.45</v>
      </c>
      <c r="D4459" s="3">
        <f>IFERROR(__xludf.DUMMYFUNCTION("""COMPUTED_VALUE"""),11431.8)</f>
        <v>11431.8</v>
      </c>
      <c r="E4459" s="3">
        <f>IFERROR(__xludf.DUMMYFUNCTION("""COMPUTED_VALUE"""),11470.75)</f>
        <v>11470.75</v>
      </c>
      <c r="F4459" s="3">
        <f>IFERROR(__xludf.DUMMYFUNCTION("""COMPUTED_VALUE"""),0.0)</f>
        <v>0</v>
      </c>
    </row>
    <row r="4460">
      <c r="A4460" s="7">
        <f>IFERROR(__xludf.DUMMYFUNCTION("""COMPUTED_VALUE"""),43332.64583333333)</f>
        <v>43332.64583</v>
      </c>
      <c r="B4460" s="3">
        <f>IFERROR(__xludf.DUMMYFUNCTION("""COMPUTED_VALUE"""),11502.1)</f>
        <v>11502.1</v>
      </c>
      <c r="C4460" s="3">
        <f>IFERROR(__xludf.DUMMYFUNCTION("""COMPUTED_VALUE"""),11565.3)</f>
        <v>11565.3</v>
      </c>
      <c r="D4460" s="3">
        <f>IFERROR(__xludf.DUMMYFUNCTION("""COMPUTED_VALUE"""),11499.65)</f>
        <v>11499.65</v>
      </c>
      <c r="E4460" s="3">
        <f>IFERROR(__xludf.DUMMYFUNCTION("""COMPUTED_VALUE"""),11551.75)</f>
        <v>11551.75</v>
      </c>
      <c r="F4460" s="3">
        <f>IFERROR(__xludf.DUMMYFUNCTION("""COMPUTED_VALUE"""),0.0)</f>
        <v>0</v>
      </c>
    </row>
    <row r="4461">
      <c r="A4461" s="7">
        <f>IFERROR(__xludf.DUMMYFUNCTION("""COMPUTED_VALUE"""),43333.64583333333)</f>
        <v>43333.64583</v>
      </c>
      <c r="B4461" s="3">
        <f>IFERROR(__xludf.DUMMYFUNCTION("""COMPUTED_VALUE"""),11576.2)</f>
        <v>11576.2</v>
      </c>
      <c r="C4461" s="3">
        <f>IFERROR(__xludf.DUMMYFUNCTION("""COMPUTED_VALUE"""),11581.75)</f>
        <v>11581.75</v>
      </c>
      <c r="D4461" s="3">
        <f>IFERROR(__xludf.DUMMYFUNCTION("""COMPUTED_VALUE"""),11539.6)</f>
        <v>11539.6</v>
      </c>
      <c r="E4461" s="3">
        <f>IFERROR(__xludf.DUMMYFUNCTION("""COMPUTED_VALUE"""),11570.9)</f>
        <v>11570.9</v>
      </c>
      <c r="F4461" s="3">
        <f>IFERROR(__xludf.DUMMYFUNCTION("""COMPUTED_VALUE"""),0.0)</f>
        <v>0</v>
      </c>
    </row>
    <row r="4462">
      <c r="A4462" s="7">
        <f>IFERROR(__xludf.DUMMYFUNCTION("""COMPUTED_VALUE"""),43335.64583333333)</f>
        <v>43335.64583</v>
      </c>
      <c r="B4462" s="3">
        <f>IFERROR(__xludf.DUMMYFUNCTION("""COMPUTED_VALUE"""),11620.7)</f>
        <v>11620.7</v>
      </c>
      <c r="C4462" s="3">
        <f>IFERROR(__xludf.DUMMYFUNCTION("""COMPUTED_VALUE"""),11620.7)</f>
        <v>11620.7</v>
      </c>
      <c r="D4462" s="3">
        <f>IFERROR(__xludf.DUMMYFUNCTION("""COMPUTED_VALUE"""),11546.7)</f>
        <v>11546.7</v>
      </c>
      <c r="E4462" s="3">
        <f>IFERROR(__xludf.DUMMYFUNCTION("""COMPUTED_VALUE"""),11582.75)</f>
        <v>11582.75</v>
      </c>
      <c r="F4462" s="3">
        <f>IFERROR(__xludf.DUMMYFUNCTION("""COMPUTED_VALUE"""),0.0)</f>
        <v>0</v>
      </c>
    </row>
    <row r="4463">
      <c r="A4463" s="7">
        <f>IFERROR(__xludf.DUMMYFUNCTION("""COMPUTED_VALUE"""),43336.64583333333)</f>
        <v>43336.64583</v>
      </c>
      <c r="B4463" s="3">
        <f>IFERROR(__xludf.DUMMYFUNCTION("""COMPUTED_VALUE"""),11566.6)</f>
        <v>11566.6</v>
      </c>
      <c r="C4463" s="3">
        <f>IFERROR(__xludf.DUMMYFUNCTION("""COMPUTED_VALUE"""),11604.6)</f>
        <v>11604.6</v>
      </c>
      <c r="D4463" s="3">
        <f>IFERROR(__xludf.DUMMYFUNCTION("""COMPUTED_VALUE"""),11532.0)</f>
        <v>11532</v>
      </c>
      <c r="E4463" s="3">
        <f>IFERROR(__xludf.DUMMYFUNCTION("""COMPUTED_VALUE"""),11557.1)</f>
        <v>11557.1</v>
      </c>
      <c r="F4463" s="3">
        <f>IFERROR(__xludf.DUMMYFUNCTION("""COMPUTED_VALUE"""),0.0)</f>
        <v>0</v>
      </c>
    </row>
    <row r="4464">
      <c r="A4464" s="7">
        <f>IFERROR(__xludf.DUMMYFUNCTION("""COMPUTED_VALUE"""),43339.64583333333)</f>
        <v>43339.64583</v>
      </c>
      <c r="B4464" s="3">
        <f>IFERROR(__xludf.DUMMYFUNCTION("""COMPUTED_VALUE"""),11605.85)</f>
        <v>11605.85</v>
      </c>
      <c r="C4464" s="3">
        <f>IFERROR(__xludf.DUMMYFUNCTION("""COMPUTED_VALUE"""),11700.95)</f>
        <v>11700.95</v>
      </c>
      <c r="D4464" s="3">
        <f>IFERROR(__xludf.DUMMYFUNCTION("""COMPUTED_VALUE"""),11595.6)</f>
        <v>11595.6</v>
      </c>
      <c r="E4464" s="3">
        <f>IFERROR(__xludf.DUMMYFUNCTION("""COMPUTED_VALUE"""),11691.95)</f>
        <v>11691.95</v>
      </c>
      <c r="F4464" s="3">
        <f>IFERROR(__xludf.DUMMYFUNCTION("""COMPUTED_VALUE"""),0.0)</f>
        <v>0</v>
      </c>
    </row>
    <row r="4465">
      <c r="A4465" s="7">
        <f>IFERROR(__xludf.DUMMYFUNCTION("""COMPUTED_VALUE"""),43340.64583333333)</f>
        <v>43340.64583</v>
      </c>
      <c r="B4465" s="3">
        <f>IFERROR(__xludf.DUMMYFUNCTION("""COMPUTED_VALUE"""),11731.95)</f>
        <v>11731.95</v>
      </c>
      <c r="C4465" s="3">
        <f>IFERROR(__xludf.DUMMYFUNCTION("""COMPUTED_VALUE"""),11760.2)</f>
        <v>11760.2</v>
      </c>
      <c r="D4465" s="3">
        <f>IFERROR(__xludf.DUMMYFUNCTION("""COMPUTED_VALUE"""),11710.5)</f>
        <v>11710.5</v>
      </c>
      <c r="E4465" s="3">
        <f>IFERROR(__xludf.DUMMYFUNCTION("""COMPUTED_VALUE"""),11738.5)</f>
        <v>11738.5</v>
      </c>
      <c r="F4465" s="3">
        <f>IFERROR(__xludf.DUMMYFUNCTION("""COMPUTED_VALUE"""),0.0)</f>
        <v>0</v>
      </c>
    </row>
    <row r="4466">
      <c r="A4466" s="7">
        <f>IFERROR(__xludf.DUMMYFUNCTION("""COMPUTED_VALUE"""),43341.64583333333)</f>
        <v>43341.64583</v>
      </c>
      <c r="B4466" s="3">
        <f>IFERROR(__xludf.DUMMYFUNCTION("""COMPUTED_VALUE"""),11744.95)</f>
        <v>11744.95</v>
      </c>
      <c r="C4466" s="3">
        <f>IFERROR(__xludf.DUMMYFUNCTION("""COMPUTED_VALUE"""),11753.2)</f>
        <v>11753.2</v>
      </c>
      <c r="D4466" s="3">
        <f>IFERROR(__xludf.DUMMYFUNCTION("""COMPUTED_VALUE"""),11678.85)</f>
        <v>11678.85</v>
      </c>
      <c r="E4466" s="3">
        <f>IFERROR(__xludf.DUMMYFUNCTION("""COMPUTED_VALUE"""),11691.9)</f>
        <v>11691.9</v>
      </c>
      <c r="F4466" s="3">
        <f>IFERROR(__xludf.DUMMYFUNCTION("""COMPUTED_VALUE"""),0.0)</f>
        <v>0</v>
      </c>
    </row>
    <row r="4467">
      <c r="A4467" s="7">
        <f>IFERROR(__xludf.DUMMYFUNCTION("""COMPUTED_VALUE"""),43342.64583333333)</f>
        <v>43342.64583</v>
      </c>
      <c r="B4467" s="3">
        <f>IFERROR(__xludf.DUMMYFUNCTION("""COMPUTED_VALUE"""),11694.75)</f>
        <v>11694.75</v>
      </c>
      <c r="C4467" s="3">
        <f>IFERROR(__xludf.DUMMYFUNCTION("""COMPUTED_VALUE"""),11698.8)</f>
        <v>11698.8</v>
      </c>
      <c r="D4467" s="3">
        <f>IFERROR(__xludf.DUMMYFUNCTION("""COMPUTED_VALUE"""),11639.7)</f>
        <v>11639.7</v>
      </c>
      <c r="E4467" s="3">
        <f>IFERROR(__xludf.DUMMYFUNCTION("""COMPUTED_VALUE"""),11676.8)</f>
        <v>11676.8</v>
      </c>
      <c r="F4467" s="3">
        <f>IFERROR(__xludf.DUMMYFUNCTION("""COMPUTED_VALUE"""),0.0)</f>
        <v>0</v>
      </c>
    </row>
    <row r="4468">
      <c r="A4468" s="7">
        <f>IFERROR(__xludf.DUMMYFUNCTION("""COMPUTED_VALUE"""),43343.64583333333)</f>
        <v>43343.64583</v>
      </c>
      <c r="B4468" s="3">
        <f>IFERROR(__xludf.DUMMYFUNCTION("""COMPUTED_VALUE"""),11675.85)</f>
        <v>11675.85</v>
      </c>
      <c r="C4468" s="3">
        <f>IFERROR(__xludf.DUMMYFUNCTION("""COMPUTED_VALUE"""),11727.65)</f>
        <v>11727.65</v>
      </c>
      <c r="D4468" s="3">
        <f>IFERROR(__xludf.DUMMYFUNCTION("""COMPUTED_VALUE"""),11640.1)</f>
        <v>11640.1</v>
      </c>
      <c r="E4468" s="3">
        <f>IFERROR(__xludf.DUMMYFUNCTION("""COMPUTED_VALUE"""),11680.5)</f>
        <v>11680.5</v>
      </c>
      <c r="F4468" s="3">
        <f>IFERROR(__xludf.DUMMYFUNCTION("""COMPUTED_VALUE"""),0.0)</f>
        <v>0</v>
      </c>
    </row>
    <row r="4469">
      <c r="A4469" s="7">
        <f>IFERROR(__xludf.DUMMYFUNCTION("""COMPUTED_VALUE"""),43346.64583333333)</f>
        <v>43346.64583</v>
      </c>
      <c r="B4469" s="3">
        <f>IFERROR(__xludf.DUMMYFUNCTION("""COMPUTED_VALUE"""),11751.8)</f>
        <v>11751.8</v>
      </c>
      <c r="C4469" s="3">
        <f>IFERROR(__xludf.DUMMYFUNCTION("""COMPUTED_VALUE"""),11751.8)</f>
        <v>11751.8</v>
      </c>
      <c r="D4469" s="3">
        <f>IFERROR(__xludf.DUMMYFUNCTION("""COMPUTED_VALUE"""),11567.4)</f>
        <v>11567.4</v>
      </c>
      <c r="E4469" s="3">
        <f>IFERROR(__xludf.DUMMYFUNCTION("""COMPUTED_VALUE"""),11582.35)</f>
        <v>11582.35</v>
      </c>
      <c r="F4469" s="3">
        <f>IFERROR(__xludf.DUMMYFUNCTION("""COMPUTED_VALUE"""),0.0)</f>
        <v>0</v>
      </c>
    </row>
    <row r="4470">
      <c r="A4470" s="7">
        <f>IFERROR(__xludf.DUMMYFUNCTION("""COMPUTED_VALUE"""),43347.64583333333)</f>
        <v>43347.64583</v>
      </c>
      <c r="B4470" s="3">
        <f>IFERROR(__xludf.DUMMYFUNCTION("""COMPUTED_VALUE"""),11598.75)</f>
        <v>11598.75</v>
      </c>
      <c r="C4470" s="3">
        <f>IFERROR(__xludf.DUMMYFUNCTION("""COMPUTED_VALUE"""),11602.55)</f>
        <v>11602.55</v>
      </c>
      <c r="D4470" s="3">
        <f>IFERROR(__xludf.DUMMYFUNCTION("""COMPUTED_VALUE"""),11496.85)</f>
        <v>11496.85</v>
      </c>
      <c r="E4470" s="3">
        <f>IFERROR(__xludf.DUMMYFUNCTION("""COMPUTED_VALUE"""),11520.3)</f>
        <v>11520.3</v>
      </c>
      <c r="F4470" s="3">
        <f>IFERROR(__xludf.DUMMYFUNCTION("""COMPUTED_VALUE"""),0.0)</f>
        <v>0</v>
      </c>
    </row>
    <row r="4471">
      <c r="A4471" s="7">
        <f>IFERROR(__xludf.DUMMYFUNCTION("""COMPUTED_VALUE"""),43348.64583333333)</f>
        <v>43348.64583</v>
      </c>
      <c r="B4471" s="3">
        <f>IFERROR(__xludf.DUMMYFUNCTION("""COMPUTED_VALUE"""),11514.85)</f>
        <v>11514.85</v>
      </c>
      <c r="C4471" s="3">
        <f>IFERROR(__xludf.DUMMYFUNCTION("""COMPUTED_VALUE"""),11542.65)</f>
        <v>11542.65</v>
      </c>
      <c r="D4471" s="3">
        <f>IFERROR(__xludf.DUMMYFUNCTION("""COMPUTED_VALUE"""),11393.85)</f>
        <v>11393.85</v>
      </c>
      <c r="E4471" s="3">
        <f>IFERROR(__xludf.DUMMYFUNCTION("""COMPUTED_VALUE"""),11476.95)</f>
        <v>11476.95</v>
      </c>
      <c r="F4471" s="3">
        <f>IFERROR(__xludf.DUMMYFUNCTION("""COMPUTED_VALUE"""),0.0)</f>
        <v>0</v>
      </c>
    </row>
    <row r="4472">
      <c r="A4472" s="7">
        <f>IFERROR(__xludf.DUMMYFUNCTION("""COMPUTED_VALUE"""),43349.64583333333)</f>
        <v>43349.64583</v>
      </c>
      <c r="B4472" s="3">
        <f>IFERROR(__xludf.DUMMYFUNCTION("""COMPUTED_VALUE"""),11514.15)</f>
        <v>11514.15</v>
      </c>
      <c r="C4472" s="3">
        <f>IFERROR(__xludf.DUMMYFUNCTION("""COMPUTED_VALUE"""),11562.25)</f>
        <v>11562.25</v>
      </c>
      <c r="D4472" s="3">
        <f>IFERROR(__xludf.DUMMYFUNCTION("""COMPUTED_VALUE"""),11436.05)</f>
        <v>11436.05</v>
      </c>
      <c r="E4472" s="3">
        <f>IFERROR(__xludf.DUMMYFUNCTION("""COMPUTED_VALUE"""),11536.9)</f>
        <v>11536.9</v>
      </c>
      <c r="F4472" s="3">
        <f>IFERROR(__xludf.DUMMYFUNCTION("""COMPUTED_VALUE"""),0.0)</f>
        <v>0</v>
      </c>
    </row>
    <row r="4473">
      <c r="A4473" s="7">
        <f>IFERROR(__xludf.DUMMYFUNCTION("""COMPUTED_VALUE"""),43350.64583333333)</f>
        <v>43350.64583</v>
      </c>
      <c r="B4473" s="3">
        <f>IFERROR(__xludf.DUMMYFUNCTION("""COMPUTED_VALUE"""),11558.25)</f>
        <v>11558.25</v>
      </c>
      <c r="C4473" s="3">
        <f>IFERROR(__xludf.DUMMYFUNCTION("""COMPUTED_VALUE"""),11603.0)</f>
        <v>11603</v>
      </c>
      <c r="D4473" s="3">
        <f>IFERROR(__xludf.DUMMYFUNCTION("""COMPUTED_VALUE"""),11484.4)</f>
        <v>11484.4</v>
      </c>
      <c r="E4473" s="3">
        <f>IFERROR(__xludf.DUMMYFUNCTION("""COMPUTED_VALUE"""),11589.1)</f>
        <v>11589.1</v>
      </c>
      <c r="F4473" s="3">
        <f>IFERROR(__xludf.DUMMYFUNCTION("""COMPUTED_VALUE"""),0.0)</f>
        <v>0</v>
      </c>
    </row>
    <row r="4474">
      <c r="A4474" s="7">
        <f>IFERROR(__xludf.DUMMYFUNCTION("""COMPUTED_VALUE"""),43353.64583333333)</f>
        <v>43353.64583</v>
      </c>
      <c r="B4474" s="3">
        <f>IFERROR(__xludf.DUMMYFUNCTION("""COMPUTED_VALUE"""),11570.25)</f>
        <v>11570.25</v>
      </c>
      <c r="C4474" s="3">
        <f>IFERROR(__xludf.DUMMYFUNCTION("""COMPUTED_VALUE"""),11573.0)</f>
        <v>11573</v>
      </c>
      <c r="D4474" s="3">
        <f>IFERROR(__xludf.DUMMYFUNCTION("""COMPUTED_VALUE"""),11427.3)</f>
        <v>11427.3</v>
      </c>
      <c r="E4474" s="3">
        <f>IFERROR(__xludf.DUMMYFUNCTION("""COMPUTED_VALUE"""),11438.1)</f>
        <v>11438.1</v>
      </c>
      <c r="F4474" s="3">
        <f>IFERROR(__xludf.DUMMYFUNCTION("""COMPUTED_VALUE"""),0.0)</f>
        <v>0</v>
      </c>
    </row>
    <row r="4475">
      <c r="A4475" s="7">
        <f>IFERROR(__xludf.DUMMYFUNCTION("""COMPUTED_VALUE"""),43354.64583333333)</f>
        <v>43354.64583</v>
      </c>
      <c r="B4475" s="3">
        <f>IFERROR(__xludf.DUMMYFUNCTION("""COMPUTED_VALUE"""),11476.85)</f>
        <v>11476.85</v>
      </c>
      <c r="C4475" s="3">
        <f>IFERROR(__xludf.DUMMYFUNCTION("""COMPUTED_VALUE"""),11479.4)</f>
        <v>11479.4</v>
      </c>
      <c r="D4475" s="3">
        <f>IFERROR(__xludf.DUMMYFUNCTION("""COMPUTED_VALUE"""),11274.0)</f>
        <v>11274</v>
      </c>
      <c r="E4475" s="3">
        <f>IFERROR(__xludf.DUMMYFUNCTION("""COMPUTED_VALUE"""),11287.5)</f>
        <v>11287.5</v>
      </c>
      <c r="F4475" s="3">
        <f>IFERROR(__xludf.DUMMYFUNCTION("""COMPUTED_VALUE"""),0.0)</f>
        <v>0</v>
      </c>
    </row>
    <row r="4476">
      <c r="A4476" s="7">
        <f>IFERROR(__xludf.DUMMYFUNCTION("""COMPUTED_VALUE"""),43355.64583333333)</f>
        <v>43355.64583</v>
      </c>
      <c r="B4476" s="3">
        <f>IFERROR(__xludf.DUMMYFUNCTION("""COMPUTED_VALUE"""),11340.1)</f>
        <v>11340.1</v>
      </c>
      <c r="C4476" s="3">
        <f>IFERROR(__xludf.DUMMYFUNCTION("""COMPUTED_VALUE"""),11380.75)</f>
        <v>11380.75</v>
      </c>
      <c r="D4476" s="3">
        <f>IFERROR(__xludf.DUMMYFUNCTION("""COMPUTED_VALUE"""),11250.2)</f>
        <v>11250.2</v>
      </c>
      <c r="E4476" s="3">
        <f>IFERROR(__xludf.DUMMYFUNCTION("""COMPUTED_VALUE"""),11369.9)</f>
        <v>11369.9</v>
      </c>
      <c r="F4476" s="3">
        <f>IFERROR(__xludf.DUMMYFUNCTION("""COMPUTED_VALUE"""),0.0)</f>
        <v>0</v>
      </c>
    </row>
    <row r="4477">
      <c r="A4477" s="7">
        <f>IFERROR(__xludf.DUMMYFUNCTION("""COMPUTED_VALUE"""),43357.64583333333)</f>
        <v>43357.64583</v>
      </c>
      <c r="B4477" s="3">
        <f>IFERROR(__xludf.DUMMYFUNCTION("""COMPUTED_VALUE"""),11443.5)</f>
        <v>11443.5</v>
      </c>
      <c r="C4477" s="3">
        <f>IFERROR(__xludf.DUMMYFUNCTION("""COMPUTED_VALUE"""),11523.25)</f>
        <v>11523.25</v>
      </c>
      <c r="D4477" s="3">
        <f>IFERROR(__xludf.DUMMYFUNCTION("""COMPUTED_VALUE"""),11430.55)</f>
        <v>11430.55</v>
      </c>
      <c r="E4477" s="3">
        <f>IFERROR(__xludf.DUMMYFUNCTION("""COMPUTED_VALUE"""),11515.2)</f>
        <v>11515.2</v>
      </c>
      <c r="F4477" s="3">
        <f>IFERROR(__xludf.DUMMYFUNCTION("""COMPUTED_VALUE"""),0.0)</f>
        <v>0</v>
      </c>
    </row>
    <row r="4478">
      <c r="A4478" s="7">
        <f>IFERROR(__xludf.DUMMYFUNCTION("""COMPUTED_VALUE"""),43360.64583333333)</f>
        <v>43360.64583</v>
      </c>
      <c r="B4478" s="3">
        <f>IFERROR(__xludf.DUMMYFUNCTION("""COMPUTED_VALUE"""),11464.95)</f>
        <v>11464.95</v>
      </c>
      <c r="C4478" s="3">
        <f>IFERROR(__xludf.DUMMYFUNCTION("""COMPUTED_VALUE"""),11464.95)</f>
        <v>11464.95</v>
      </c>
      <c r="D4478" s="3">
        <f>IFERROR(__xludf.DUMMYFUNCTION("""COMPUTED_VALUE"""),11366.9)</f>
        <v>11366.9</v>
      </c>
      <c r="E4478" s="3">
        <f>IFERROR(__xludf.DUMMYFUNCTION("""COMPUTED_VALUE"""),11377.75)</f>
        <v>11377.75</v>
      </c>
      <c r="F4478" s="3">
        <f>IFERROR(__xludf.DUMMYFUNCTION("""COMPUTED_VALUE"""),0.0)</f>
        <v>0</v>
      </c>
    </row>
    <row r="4479">
      <c r="A4479" s="7">
        <f>IFERROR(__xludf.DUMMYFUNCTION("""COMPUTED_VALUE"""),43361.64583333333)</f>
        <v>43361.64583</v>
      </c>
      <c r="B4479" s="3">
        <f>IFERROR(__xludf.DUMMYFUNCTION("""COMPUTED_VALUE"""),11381.55)</f>
        <v>11381.55</v>
      </c>
      <c r="C4479" s="3">
        <f>IFERROR(__xludf.DUMMYFUNCTION("""COMPUTED_VALUE"""),11411.45)</f>
        <v>11411.45</v>
      </c>
      <c r="D4479" s="3">
        <f>IFERROR(__xludf.DUMMYFUNCTION("""COMPUTED_VALUE"""),11268.95)</f>
        <v>11268.95</v>
      </c>
      <c r="E4479" s="3">
        <f>IFERROR(__xludf.DUMMYFUNCTION("""COMPUTED_VALUE"""),11278.9)</f>
        <v>11278.9</v>
      </c>
      <c r="F4479" s="3">
        <f>IFERROR(__xludf.DUMMYFUNCTION("""COMPUTED_VALUE"""),0.0)</f>
        <v>0</v>
      </c>
    </row>
    <row r="4480">
      <c r="A4480" s="7">
        <f>IFERROR(__xludf.DUMMYFUNCTION("""COMPUTED_VALUE"""),43362.64583333333)</f>
        <v>43362.64583</v>
      </c>
      <c r="B4480" s="3">
        <f>IFERROR(__xludf.DUMMYFUNCTION("""COMPUTED_VALUE"""),11326.65)</f>
        <v>11326.65</v>
      </c>
      <c r="C4480" s="3">
        <f>IFERROR(__xludf.DUMMYFUNCTION("""COMPUTED_VALUE"""),11332.05)</f>
        <v>11332.05</v>
      </c>
      <c r="D4480" s="3">
        <f>IFERROR(__xludf.DUMMYFUNCTION("""COMPUTED_VALUE"""),11210.9)</f>
        <v>11210.9</v>
      </c>
      <c r="E4480" s="3">
        <f>IFERROR(__xludf.DUMMYFUNCTION("""COMPUTED_VALUE"""),11234.35)</f>
        <v>11234.35</v>
      </c>
      <c r="F4480" s="3">
        <f>IFERROR(__xludf.DUMMYFUNCTION("""COMPUTED_VALUE"""),0.0)</f>
        <v>0</v>
      </c>
    </row>
    <row r="4481">
      <c r="A4481" s="7">
        <f>IFERROR(__xludf.DUMMYFUNCTION("""COMPUTED_VALUE"""),43364.64583333333)</f>
        <v>43364.64583</v>
      </c>
      <c r="B4481" s="3">
        <f>IFERROR(__xludf.DUMMYFUNCTION("""COMPUTED_VALUE"""),11271.3)</f>
        <v>11271.3</v>
      </c>
      <c r="C4481" s="3">
        <f>IFERROR(__xludf.DUMMYFUNCTION("""COMPUTED_VALUE"""),11346.8)</f>
        <v>11346.8</v>
      </c>
      <c r="D4481" s="3">
        <f>IFERROR(__xludf.DUMMYFUNCTION("""COMPUTED_VALUE"""),10866.45)</f>
        <v>10866.45</v>
      </c>
      <c r="E4481" s="3">
        <f>IFERROR(__xludf.DUMMYFUNCTION("""COMPUTED_VALUE"""),11143.1)</f>
        <v>11143.1</v>
      </c>
      <c r="F4481" s="3">
        <f>IFERROR(__xludf.DUMMYFUNCTION("""COMPUTED_VALUE"""),0.0)</f>
        <v>0</v>
      </c>
    </row>
    <row r="4482">
      <c r="A4482" s="7">
        <f>IFERROR(__xludf.DUMMYFUNCTION("""COMPUTED_VALUE"""),43367.64583333333)</f>
        <v>43367.64583</v>
      </c>
      <c r="B4482" s="3">
        <f>IFERROR(__xludf.DUMMYFUNCTION("""COMPUTED_VALUE"""),11164.4)</f>
        <v>11164.4</v>
      </c>
      <c r="C4482" s="3">
        <f>IFERROR(__xludf.DUMMYFUNCTION("""COMPUTED_VALUE"""),11170.15)</f>
        <v>11170.15</v>
      </c>
      <c r="D4482" s="3">
        <f>IFERROR(__xludf.DUMMYFUNCTION("""COMPUTED_VALUE"""),10943.6)</f>
        <v>10943.6</v>
      </c>
      <c r="E4482" s="3">
        <f>IFERROR(__xludf.DUMMYFUNCTION("""COMPUTED_VALUE"""),10967.4)</f>
        <v>10967.4</v>
      </c>
      <c r="F4482" s="3">
        <f>IFERROR(__xludf.DUMMYFUNCTION("""COMPUTED_VALUE"""),0.0)</f>
        <v>0</v>
      </c>
    </row>
    <row r="4483">
      <c r="A4483" s="7">
        <f>IFERROR(__xludf.DUMMYFUNCTION("""COMPUTED_VALUE"""),43368.64583333333)</f>
        <v>43368.64583</v>
      </c>
      <c r="B4483" s="3">
        <f>IFERROR(__xludf.DUMMYFUNCTION("""COMPUTED_VALUE"""),10969.95)</f>
        <v>10969.95</v>
      </c>
      <c r="C4483" s="3">
        <f>IFERROR(__xludf.DUMMYFUNCTION("""COMPUTED_VALUE"""),11080.6)</f>
        <v>11080.6</v>
      </c>
      <c r="D4483" s="3">
        <f>IFERROR(__xludf.DUMMYFUNCTION("""COMPUTED_VALUE"""),10882.85)</f>
        <v>10882.85</v>
      </c>
      <c r="E4483" s="3">
        <f>IFERROR(__xludf.DUMMYFUNCTION("""COMPUTED_VALUE"""),11067.45)</f>
        <v>11067.45</v>
      </c>
      <c r="F4483" s="3">
        <f>IFERROR(__xludf.DUMMYFUNCTION("""COMPUTED_VALUE"""),0.0)</f>
        <v>0</v>
      </c>
    </row>
    <row r="4484">
      <c r="A4484" s="7">
        <f>IFERROR(__xludf.DUMMYFUNCTION("""COMPUTED_VALUE"""),43369.64583333333)</f>
        <v>43369.64583</v>
      </c>
      <c r="B4484" s="3">
        <f>IFERROR(__xludf.DUMMYFUNCTION("""COMPUTED_VALUE"""),11145.55)</f>
        <v>11145.55</v>
      </c>
      <c r="C4484" s="3">
        <f>IFERROR(__xludf.DUMMYFUNCTION("""COMPUTED_VALUE"""),11145.55)</f>
        <v>11145.55</v>
      </c>
      <c r="D4484" s="3">
        <f>IFERROR(__xludf.DUMMYFUNCTION("""COMPUTED_VALUE"""),10993.05)</f>
        <v>10993.05</v>
      </c>
      <c r="E4484" s="3">
        <f>IFERROR(__xludf.DUMMYFUNCTION("""COMPUTED_VALUE"""),11053.8)</f>
        <v>11053.8</v>
      </c>
      <c r="F4484" s="3">
        <f>IFERROR(__xludf.DUMMYFUNCTION("""COMPUTED_VALUE"""),0.0)</f>
        <v>0</v>
      </c>
    </row>
    <row r="4485">
      <c r="A4485" s="7">
        <f>IFERROR(__xludf.DUMMYFUNCTION("""COMPUTED_VALUE"""),43370.64583333333)</f>
        <v>43370.64583</v>
      </c>
      <c r="B4485" s="3">
        <f>IFERROR(__xludf.DUMMYFUNCTION("""COMPUTED_VALUE"""),11079.8)</f>
        <v>11079.8</v>
      </c>
      <c r="C4485" s="3">
        <f>IFERROR(__xludf.DUMMYFUNCTION("""COMPUTED_VALUE"""),11089.45)</f>
        <v>11089.45</v>
      </c>
      <c r="D4485" s="3">
        <f>IFERROR(__xludf.DUMMYFUNCTION("""COMPUTED_VALUE"""),10953.35)</f>
        <v>10953.35</v>
      </c>
      <c r="E4485" s="3">
        <f>IFERROR(__xludf.DUMMYFUNCTION("""COMPUTED_VALUE"""),10977.55)</f>
        <v>10977.55</v>
      </c>
      <c r="F4485" s="3">
        <f>IFERROR(__xludf.DUMMYFUNCTION("""COMPUTED_VALUE"""),0.0)</f>
        <v>0</v>
      </c>
    </row>
    <row r="4486">
      <c r="A4486" s="7">
        <f>IFERROR(__xludf.DUMMYFUNCTION("""COMPUTED_VALUE"""),43371.64583333333)</f>
        <v>43371.64583</v>
      </c>
      <c r="B4486" s="3">
        <f>IFERROR(__xludf.DUMMYFUNCTION("""COMPUTED_VALUE"""),11008.1)</f>
        <v>11008.1</v>
      </c>
      <c r="C4486" s="3">
        <f>IFERROR(__xludf.DUMMYFUNCTION("""COMPUTED_VALUE"""),11034.1)</f>
        <v>11034.1</v>
      </c>
      <c r="D4486" s="3">
        <f>IFERROR(__xludf.DUMMYFUNCTION("""COMPUTED_VALUE"""),10850.3)</f>
        <v>10850.3</v>
      </c>
      <c r="E4486" s="3">
        <f>IFERROR(__xludf.DUMMYFUNCTION("""COMPUTED_VALUE"""),10930.45)</f>
        <v>10930.45</v>
      </c>
      <c r="F4486" s="3">
        <f>IFERROR(__xludf.DUMMYFUNCTION("""COMPUTED_VALUE"""),0.0)</f>
        <v>0</v>
      </c>
    </row>
    <row r="4487">
      <c r="A4487" s="7">
        <f>IFERROR(__xludf.DUMMYFUNCTION("""COMPUTED_VALUE"""),43374.64583333333)</f>
        <v>43374.64583</v>
      </c>
      <c r="B4487" s="3">
        <f>IFERROR(__xludf.DUMMYFUNCTION("""COMPUTED_VALUE"""),10930.9)</f>
        <v>10930.9</v>
      </c>
      <c r="C4487" s="3">
        <f>IFERROR(__xludf.DUMMYFUNCTION("""COMPUTED_VALUE"""),11035.65)</f>
        <v>11035.65</v>
      </c>
      <c r="D4487" s="3">
        <f>IFERROR(__xludf.DUMMYFUNCTION("""COMPUTED_VALUE"""),10821.55)</f>
        <v>10821.55</v>
      </c>
      <c r="E4487" s="3">
        <f>IFERROR(__xludf.DUMMYFUNCTION("""COMPUTED_VALUE"""),11008.3)</f>
        <v>11008.3</v>
      </c>
      <c r="F4487" s="3">
        <f>IFERROR(__xludf.DUMMYFUNCTION("""COMPUTED_VALUE"""),0.0)</f>
        <v>0</v>
      </c>
    </row>
    <row r="4488">
      <c r="A4488" s="7">
        <f>IFERROR(__xludf.DUMMYFUNCTION("""COMPUTED_VALUE"""),43376.64583333333)</f>
        <v>43376.64583</v>
      </c>
      <c r="B4488" s="3">
        <f>IFERROR(__xludf.DUMMYFUNCTION("""COMPUTED_VALUE"""),10982.7)</f>
        <v>10982.7</v>
      </c>
      <c r="C4488" s="3">
        <f>IFERROR(__xludf.DUMMYFUNCTION("""COMPUTED_VALUE"""),10989.05)</f>
        <v>10989.05</v>
      </c>
      <c r="D4488" s="3">
        <f>IFERROR(__xludf.DUMMYFUNCTION("""COMPUTED_VALUE"""),10843.75)</f>
        <v>10843.75</v>
      </c>
      <c r="E4488" s="3">
        <f>IFERROR(__xludf.DUMMYFUNCTION("""COMPUTED_VALUE"""),10858.25)</f>
        <v>10858.25</v>
      </c>
      <c r="F4488" s="3">
        <f>IFERROR(__xludf.DUMMYFUNCTION("""COMPUTED_VALUE"""),0.0)</f>
        <v>0</v>
      </c>
    </row>
    <row r="4489">
      <c r="A4489" s="7">
        <f>IFERROR(__xludf.DUMMYFUNCTION("""COMPUTED_VALUE"""),43377.64583333333)</f>
        <v>43377.64583</v>
      </c>
      <c r="B4489" s="3">
        <f>IFERROR(__xludf.DUMMYFUNCTION("""COMPUTED_VALUE"""),10754.7)</f>
        <v>10754.7</v>
      </c>
      <c r="C4489" s="3">
        <f>IFERROR(__xludf.DUMMYFUNCTION("""COMPUTED_VALUE"""),10754.7)</f>
        <v>10754.7</v>
      </c>
      <c r="D4489" s="3">
        <f>IFERROR(__xludf.DUMMYFUNCTION("""COMPUTED_VALUE"""),10547.25)</f>
        <v>10547.25</v>
      </c>
      <c r="E4489" s="3">
        <f>IFERROR(__xludf.DUMMYFUNCTION("""COMPUTED_VALUE"""),10599.25)</f>
        <v>10599.25</v>
      </c>
      <c r="F4489" s="3">
        <f>IFERROR(__xludf.DUMMYFUNCTION("""COMPUTED_VALUE"""),0.0)</f>
        <v>0</v>
      </c>
    </row>
    <row r="4490">
      <c r="A4490" s="7">
        <f>IFERROR(__xludf.DUMMYFUNCTION("""COMPUTED_VALUE"""),43378.64583333333)</f>
        <v>43378.64583</v>
      </c>
      <c r="B4490" s="3">
        <f>IFERROR(__xludf.DUMMYFUNCTION("""COMPUTED_VALUE"""),10514.1)</f>
        <v>10514.1</v>
      </c>
      <c r="C4490" s="3">
        <f>IFERROR(__xludf.DUMMYFUNCTION("""COMPUTED_VALUE"""),10540.65)</f>
        <v>10540.65</v>
      </c>
      <c r="D4490" s="3">
        <f>IFERROR(__xludf.DUMMYFUNCTION("""COMPUTED_VALUE"""),10261.9)</f>
        <v>10261.9</v>
      </c>
      <c r="E4490" s="3">
        <f>IFERROR(__xludf.DUMMYFUNCTION("""COMPUTED_VALUE"""),10316.45)</f>
        <v>10316.45</v>
      </c>
      <c r="F4490" s="3">
        <f>IFERROR(__xludf.DUMMYFUNCTION("""COMPUTED_VALUE"""),0.0)</f>
        <v>0</v>
      </c>
    </row>
    <row r="4491">
      <c r="A4491" s="7">
        <f>IFERROR(__xludf.DUMMYFUNCTION("""COMPUTED_VALUE"""),43381.64583333333)</f>
        <v>43381.64583</v>
      </c>
      <c r="B4491" s="3">
        <f>IFERROR(__xludf.DUMMYFUNCTION("""COMPUTED_VALUE"""),10310.15)</f>
        <v>10310.15</v>
      </c>
      <c r="C4491" s="3">
        <f>IFERROR(__xludf.DUMMYFUNCTION("""COMPUTED_VALUE"""),10398.35)</f>
        <v>10398.35</v>
      </c>
      <c r="D4491" s="3">
        <f>IFERROR(__xludf.DUMMYFUNCTION("""COMPUTED_VALUE"""),10198.4)</f>
        <v>10198.4</v>
      </c>
      <c r="E4491" s="3">
        <f>IFERROR(__xludf.DUMMYFUNCTION("""COMPUTED_VALUE"""),10348.05)</f>
        <v>10348.05</v>
      </c>
      <c r="F4491" s="3">
        <f>IFERROR(__xludf.DUMMYFUNCTION("""COMPUTED_VALUE"""),0.0)</f>
        <v>0</v>
      </c>
    </row>
    <row r="4492">
      <c r="A4492" s="7">
        <f>IFERROR(__xludf.DUMMYFUNCTION("""COMPUTED_VALUE"""),43382.64583333333)</f>
        <v>43382.64583</v>
      </c>
      <c r="B4492" s="3">
        <f>IFERROR(__xludf.DUMMYFUNCTION("""COMPUTED_VALUE"""),10390.3)</f>
        <v>10390.3</v>
      </c>
      <c r="C4492" s="3">
        <f>IFERROR(__xludf.DUMMYFUNCTION("""COMPUTED_VALUE"""),10397.6)</f>
        <v>10397.6</v>
      </c>
      <c r="D4492" s="3">
        <f>IFERROR(__xludf.DUMMYFUNCTION("""COMPUTED_VALUE"""),10279.35)</f>
        <v>10279.35</v>
      </c>
      <c r="E4492" s="3">
        <f>IFERROR(__xludf.DUMMYFUNCTION("""COMPUTED_VALUE"""),10301.05)</f>
        <v>10301.05</v>
      </c>
      <c r="F4492" s="3">
        <f>IFERROR(__xludf.DUMMYFUNCTION("""COMPUTED_VALUE"""),0.0)</f>
        <v>0</v>
      </c>
    </row>
    <row r="4493">
      <c r="A4493" s="7">
        <f>IFERROR(__xludf.DUMMYFUNCTION("""COMPUTED_VALUE"""),43383.64583333333)</f>
        <v>43383.64583</v>
      </c>
      <c r="B4493" s="3">
        <f>IFERROR(__xludf.DUMMYFUNCTION("""COMPUTED_VALUE"""),10331.85)</f>
        <v>10331.85</v>
      </c>
      <c r="C4493" s="3">
        <f>IFERROR(__xludf.DUMMYFUNCTION("""COMPUTED_VALUE"""),10482.35)</f>
        <v>10482.35</v>
      </c>
      <c r="D4493" s="3">
        <f>IFERROR(__xludf.DUMMYFUNCTION("""COMPUTED_VALUE"""),10318.25)</f>
        <v>10318.25</v>
      </c>
      <c r="E4493" s="3">
        <f>IFERROR(__xludf.DUMMYFUNCTION("""COMPUTED_VALUE"""),10460.1)</f>
        <v>10460.1</v>
      </c>
      <c r="F4493" s="3">
        <f>IFERROR(__xludf.DUMMYFUNCTION("""COMPUTED_VALUE"""),0.0)</f>
        <v>0</v>
      </c>
    </row>
    <row r="4494">
      <c r="A4494" s="7">
        <f>IFERROR(__xludf.DUMMYFUNCTION("""COMPUTED_VALUE"""),43384.64583333333)</f>
        <v>43384.64583</v>
      </c>
      <c r="B4494" s="3">
        <f>IFERROR(__xludf.DUMMYFUNCTION("""COMPUTED_VALUE"""),10169.8)</f>
        <v>10169.8</v>
      </c>
      <c r="C4494" s="3">
        <f>IFERROR(__xludf.DUMMYFUNCTION("""COMPUTED_VALUE"""),10335.95)</f>
        <v>10335.95</v>
      </c>
      <c r="D4494" s="3">
        <f>IFERROR(__xludf.DUMMYFUNCTION("""COMPUTED_VALUE"""),10138.6)</f>
        <v>10138.6</v>
      </c>
      <c r="E4494" s="3">
        <f>IFERROR(__xludf.DUMMYFUNCTION("""COMPUTED_VALUE"""),10234.65)</f>
        <v>10234.65</v>
      </c>
      <c r="F4494" s="3">
        <f>IFERROR(__xludf.DUMMYFUNCTION("""COMPUTED_VALUE"""),0.0)</f>
        <v>0</v>
      </c>
    </row>
    <row r="4495">
      <c r="A4495" s="7">
        <f>IFERROR(__xludf.DUMMYFUNCTION("""COMPUTED_VALUE"""),43385.64583333333)</f>
        <v>43385.64583</v>
      </c>
      <c r="B4495" s="3">
        <f>IFERROR(__xludf.DUMMYFUNCTION("""COMPUTED_VALUE"""),10331.55)</f>
        <v>10331.55</v>
      </c>
      <c r="C4495" s="3">
        <f>IFERROR(__xludf.DUMMYFUNCTION("""COMPUTED_VALUE"""),10492.45)</f>
        <v>10492.45</v>
      </c>
      <c r="D4495" s="3">
        <f>IFERROR(__xludf.DUMMYFUNCTION("""COMPUTED_VALUE"""),10322.15)</f>
        <v>10322.15</v>
      </c>
      <c r="E4495" s="3">
        <f>IFERROR(__xludf.DUMMYFUNCTION("""COMPUTED_VALUE"""),10472.5)</f>
        <v>10472.5</v>
      </c>
      <c r="F4495" s="3">
        <f>IFERROR(__xludf.DUMMYFUNCTION("""COMPUTED_VALUE"""),0.0)</f>
        <v>0</v>
      </c>
    </row>
    <row r="4496">
      <c r="A4496" s="7">
        <f>IFERROR(__xludf.DUMMYFUNCTION("""COMPUTED_VALUE"""),43388.64583333333)</f>
        <v>43388.64583</v>
      </c>
      <c r="B4496" s="3">
        <f>IFERROR(__xludf.DUMMYFUNCTION("""COMPUTED_VALUE"""),10524.2)</f>
        <v>10524.2</v>
      </c>
      <c r="C4496" s="3">
        <f>IFERROR(__xludf.DUMMYFUNCTION("""COMPUTED_VALUE"""),10526.3)</f>
        <v>10526.3</v>
      </c>
      <c r="D4496" s="3">
        <f>IFERROR(__xludf.DUMMYFUNCTION("""COMPUTED_VALUE"""),10410.15)</f>
        <v>10410.15</v>
      </c>
      <c r="E4496" s="3">
        <f>IFERROR(__xludf.DUMMYFUNCTION("""COMPUTED_VALUE"""),10512.5)</f>
        <v>10512.5</v>
      </c>
      <c r="F4496" s="3">
        <f>IFERROR(__xludf.DUMMYFUNCTION("""COMPUTED_VALUE"""),0.0)</f>
        <v>0</v>
      </c>
    </row>
    <row r="4497">
      <c r="A4497" s="7">
        <f>IFERROR(__xludf.DUMMYFUNCTION("""COMPUTED_VALUE"""),43389.64583333333)</f>
        <v>43389.64583</v>
      </c>
      <c r="B4497" s="3">
        <f>IFERROR(__xludf.DUMMYFUNCTION("""COMPUTED_VALUE"""),10550.15)</f>
        <v>10550.15</v>
      </c>
      <c r="C4497" s="3">
        <f>IFERROR(__xludf.DUMMYFUNCTION("""COMPUTED_VALUE"""),10604.9)</f>
        <v>10604.9</v>
      </c>
      <c r="D4497" s="3">
        <f>IFERROR(__xludf.DUMMYFUNCTION("""COMPUTED_VALUE"""),10525.3)</f>
        <v>10525.3</v>
      </c>
      <c r="E4497" s="3">
        <f>IFERROR(__xludf.DUMMYFUNCTION("""COMPUTED_VALUE"""),10584.75)</f>
        <v>10584.75</v>
      </c>
      <c r="F4497" s="3">
        <f>IFERROR(__xludf.DUMMYFUNCTION("""COMPUTED_VALUE"""),0.0)</f>
        <v>0</v>
      </c>
    </row>
    <row r="4498">
      <c r="A4498" s="7">
        <f>IFERROR(__xludf.DUMMYFUNCTION("""COMPUTED_VALUE"""),43390.64583333333)</f>
        <v>43390.64583</v>
      </c>
      <c r="B4498" s="3">
        <f>IFERROR(__xludf.DUMMYFUNCTION("""COMPUTED_VALUE"""),10688.7)</f>
        <v>10688.7</v>
      </c>
      <c r="C4498" s="3">
        <f>IFERROR(__xludf.DUMMYFUNCTION("""COMPUTED_VALUE"""),10710.15)</f>
        <v>10710.15</v>
      </c>
      <c r="D4498" s="3">
        <f>IFERROR(__xludf.DUMMYFUNCTION("""COMPUTED_VALUE"""),10436.45)</f>
        <v>10436.45</v>
      </c>
      <c r="E4498" s="3">
        <f>IFERROR(__xludf.DUMMYFUNCTION("""COMPUTED_VALUE"""),10453.05)</f>
        <v>10453.05</v>
      </c>
      <c r="F4498" s="3">
        <f>IFERROR(__xludf.DUMMYFUNCTION("""COMPUTED_VALUE"""),0.0)</f>
        <v>0</v>
      </c>
    </row>
    <row r="4499">
      <c r="A4499" s="7">
        <f>IFERROR(__xludf.DUMMYFUNCTION("""COMPUTED_VALUE"""),43392.64583333333)</f>
        <v>43392.64583</v>
      </c>
      <c r="B4499" s="3">
        <f>IFERROR(__xludf.DUMMYFUNCTION("""COMPUTED_VALUE"""),10339.7)</f>
        <v>10339.7</v>
      </c>
      <c r="C4499" s="3">
        <f>IFERROR(__xludf.DUMMYFUNCTION("""COMPUTED_VALUE"""),10380.1)</f>
        <v>10380.1</v>
      </c>
      <c r="D4499" s="3">
        <f>IFERROR(__xludf.DUMMYFUNCTION("""COMPUTED_VALUE"""),10249.6)</f>
        <v>10249.6</v>
      </c>
      <c r="E4499" s="3">
        <f>IFERROR(__xludf.DUMMYFUNCTION("""COMPUTED_VALUE"""),10303.55)</f>
        <v>10303.55</v>
      </c>
      <c r="F4499" s="3">
        <f>IFERROR(__xludf.DUMMYFUNCTION("""COMPUTED_VALUE"""),0.0)</f>
        <v>0</v>
      </c>
    </row>
    <row r="4500">
      <c r="A4500" s="7">
        <f>IFERROR(__xludf.DUMMYFUNCTION("""COMPUTED_VALUE"""),43395.64583333333)</f>
        <v>43395.64583</v>
      </c>
      <c r="B4500" s="3">
        <f>IFERROR(__xludf.DUMMYFUNCTION("""COMPUTED_VALUE"""),10405.85)</f>
        <v>10405.85</v>
      </c>
      <c r="C4500" s="3">
        <f>IFERROR(__xludf.DUMMYFUNCTION("""COMPUTED_VALUE"""),10408.55)</f>
        <v>10408.55</v>
      </c>
      <c r="D4500" s="3">
        <f>IFERROR(__xludf.DUMMYFUNCTION("""COMPUTED_VALUE"""),10224.0)</f>
        <v>10224</v>
      </c>
      <c r="E4500" s="3">
        <f>IFERROR(__xludf.DUMMYFUNCTION("""COMPUTED_VALUE"""),10245.25)</f>
        <v>10245.25</v>
      </c>
      <c r="F4500" s="3">
        <f>IFERROR(__xludf.DUMMYFUNCTION("""COMPUTED_VALUE"""),0.0)</f>
        <v>0</v>
      </c>
    </row>
    <row r="4501">
      <c r="A4501" s="7">
        <f>IFERROR(__xludf.DUMMYFUNCTION("""COMPUTED_VALUE"""),43396.64583333333)</f>
        <v>43396.64583</v>
      </c>
      <c r="B4501" s="3">
        <f>IFERROR(__xludf.DUMMYFUNCTION("""COMPUTED_VALUE"""),10152.6)</f>
        <v>10152.6</v>
      </c>
      <c r="C4501" s="3">
        <f>IFERROR(__xludf.DUMMYFUNCTION("""COMPUTED_VALUE"""),10222.1)</f>
        <v>10222.1</v>
      </c>
      <c r="D4501" s="3">
        <f>IFERROR(__xludf.DUMMYFUNCTION("""COMPUTED_VALUE"""),10102.35)</f>
        <v>10102.35</v>
      </c>
      <c r="E4501" s="3">
        <f>IFERROR(__xludf.DUMMYFUNCTION("""COMPUTED_VALUE"""),10146.8)</f>
        <v>10146.8</v>
      </c>
      <c r="F4501" s="3">
        <f>IFERROR(__xludf.DUMMYFUNCTION("""COMPUTED_VALUE"""),0.0)</f>
        <v>0</v>
      </c>
    </row>
    <row r="4502">
      <c r="A4502" s="7">
        <f>IFERROR(__xludf.DUMMYFUNCTION("""COMPUTED_VALUE"""),43397.64583333333)</f>
        <v>43397.64583</v>
      </c>
      <c r="B4502" s="3">
        <f>IFERROR(__xludf.DUMMYFUNCTION("""COMPUTED_VALUE"""),10278.15)</f>
        <v>10278.15</v>
      </c>
      <c r="C4502" s="3">
        <f>IFERROR(__xludf.DUMMYFUNCTION("""COMPUTED_VALUE"""),10290.65)</f>
        <v>10290.65</v>
      </c>
      <c r="D4502" s="3">
        <f>IFERROR(__xludf.DUMMYFUNCTION("""COMPUTED_VALUE"""),10126.7)</f>
        <v>10126.7</v>
      </c>
      <c r="E4502" s="3">
        <f>IFERROR(__xludf.DUMMYFUNCTION("""COMPUTED_VALUE"""),10224.75)</f>
        <v>10224.75</v>
      </c>
      <c r="F4502" s="3">
        <f>IFERROR(__xludf.DUMMYFUNCTION("""COMPUTED_VALUE"""),0.0)</f>
        <v>0</v>
      </c>
    </row>
    <row r="4503">
      <c r="A4503" s="7">
        <f>IFERROR(__xludf.DUMMYFUNCTION("""COMPUTED_VALUE"""),43398.64583333333)</f>
        <v>43398.64583</v>
      </c>
      <c r="B4503" s="3">
        <f>IFERROR(__xludf.DUMMYFUNCTION("""COMPUTED_VALUE"""),10135.05)</f>
        <v>10135.05</v>
      </c>
      <c r="C4503" s="3">
        <f>IFERROR(__xludf.DUMMYFUNCTION("""COMPUTED_VALUE"""),10166.6)</f>
        <v>10166.6</v>
      </c>
      <c r="D4503" s="3">
        <f>IFERROR(__xludf.DUMMYFUNCTION("""COMPUTED_VALUE"""),10079.3)</f>
        <v>10079.3</v>
      </c>
      <c r="E4503" s="3">
        <f>IFERROR(__xludf.DUMMYFUNCTION("""COMPUTED_VALUE"""),10124.9)</f>
        <v>10124.9</v>
      </c>
      <c r="F4503" s="3">
        <f>IFERROR(__xludf.DUMMYFUNCTION("""COMPUTED_VALUE"""),0.0)</f>
        <v>0</v>
      </c>
    </row>
    <row r="4504">
      <c r="A4504" s="7">
        <f>IFERROR(__xludf.DUMMYFUNCTION("""COMPUTED_VALUE"""),43399.64583333333)</f>
        <v>43399.64583</v>
      </c>
      <c r="B4504" s="3">
        <f>IFERROR(__xludf.DUMMYFUNCTION("""COMPUTED_VALUE"""),10122.35)</f>
        <v>10122.35</v>
      </c>
      <c r="C4504" s="3">
        <f>IFERROR(__xludf.DUMMYFUNCTION("""COMPUTED_VALUE"""),10128.85)</f>
        <v>10128.85</v>
      </c>
      <c r="D4504" s="3">
        <f>IFERROR(__xludf.DUMMYFUNCTION("""COMPUTED_VALUE"""),10004.55)</f>
        <v>10004.55</v>
      </c>
      <c r="E4504" s="3">
        <f>IFERROR(__xludf.DUMMYFUNCTION("""COMPUTED_VALUE"""),10030.0)</f>
        <v>10030</v>
      </c>
      <c r="F4504" s="3">
        <f>IFERROR(__xludf.DUMMYFUNCTION("""COMPUTED_VALUE"""),0.0)</f>
        <v>0</v>
      </c>
    </row>
    <row r="4505">
      <c r="A4505" s="7">
        <f>IFERROR(__xludf.DUMMYFUNCTION("""COMPUTED_VALUE"""),43402.64583333333)</f>
        <v>43402.64583</v>
      </c>
      <c r="B4505" s="3">
        <f>IFERROR(__xludf.DUMMYFUNCTION("""COMPUTED_VALUE"""),10078.1)</f>
        <v>10078.1</v>
      </c>
      <c r="C4505" s="3">
        <f>IFERROR(__xludf.DUMMYFUNCTION("""COMPUTED_VALUE"""),10275.3)</f>
        <v>10275.3</v>
      </c>
      <c r="D4505" s="3">
        <f>IFERROR(__xludf.DUMMYFUNCTION("""COMPUTED_VALUE"""),10020.35)</f>
        <v>10020.35</v>
      </c>
      <c r="E4505" s="3">
        <f>IFERROR(__xludf.DUMMYFUNCTION("""COMPUTED_VALUE"""),10250.85)</f>
        <v>10250.85</v>
      </c>
      <c r="F4505" s="3">
        <f>IFERROR(__xludf.DUMMYFUNCTION("""COMPUTED_VALUE"""),0.0)</f>
        <v>0</v>
      </c>
    </row>
    <row r="4506">
      <c r="A4506" s="7">
        <f>IFERROR(__xludf.DUMMYFUNCTION("""COMPUTED_VALUE"""),43403.64583333333)</f>
        <v>43403.64583</v>
      </c>
      <c r="B4506" s="3">
        <f>IFERROR(__xludf.DUMMYFUNCTION("""COMPUTED_VALUE"""),10239.4)</f>
        <v>10239.4</v>
      </c>
      <c r="C4506" s="3">
        <f>IFERROR(__xludf.DUMMYFUNCTION("""COMPUTED_VALUE"""),10285.1)</f>
        <v>10285.1</v>
      </c>
      <c r="D4506" s="3">
        <f>IFERROR(__xludf.DUMMYFUNCTION("""COMPUTED_VALUE"""),10175.35)</f>
        <v>10175.35</v>
      </c>
      <c r="E4506" s="3">
        <f>IFERROR(__xludf.DUMMYFUNCTION("""COMPUTED_VALUE"""),10198.4)</f>
        <v>10198.4</v>
      </c>
      <c r="F4506" s="3">
        <f>IFERROR(__xludf.DUMMYFUNCTION("""COMPUTED_VALUE"""),0.0)</f>
        <v>0</v>
      </c>
    </row>
    <row r="4507">
      <c r="A4507" s="7">
        <f>IFERROR(__xludf.DUMMYFUNCTION("""COMPUTED_VALUE"""),43404.64583333333)</f>
        <v>43404.64583</v>
      </c>
      <c r="B4507" s="3">
        <f>IFERROR(__xludf.DUMMYFUNCTION("""COMPUTED_VALUE"""),10209.55)</f>
        <v>10209.55</v>
      </c>
      <c r="C4507" s="3">
        <f>IFERROR(__xludf.DUMMYFUNCTION("""COMPUTED_VALUE"""),10396.0)</f>
        <v>10396</v>
      </c>
      <c r="D4507" s="3">
        <f>IFERROR(__xludf.DUMMYFUNCTION("""COMPUTED_VALUE"""),10105.1)</f>
        <v>10105.1</v>
      </c>
      <c r="E4507" s="3">
        <f>IFERROR(__xludf.DUMMYFUNCTION("""COMPUTED_VALUE"""),10386.6)</f>
        <v>10386.6</v>
      </c>
      <c r="F4507" s="3">
        <f>IFERROR(__xludf.DUMMYFUNCTION("""COMPUTED_VALUE"""),0.0)</f>
        <v>0</v>
      </c>
    </row>
    <row r="4508">
      <c r="A4508" s="7">
        <f>IFERROR(__xludf.DUMMYFUNCTION("""COMPUTED_VALUE"""),43405.64583333333)</f>
        <v>43405.64583</v>
      </c>
      <c r="B4508" s="3">
        <f>IFERROR(__xludf.DUMMYFUNCTION("""COMPUTED_VALUE"""),10441.7)</f>
        <v>10441.7</v>
      </c>
      <c r="C4508" s="3">
        <f>IFERROR(__xludf.DUMMYFUNCTION("""COMPUTED_VALUE"""),10441.9)</f>
        <v>10441.9</v>
      </c>
      <c r="D4508" s="3">
        <f>IFERROR(__xludf.DUMMYFUNCTION("""COMPUTED_VALUE"""),10341.9)</f>
        <v>10341.9</v>
      </c>
      <c r="E4508" s="3">
        <f>IFERROR(__xludf.DUMMYFUNCTION("""COMPUTED_VALUE"""),10380.45)</f>
        <v>10380.45</v>
      </c>
      <c r="F4508" s="3">
        <f>IFERROR(__xludf.DUMMYFUNCTION("""COMPUTED_VALUE"""),0.0)</f>
        <v>0</v>
      </c>
    </row>
    <row r="4509">
      <c r="A4509" s="7">
        <f>IFERROR(__xludf.DUMMYFUNCTION("""COMPUTED_VALUE"""),43406.64583333333)</f>
        <v>43406.64583</v>
      </c>
      <c r="B4509" s="3">
        <f>IFERROR(__xludf.DUMMYFUNCTION("""COMPUTED_VALUE"""),10462.3)</f>
        <v>10462.3</v>
      </c>
      <c r="C4509" s="3">
        <f>IFERROR(__xludf.DUMMYFUNCTION("""COMPUTED_VALUE"""),10606.95)</f>
        <v>10606.95</v>
      </c>
      <c r="D4509" s="3">
        <f>IFERROR(__xludf.DUMMYFUNCTION("""COMPUTED_VALUE"""),10457.7)</f>
        <v>10457.7</v>
      </c>
      <c r="E4509" s="3">
        <f>IFERROR(__xludf.DUMMYFUNCTION("""COMPUTED_VALUE"""),10553.0)</f>
        <v>10553</v>
      </c>
      <c r="F4509" s="3">
        <f>IFERROR(__xludf.DUMMYFUNCTION("""COMPUTED_VALUE"""),0.0)</f>
        <v>0</v>
      </c>
    </row>
    <row r="4510">
      <c r="A4510" s="7">
        <f>IFERROR(__xludf.DUMMYFUNCTION("""COMPUTED_VALUE"""),43409.79166666667)</f>
        <v>43409.79167</v>
      </c>
      <c r="B4510" s="3">
        <f>IFERROR(__xludf.DUMMYFUNCTION("""COMPUTED_VALUE"""),10558.75)</f>
        <v>10558.75</v>
      </c>
      <c r="C4510" s="3">
        <f>IFERROR(__xludf.DUMMYFUNCTION("""COMPUTED_VALUE"""),10558.8)</f>
        <v>10558.8</v>
      </c>
      <c r="D4510" s="3">
        <f>IFERROR(__xludf.DUMMYFUNCTION("""COMPUTED_VALUE"""),10477.0)</f>
        <v>10477</v>
      </c>
      <c r="E4510" s="3">
        <f>IFERROR(__xludf.DUMMYFUNCTION("""COMPUTED_VALUE"""),10524.0)</f>
        <v>10524</v>
      </c>
      <c r="F4510" s="3">
        <f>IFERROR(__xludf.DUMMYFUNCTION("""COMPUTED_VALUE"""),0.0)</f>
        <v>0</v>
      </c>
    </row>
    <row r="4511">
      <c r="A4511" s="7">
        <f>IFERROR(__xludf.DUMMYFUNCTION("""COMPUTED_VALUE"""),43410.64583333333)</f>
        <v>43410.64583</v>
      </c>
      <c r="B4511" s="3">
        <f>IFERROR(__xludf.DUMMYFUNCTION("""COMPUTED_VALUE"""),10552.0)</f>
        <v>10552</v>
      </c>
      <c r="C4511" s="3">
        <f>IFERROR(__xludf.DUMMYFUNCTION("""COMPUTED_VALUE"""),10600.25)</f>
        <v>10600.25</v>
      </c>
      <c r="D4511" s="3">
        <f>IFERROR(__xludf.DUMMYFUNCTION("""COMPUTED_VALUE"""),10491.45)</f>
        <v>10491.45</v>
      </c>
      <c r="E4511" s="3">
        <f>IFERROR(__xludf.DUMMYFUNCTION("""COMPUTED_VALUE"""),10530.0)</f>
        <v>10530</v>
      </c>
      <c r="F4511" s="3">
        <f>IFERROR(__xludf.DUMMYFUNCTION("""COMPUTED_VALUE"""),0.0)</f>
        <v>0</v>
      </c>
    </row>
    <row r="4512">
      <c r="A4512" s="7">
        <f>IFERROR(__xludf.DUMMYFUNCTION("""COMPUTED_VALUE"""),43413.64583333333)</f>
        <v>43413.64583</v>
      </c>
      <c r="B4512" s="3">
        <f>IFERROR(__xludf.DUMMYFUNCTION("""COMPUTED_VALUE"""),10614.7)</f>
        <v>10614.7</v>
      </c>
      <c r="C4512" s="3">
        <f>IFERROR(__xludf.DUMMYFUNCTION("""COMPUTED_VALUE"""),10619.55)</f>
        <v>10619.55</v>
      </c>
      <c r="D4512" s="3">
        <f>IFERROR(__xludf.DUMMYFUNCTION("""COMPUTED_VALUE"""),10544.85)</f>
        <v>10544.85</v>
      </c>
      <c r="E4512" s="3">
        <f>IFERROR(__xludf.DUMMYFUNCTION("""COMPUTED_VALUE"""),10585.2)</f>
        <v>10585.2</v>
      </c>
      <c r="F4512" s="3">
        <f>IFERROR(__xludf.DUMMYFUNCTION("""COMPUTED_VALUE"""),0.0)</f>
        <v>0</v>
      </c>
    </row>
    <row r="4513">
      <c r="A4513" s="7">
        <f>IFERROR(__xludf.DUMMYFUNCTION("""COMPUTED_VALUE"""),43416.64583333333)</f>
        <v>43416.64583</v>
      </c>
      <c r="B4513" s="3">
        <f>IFERROR(__xludf.DUMMYFUNCTION("""COMPUTED_VALUE"""),10607.8)</f>
        <v>10607.8</v>
      </c>
      <c r="C4513" s="3">
        <f>IFERROR(__xludf.DUMMYFUNCTION("""COMPUTED_VALUE"""),10645.5)</f>
        <v>10645.5</v>
      </c>
      <c r="D4513" s="3">
        <f>IFERROR(__xludf.DUMMYFUNCTION("""COMPUTED_VALUE"""),10464.05)</f>
        <v>10464.05</v>
      </c>
      <c r="E4513" s="3">
        <f>IFERROR(__xludf.DUMMYFUNCTION("""COMPUTED_VALUE"""),10482.2)</f>
        <v>10482.2</v>
      </c>
      <c r="F4513" s="3">
        <f>IFERROR(__xludf.DUMMYFUNCTION("""COMPUTED_VALUE"""),0.0)</f>
        <v>0</v>
      </c>
    </row>
    <row r="4514">
      <c r="A4514" s="7">
        <f>IFERROR(__xludf.DUMMYFUNCTION("""COMPUTED_VALUE"""),43417.64583333333)</f>
        <v>43417.64583</v>
      </c>
      <c r="B4514" s="3">
        <f>IFERROR(__xludf.DUMMYFUNCTION("""COMPUTED_VALUE"""),10451.9)</f>
        <v>10451.9</v>
      </c>
      <c r="C4514" s="3">
        <f>IFERROR(__xludf.DUMMYFUNCTION("""COMPUTED_VALUE"""),10596.25)</f>
        <v>10596.25</v>
      </c>
      <c r="D4514" s="3">
        <f>IFERROR(__xludf.DUMMYFUNCTION("""COMPUTED_VALUE"""),10440.55)</f>
        <v>10440.55</v>
      </c>
      <c r="E4514" s="3">
        <f>IFERROR(__xludf.DUMMYFUNCTION("""COMPUTED_VALUE"""),10582.5)</f>
        <v>10582.5</v>
      </c>
      <c r="F4514" s="3">
        <f>IFERROR(__xludf.DUMMYFUNCTION("""COMPUTED_VALUE"""),0.0)</f>
        <v>0</v>
      </c>
    </row>
    <row r="4515">
      <c r="A4515" s="7">
        <f>IFERROR(__xludf.DUMMYFUNCTION("""COMPUTED_VALUE"""),43418.64583333333)</f>
        <v>43418.64583</v>
      </c>
      <c r="B4515" s="3">
        <f>IFERROR(__xludf.DUMMYFUNCTION("""COMPUTED_VALUE"""),10634.9)</f>
        <v>10634.9</v>
      </c>
      <c r="C4515" s="3">
        <f>IFERROR(__xludf.DUMMYFUNCTION("""COMPUTED_VALUE"""),10651.6)</f>
        <v>10651.6</v>
      </c>
      <c r="D4515" s="3">
        <f>IFERROR(__xludf.DUMMYFUNCTION("""COMPUTED_VALUE"""),10532.7)</f>
        <v>10532.7</v>
      </c>
      <c r="E4515" s="3">
        <f>IFERROR(__xludf.DUMMYFUNCTION("""COMPUTED_VALUE"""),10576.3)</f>
        <v>10576.3</v>
      </c>
      <c r="F4515" s="3">
        <f>IFERROR(__xludf.DUMMYFUNCTION("""COMPUTED_VALUE"""),0.0)</f>
        <v>0</v>
      </c>
    </row>
    <row r="4516">
      <c r="A4516" s="7">
        <f>IFERROR(__xludf.DUMMYFUNCTION("""COMPUTED_VALUE"""),43419.64583333333)</f>
        <v>43419.64583</v>
      </c>
      <c r="B4516" s="3">
        <f>IFERROR(__xludf.DUMMYFUNCTION("""COMPUTED_VALUE"""),10580.6)</f>
        <v>10580.6</v>
      </c>
      <c r="C4516" s="3">
        <f>IFERROR(__xludf.DUMMYFUNCTION("""COMPUTED_VALUE"""),10646.5)</f>
        <v>10646.5</v>
      </c>
      <c r="D4516" s="3">
        <f>IFERROR(__xludf.DUMMYFUNCTION("""COMPUTED_VALUE"""),10557.5)</f>
        <v>10557.5</v>
      </c>
      <c r="E4516" s="3">
        <f>IFERROR(__xludf.DUMMYFUNCTION("""COMPUTED_VALUE"""),10616.7)</f>
        <v>10616.7</v>
      </c>
      <c r="F4516" s="3">
        <f>IFERROR(__xludf.DUMMYFUNCTION("""COMPUTED_VALUE"""),0.0)</f>
        <v>0</v>
      </c>
    </row>
    <row r="4517">
      <c r="A4517" s="7">
        <f>IFERROR(__xludf.DUMMYFUNCTION("""COMPUTED_VALUE"""),43420.64583333333)</f>
        <v>43420.64583</v>
      </c>
      <c r="B4517" s="3">
        <f>IFERROR(__xludf.DUMMYFUNCTION("""COMPUTED_VALUE"""),10644.0)</f>
        <v>10644</v>
      </c>
      <c r="C4517" s="3">
        <f>IFERROR(__xludf.DUMMYFUNCTION("""COMPUTED_VALUE"""),10695.15)</f>
        <v>10695.15</v>
      </c>
      <c r="D4517" s="3">
        <f>IFERROR(__xludf.DUMMYFUNCTION("""COMPUTED_VALUE"""),10631.15)</f>
        <v>10631.15</v>
      </c>
      <c r="E4517" s="3">
        <f>IFERROR(__xludf.DUMMYFUNCTION("""COMPUTED_VALUE"""),10682.2)</f>
        <v>10682.2</v>
      </c>
      <c r="F4517" s="3">
        <f>IFERROR(__xludf.DUMMYFUNCTION("""COMPUTED_VALUE"""),0.0)</f>
        <v>0</v>
      </c>
    </row>
    <row r="4518">
      <c r="A4518" s="7">
        <f>IFERROR(__xludf.DUMMYFUNCTION("""COMPUTED_VALUE"""),43423.64583333333)</f>
        <v>43423.64583</v>
      </c>
      <c r="B4518" s="3">
        <f>IFERROR(__xludf.DUMMYFUNCTION("""COMPUTED_VALUE"""),10731.25)</f>
        <v>10731.25</v>
      </c>
      <c r="C4518" s="3">
        <f>IFERROR(__xludf.DUMMYFUNCTION("""COMPUTED_VALUE"""),10774.7)</f>
        <v>10774.7</v>
      </c>
      <c r="D4518" s="3">
        <f>IFERROR(__xludf.DUMMYFUNCTION("""COMPUTED_VALUE"""),10688.8)</f>
        <v>10688.8</v>
      </c>
      <c r="E4518" s="3">
        <f>IFERROR(__xludf.DUMMYFUNCTION("""COMPUTED_VALUE"""),10763.4)</f>
        <v>10763.4</v>
      </c>
      <c r="F4518" s="3">
        <f>IFERROR(__xludf.DUMMYFUNCTION("""COMPUTED_VALUE"""),0.0)</f>
        <v>0</v>
      </c>
    </row>
    <row r="4519">
      <c r="A4519" s="7">
        <f>IFERROR(__xludf.DUMMYFUNCTION("""COMPUTED_VALUE"""),43424.64583333333)</f>
        <v>43424.64583</v>
      </c>
      <c r="B4519" s="3">
        <f>IFERROR(__xludf.DUMMYFUNCTION("""COMPUTED_VALUE"""),10740.1)</f>
        <v>10740.1</v>
      </c>
      <c r="C4519" s="3">
        <f>IFERROR(__xludf.DUMMYFUNCTION("""COMPUTED_VALUE"""),10740.85)</f>
        <v>10740.85</v>
      </c>
      <c r="D4519" s="3">
        <f>IFERROR(__xludf.DUMMYFUNCTION("""COMPUTED_VALUE"""),10640.85)</f>
        <v>10640.85</v>
      </c>
      <c r="E4519" s="3">
        <f>IFERROR(__xludf.DUMMYFUNCTION("""COMPUTED_VALUE"""),10656.2)</f>
        <v>10656.2</v>
      </c>
      <c r="F4519" s="3">
        <f>IFERROR(__xludf.DUMMYFUNCTION("""COMPUTED_VALUE"""),0.0)</f>
        <v>0</v>
      </c>
    </row>
    <row r="4520">
      <c r="A4520" s="7">
        <f>IFERROR(__xludf.DUMMYFUNCTION("""COMPUTED_VALUE"""),43425.64583333333)</f>
        <v>43425.64583</v>
      </c>
      <c r="B4520" s="3">
        <f>IFERROR(__xludf.DUMMYFUNCTION("""COMPUTED_VALUE"""),10670.95)</f>
        <v>10670.95</v>
      </c>
      <c r="C4520" s="3">
        <f>IFERROR(__xludf.DUMMYFUNCTION("""COMPUTED_VALUE"""),10671.3)</f>
        <v>10671.3</v>
      </c>
      <c r="D4520" s="3">
        <f>IFERROR(__xludf.DUMMYFUNCTION("""COMPUTED_VALUE"""),10562.35)</f>
        <v>10562.35</v>
      </c>
      <c r="E4520" s="3">
        <f>IFERROR(__xludf.DUMMYFUNCTION("""COMPUTED_VALUE"""),10600.05)</f>
        <v>10600.05</v>
      </c>
      <c r="F4520" s="3">
        <f>IFERROR(__xludf.DUMMYFUNCTION("""COMPUTED_VALUE"""),0.0)</f>
        <v>0</v>
      </c>
    </row>
    <row r="4521">
      <c r="A4521" s="7">
        <f>IFERROR(__xludf.DUMMYFUNCTION("""COMPUTED_VALUE"""),43426.64583333333)</f>
        <v>43426.64583</v>
      </c>
      <c r="B4521" s="3">
        <f>IFERROR(__xludf.DUMMYFUNCTION("""COMPUTED_VALUE"""),10612.65)</f>
        <v>10612.65</v>
      </c>
      <c r="C4521" s="3">
        <f>IFERROR(__xludf.DUMMYFUNCTION("""COMPUTED_VALUE"""),10646.25)</f>
        <v>10646.25</v>
      </c>
      <c r="D4521" s="3">
        <f>IFERROR(__xludf.DUMMYFUNCTION("""COMPUTED_VALUE"""),10512.0)</f>
        <v>10512</v>
      </c>
      <c r="E4521" s="3">
        <f>IFERROR(__xludf.DUMMYFUNCTION("""COMPUTED_VALUE"""),10526.75)</f>
        <v>10526.75</v>
      </c>
      <c r="F4521" s="3">
        <f>IFERROR(__xludf.DUMMYFUNCTION("""COMPUTED_VALUE"""),0.0)</f>
        <v>0</v>
      </c>
    </row>
    <row r="4522">
      <c r="A4522" s="7">
        <f>IFERROR(__xludf.DUMMYFUNCTION("""COMPUTED_VALUE"""),43430.64583333333)</f>
        <v>43430.64583</v>
      </c>
      <c r="B4522" s="3">
        <f>IFERROR(__xludf.DUMMYFUNCTION("""COMPUTED_VALUE"""),10568.3)</f>
        <v>10568.3</v>
      </c>
      <c r="C4522" s="3">
        <f>IFERROR(__xludf.DUMMYFUNCTION("""COMPUTED_VALUE"""),10637.8)</f>
        <v>10637.8</v>
      </c>
      <c r="D4522" s="3">
        <f>IFERROR(__xludf.DUMMYFUNCTION("""COMPUTED_VALUE"""),10489.75)</f>
        <v>10489.75</v>
      </c>
      <c r="E4522" s="3">
        <f>IFERROR(__xludf.DUMMYFUNCTION("""COMPUTED_VALUE"""),10628.6)</f>
        <v>10628.6</v>
      </c>
      <c r="F4522" s="3">
        <f>IFERROR(__xludf.DUMMYFUNCTION("""COMPUTED_VALUE"""),0.0)</f>
        <v>0</v>
      </c>
    </row>
    <row r="4523">
      <c r="A4523" s="7">
        <f>IFERROR(__xludf.DUMMYFUNCTION("""COMPUTED_VALUE"""),43431.64583333333)</f>
        <v>43431.64583</v>
      </c>
      <c r="B4523" s="3">
        <f>IFERROR(__xludf.DUMMYFUNCTION("""COMPUTED_VALUE"""),10621.45)</f>
        <v>10621.45</v>
      </c>
      <c r="C4523" s="3">
        <f>IFERROR(__xludf.DUMMYFUNCTION("""COMPUTED_VALUE"""),10695.15)</f>
        <v>10695.15</v>
      </c>
      <c r="D4523" s="3">
        <f>IFERROR(__xludf.DUMMYFUNCTION("""COMPUTED_VALUE"""),10596.35)</f>
        <v>10596.35</v>
      </c>
      <c r="E4523" s="3">
        <f>IFERROR(__xludf.DUMMYFUNCTION("""COMPUTED_VALUE"""),10685.6)</f>
        <v>10685.6</v>
      </c>
      <c r="F4523" s="3">
        <f>IFERROR(__xludf.DUMMYFUNCTION("""COMPUTED_VALUE"""),0.0)</f>
        <v>0</v>
      </c>
    </row>
    <row r="4524">
      <c r="A4524" s="7">
        <f>IFERROR(__xludf.DUMMYFUNCTION("""COMPUTED_VALUE"""),43432.64583333333)</f>
        <v>43432.64583</v>
      </c>
      <c r="B4524" s="3">
        <f>IFERROR(__xludf.DUMMYFUNCTION("""COMPUTED_VALUE"""),10708.75)</f>
        <v>10708.75</v>
      </c>
      <c r="C4524" s="3">
        <f>IFERROR(__xludf.DUMMYFUNCTION("""COMPUTED_VALUE"""),10757.8)</f>
        <v>10757.8</v>
      </c>
      <c r="D4524" s="3">
        <f>IFERROR(__xludf.DUMMYFUNCTION("""COMPUTED_VALUE"""),10699.85)</f>
        <v>10699.85</v>
      </c>
      <c r="E4524" s="3">
        <f>IFERROR(__xludf.DUMMYFUNCTION("""COMPUTED_VALUE"""),10728.85)</f>
        <v>10728.85</v>
      </c>
      <c r="F4524" s="3">
        <f>IFERROR(__xludf.DUMMYFUNCTION("""COMPUTED_VALUE"""),0.0)</f>
        <v>0</v>
      </c>
    </row>
    <row r="4525">
      <c r="A4525" s="7">
        <f>IFERROR(__xludf.DUMMYFUNCTION("""COMPUTED_VALUE"""),43433.64583333333)</f>
        <v>43433.64583</v>
      </c>
      <c r="B4525" s="3">
        <f>IFERROR(__xludf.DUMMYFUNCTION("""COMPUTED_VALUE"""),10808.7)</f>
        <v>10808.7</v>
      </c>
      <c r="C4525" s="3">
        <f>IFERROR(__xludf.DUMMYFUNCTION("""COMPUTED_VALUE"""),10883.05)</f>
        <v>10883.05</v>
      </c>
      <c r="D4525" s="3">
        <f>IFERROR(__xludf.DUMMYFUNCTION("""COMPUTED_VALUE"""),10782.35)</f>
        <v>10782.35</v>
      </c>
      <c r="E4525" s="3">
        <f>IFERROR(__xludf.DUMMYFUNCTION("""COMPUTED_VALUE"""),10858.7)</f>
        <v>10858.7</v>
      </c>
      <c r="F4525" s="3">
        <f>IFERROR(__xludf.DUMMYFUNCTION("""COMPUTED_VALUE"""),0.0)</f>
        <v>0</v>
      </c>
    </row>
    <row r="4526">
      <c r="A4526" s="7">
        <f>IFERROR(__xludf.DUMMYFUNCTION("""COMPUTED_VALUE"""),43434.64583333333)</f>
        <v>43434.64583</v>
      </c>
      <c r="B4526" s="3">
        <f>IFERROR(__xludf.DUMMYFUNCTION("""COMPUTED_VALUE"""),10892.1)</f>
        <v>10892.1</v>
      </c>
      <c r="C4526" s="3">
        <f>IFERROR(__xludf.DUMMYFUNCTION("""COMPUTED_VALUE"""),10922.45)</f>
        <v>10922.45</v>
      </c>
      <c r="D4526" s="3">
        <f>IFERROR(__xludf.DUMMYFUNCTION("""COMPUTED_VALUE"""),10835.1)</f>
        <v>10835.1</v>
      </c>
      <c r="E4526" s="3">
        <f>IFERROR(__xludf.DUMMYFUNCTION("""COMPUTED_VALUE"""),10876.75)</f>
        <v>10876.75</v>
      </c>
      <c r="F4526" s="3">
        <f>IFERROR(__xludf.DUMMYFUNCTION("""COMPUTED_VALUE"""),0.0)</f>
        <v>0</v>
      </c>
    </row>
    <row r="4527">
      <c r="A4527" s="7">
        <f>IFERROR(__xludf.DUMMYFUNCTION("""COMPUTED_VALUE"""),43437.64583333333)</f>
        <v>43437.64583</v>
      </c>
      <c r="B4527" s="3">
        <f>IFERROR(__xludf.DUMMYFUNCTION("""COMPUTED_VALUE"""),10930.7)</f>
        <v>10930.7</v>
      </c>
      <c r="C4527" s="3">
        <f>IFERROR(__xludf.DUMMYFUNCTION("""COMPUTED_VALUE"""),10941.2)</f>
        <v>10941.2</v>
      </c>
      <c r="D4527" s="3">
        <f>IFERROR(__xludf.DUMMYFUNCTION("""COMPUTED_VALUE"""),10845.35)</f>
        <v>10845.35</v>
      </c>
      <c r="E4527" s="3">
        <f>IFERROR(__xludf.DUMMYFUNCTION("""COMPUTED_VALUE"""),10883.75)</f>
        <v>10883.75</v>
      </c>
      <c r="F4527" s="3">
        <f>IFERROR(__xludf.DUMMYFUNCTION("""COMPUTED_VALUE"""),0.0)</f>
        <v>0</v>
      </c>
    </row>
    <row r="4528">
      <c r="A4528" s="7">
        <f>IFERROR(__xludf.DUMMYFUNCTION("""COMPUTED_VALUE"""),43438.64583333333)</f>
        <v>43438.64583</v>
      </c>
      <c r="B4528" s="3">
        <f>IFERROR(__xludf.DUMMYFUNCTION("""COMPUTED_VALUE"""),10877.1)</f>
        <v>10877.1</v>
      </c>
      <c r="C4528" s="3">
        <f>IFERROR(__xludf.DUMMYFUNCTION("""COMPUTED_VALUE"""),10890.95)</f>
        <v>10890.95</v>
      </c>
      <c r="D4528" s="3">
        <f>IFERROR(__xludf.DUMMYFUNCTION("""COMPUTED_VALUE"""),10833.35)</f>
        <v>10833.35</v>
      </c>
      <c r="E4528" s="3">
        <f>IFERROR(__xludf.DUMMYFUNCTION("""COMPUTED_VALUE"""),10869.5)</f>
        <v>10869.5</v>
      </c>
      <c r="F4528" s="3">
        <f>IFERROR(__xludf.DUMMYFUNCTION("""COMPUTED_VALUE"""),0.0)</f>
        <v>0</v>
      </c>
    </row>
    <row r="4529">
      <c r="A4529" s="7">
        <f>IFERROR(__xludf.DUMMYFUNCTION("""COMPUTED_VALUE"""),43439.64583333333)</f>
        <v>43439.64583</v>
      </c>
      <c r="B4529" s="3">
        <f>IFERROR(__xludf.DUMMYFUNCTION("""COMPUTED_VALUE"""),10820.45)</f>
        <v>10820.45</v>
      </c>
      <c r="C4529" s="3">
        <f>IFERROR(__xludf.DUMMYFUNCTION("""COMPUTED_VALUE"""),10821.05)</f>
        <v>10821.05</v>
      </c>
      <c r="D4529" s="3">
        <f>IFERROR(__xludf.DUMMYFUNCTION("""COMPUTED_VALUE"""),10747.95)</f>
        <v>10747.95</v>
      </c>
      <c r="E4529" s="3">
        <f>IFERROR(__xludf.DUMMYFUNCTION("""COMPUTED_VALUE"""),10782.9)</f>
        <v>10782.9</v>
      </c>
      <c r="F4529" s="3">
        <f>IFERROR(__xludf.DUMMYFUNCTION("""COMPUTED_VALUE"""),0.0)</f>
        <v>0</v>
      </c>
    </row>
    <row r="4530">
      <c r="A4530" s="7">
        <f>IFERROR(__xludf.DUMMYFUNCTION("""COMPUTED_VALUE"""),43440.64583333333)</f>
        <v>43440.64583</v>
      </c>
      <c r="B4530" s="3">
        <f>IFERROR(__xludf.DUMMYFUNCTION("""COMPUTED_VALUE"""),10718.15)</f>
        <v>10718.15</v>
      </c>
      <c r="C4530" s="3">
        <f>IFERROR(__xludf.DUMMYFUNCTION("""COMPUTED_VALUE"""),10722.65)</f>
        <v>10722.65</v>
      </c>
      <c r="D4530" s="3">
        <f>IFERROR(__xludf.DUMMYFUNCTION("""COMPUTED_VALUE"""),10588.25)</f>
        <v>10588.25</v>
      </c>
      <c r="E4530" s="3">
        <f>IFERROR(__xludf.DUMMYFUNCTION("""COMPUTED_VALUE"""),10601.15)</f>
        <v>10601.15</v>
      </c>
      <c r="F4530" s="3">
        <f>IFERROR(__xludf.DUMMYFUNCTION("""COMPUTED_VALUE"""),0.0)</f>
        <v>0</v>
      </c>
    </row>
    <row r="4531">
      <c r="A4531" s="7">
        <f>IFERROR(__xludf.DUMMYFUNCTION("""COMPUTED_VALUE"""),43441.64583333333)</f>
        <v>43441.64583</v>
      </c>
      <c r="B4531" s="3">
        <f>IFERROR(__xludf.DUMMYFUNCTION("""COMPUTED_VALUE"""),10644.8)</f>
        <v>10644.8</v>
      </c>
      <c r="C4531" s="3">
        <f>IFERROR(__xludf.DUMMYFUNCTION("""COMPUTED_VALUE"""),10704.55)</f>
        <v>10704.55</v>
      </c>
      <c r="D4531" s="3">
        <f>IFERROR(__xludf.DUMMYFUNCTION("""COMPUTED_VALUE"""),10599.35)</f>
        <v>10599.35</v>
      </c>
      <c r="E4531" s="3">
        <f>IFERROR(__xludf.DUMMYFUNCTION("""COMPUTED_VALUE"""),10693.7)</f>
        <v>10693.7</v>
      </c>
      <c r="F4531" s="3">
        <f>IFERROR(__xludf.DUMMYFUNCTION("""COMPUTED_VALUE"""),0.0)</f>
        <v>0</v>
      </c>
    </row>
    <row r="4532">
      <c r="A4532" s="7">
        <f>IFERROR(__xludf.DUMMYFUNCTION("""COMPUTED_VALUE"""),43444.64583333333)</f>
        <v>43444.64583</v>
      </c>
      <c r="B4532" s="3">
        <f>IFERROR(__xludf.DUMMYFUNCTION("""COMPUTED_VALUE"""),10508.7)</f>
        <v>10508.7</v>
      </c>
      <c r="C4532" s="3">
        <f>IFERROR(__xludf.DUMMYFUNCTION("""COMPUTED_VALUE"""),10558.85)</f>
        <v>10558.85</v>
      </c>
      <c r="D4532" s="3">
        <f>IFERROR(__xludf.DUMMYFUNCTION("""COMPUTED_VALUE"""),10474.95)</f>
        <v>10474.95</v>
      </c>
      <c r="E4532" s="3">
        <f>IFERROR(__xludf.DUMMYFUNCTION("""COMPUTED_VALUE"""),10488.45)</f>
        <v>10488.45</v>
      </c>
      <c r="F4532" s="3">
        <f>IFERROR(__xludf.DUMMYFUNCTION("""COMPUTED_VALUE"""),0.0)</f>
        <v>0</v>
      </c>
    </row>
    <row r="4533">
      <c r="A4533" s="7">
        <f>IFERROR(__xludf.DUMMYFUNCTION("""COMPUTED_VALUE"""),43445.64583333333)</f>
        <v>43445.64583</v>
      </c>
      <c r="B4533" s="3">
        <f>IFERROR(__xludf.DUMMYFUNCTION("""COMPUTED_VALUE"""),10350.05)</f>
        <v>10350.05</v>
      </c>
      <c r="C4533" s="3">
        <f>IFERROR(__xludf.DUMMYFUNCTION("""COMPUTED_VALUE"""),10567.15)</f>
        <v>10567.15</v>
      </c>
      <c r="D4533" s="3">
        <f>IFERROR(__xludf.DUMMYFUNCTION("""COMPUTED_VALUE"""),10333.85)</f>
        <v>10333.85</v>
      </c>
      <c r="E4533" s="3">
        <f>IFERROR(__xludf.DUMMYFUNCTION("""COMPUTED_VALUE"""),10549.15)</f>
        <v>10549.15</v>
      </c>
      <c r="F4533" s="3">
        <f>IFERROR(__xludf.DUMMYFUNCTION("""COMPUTED_VALUE"""),0.0)</f>
        <v>0</v>
      </c>
    </row>
    <row r="4534">
      <c r="A4534" s="7">
        <f>IFERROR(__xludf.DUMMYFUNCTION("""COMPUTED_VALUE"""),43446.64583333333)</f>
        <v>43446.64583</v>
      </c>
      <c r="B4534" s="3">
        <f>IFERROR(__xludf.DUMMYFUNCTION("""COMPUTED_VALUE"""),10591.0)</f>
        <v>10591</v>
      </c>
      <c r="C4534" s="3">
        <f>IFERROR(__xludf.DUMMYFUNCTION("""COMPUTED_VALUE"""),10752.2)</f>
        <v>10752.2</v>
      </c>
      <c r="D4534" s="3">
        <f>IFERROR(__xludf.DUMMYFUNCTION("""COMPUTED_VALUE"""),10560.8)</f>
        <v>10560.8</v>
      </c>
      <c r="E4534" s="3">
        <f>IFERROR(__xludf.DUMMYFUNCTION("""COMPUTED_VALUE"""),10737.6)</f>
        <v>10737.6</v>
      </c>
      <c r="F4534" s="3">
        <f>IFERROR(__xludf.DUMMYFUNCTION("""COMPUTED_VALUE"""),0.0)</f>
        <v>0</v>
      </c>
    </row>
    <row r="4535">
      <c r="A4535" s="7">
        <f>IFERROR(__xludf.DUMMYFUNCTION("""COMPUTED_VALUE"""),43447.64583333333)</f>
        <v>43447.64583</v>
      </c>
      <c r="B4535" s="3">
        <f>IFERROR(__xludf.DUMMYFUNCTION("""COMPUTED_VALUE"""),10810.75)</f>
        <v>10810.75</v>
      </c>
      <c r="C4535" s="3">
        <f>IFERROR(__xludf.DUMMYFUNCTION("""COMPUTED_VALUE"""),10838.6)</f>
        <v>10838.6</v>
      </c>
      <c r="D4535" s="3">
        <f>IFERROR(__xludf.DUMMYFUNCTION("""COMPUTED_VALUE"""),10749.5)</f>
        <v>10749.5</v>
      </c>
      <c r="E4535" s="3">
        <f>IFERROR(__xludf.DUMMYFUNCTION("""COMPUTED_VALUE"""),10791.55)</f>
        <v>10791.55</v>
      </c>
      <c r="F4535" s="3">
        <f>IFERROR(__xludf.DUMMYFUNCTION("""COMPUTED_VALUE"""),0.0)</f>
        <v>0</v>
      </c>
    </row>
    <row r="4536">
      <c r="A4536" s="7">
        <f>IFERROR(__xludf.DUMMYFUNCTION("""COMPUTED_VALUE"""),43448.64583333333)</f>
        <v>43448.64583</v>
      </c>
      <c r="B4536" s="3">
        <f>IFERROR(__xludf.DUMMYFUNCTION("""COMPUTED_VALUE"""),10784.5)</f>
        <v>10784.5</v>
      </c>
      <c r="C4536" s="3">
        <f>IFERROR(__xludf.DUMMYFUNCTION("""COMPUTED_VALUE"""),10815.75)</f>
        <v>10815.75</v>
      </c>
      <c r="D4536" s="3">
        <f>IFERROR(__xludf.DUMMYFUNCTION("""COMPUTED_VALUE"""),10752.1)</f>
        <v>10752.1</v>
      </c>
      <c r="E4536" s="3">
        <f>IFERROR(__xludf.DUMMYFUNCTION("""COMPUTED_VALUE"""),10805.45)</f>
        <v>10805.45</v>
      </c>
      <c r="F4536" s="3">
        <f>IFERROR(__xludf.DUMMYFUNCTION("""COMPUTED_VALUE"""),0.0)</f>
        <v>0</v>
      </c>
    </row>
    <row r="4537">
      <c r="A4537" s="7">
        <f>IFERROR(__xludf.DUMMYFUNCTION("""COMPUTED_VALUE"""),43451.64583333333)</f>
        <v>43451.64583</v>
      </c>
      <c r="B4537" s="3">
        <f>IFERROR(__xludf.DUMMYFUNCTION("""COMPUTED_VALUE"""),10853.2)</f>
        <v>10853.2</v>
      </c>
      <c r="C4537" s="3">
        <f>IFERROR(__xludf.DUMMYFUNCTION("""COMPUTED_VALUE"""),10900.35)</f>
        <v>10900.35</v>
      </c>
      <c r="D4537" s="3">
        <f>IFERROR(__xludf.DUMMYFUNCTION("""COMPUTED_VALUE"""),10844.85)</f>
        <v>10844.85</v>
      </c>
      <c r="E4537" s="3">
        <f>IFERROR(__xludf.DUMMYFUNCTION("""COMPUTED_VALUE"""),10888.35)</f>
        <v>10888.35</v>
      </c>
      <c r="F4537" s="3">
        <f>IFERROR(__xludf.DUMMYFUNCTION("""COMPUTED_VALUE"""),0.0)</f>
        <v>0</v>
      </c>
    </row>
    <row r="4538">
      <c r="A4538" s="7">
        <f>IFERROR(__xludf.DUMMYFUNCTION("""COMPUTED_VALUE"""),43452.64583333333)</f>
        <v>43452.64583</v>
      </c>
      <c r="B4538" s="3">
        <f>IFERROR(__xludf.DUMMYFUNCTION("""COMPUTED_VALUE"""),10850.9)</f>
        <v>10850.9</v>
      </c>
      <c r="C4538" s="3">
        <f>IFERROR(__xludf.DUMMYFUNCTION("""COMPUTED_VALUE"""),10915.4)</f>
        <v>10915.4</v>
      </c>
      <c r="D4538" s="3">
        <f>IFERROR(__xludf.DUMMYFUNCTION("""COMPUTED_VALUE"""),10819.1)</f>
        <v>10819.1</v>
      </c>
      <c r="E4538" s="3">
        <f>IFERROR(__xludf.DUMMYFUNCTION("""COMPUTED_VALUE"""),10908.7)</f>
        <v>10908.7</v>
      </c>
      <c r="F4538" s="3">
        <f>IFERROR(__xludf.DUMMYFUNCTION("""COMPUTED_VALUE"""),0.0)</f>
        <v>0</v>
      </c>
    </row>
    <row r="4539">
      <c r="A4539" s="7">
        <f>IFERROR(__xludf.DUMMYFUNCTION("""COMPUTED_VALUE"""),43453.64583333333)</f>
        <v>43453.64583</v>
      </c>
      <c r="B4539" s="3">
        <f>IFERROR(__xludf.DUMMYFUNCTION("""COMPUTED_VALUE"""),10930.55)</f>
        <v>10930.55</v>
      </c>
      <c r="C4539" s="3">
        <f>IFERROR(__xludf.DUMMYFUNCTION("""COMPUTED_VALUE"""),10985.15)</f>
        <v>10985.15</v>
      </c>
      <c r="D4539" s="3">
        <f>IFERROR(__xludf.DUMMYFUNCTION("""COMPUTED_VALUE"""),10928.0)</f>
        <v>10928</v>
      </c>
      <c r="E4539" s="3">
        <f>IFERROR(__xludf.DUMMYFUNCTION("""COMPUTED_VALUE"""),10967.3)</f>
        <v>10967.3</v>
      </c>
      <c r="F4539" s="3">
        <f>IFERROR(__xludf.DUMMYFUNCTION("""COMPUTED_VALUE"""),0.0)</f>
        <v>0</v>
      </c>
    </row>
    <row r="4540">
      <c r="A4540" s="7">
        <f>IFERROR(__xludf.DUMMYFUNCTION("""COMPUTED_VALUE"""),43454.64583333333)</f>
        <v>43454.64583</v>
      </c>
      <c r="B4540" s="3">
        <f>IFERROR(__xludf.DUMMYFUNCTION("""COMPUTED_VALUE"""),10885.2)</f>
        <v>10885.2</v>
      </c>
      <c r="C4540" s="3">
        <f>IFERROR(__xludf.DUMMYFUNCTION("""COMPUTED_VALUE"""),10962.55)</f>
        <v>10962.55</v>
      </c>
      <c r="D4540" s="3">
        <f>IFERROR(__xludf.DUMMYFUNCTION("""COMPUTED_VALUE"""),10880.05)</f>
        <v>10880.05</v>
      </c>
      <c r="E4540" s="3">
        <f>IFERROR(__xludf.DUMMYFUNCTION("""COMPUTED_VALUE"""),10951.7)</f>
        <v>10951.7</v>
      </c>
      <c r="F4540" s="3">
        <f>IFERROR(__xludf.DUMMYFUNCTION("""COMPUTED_VALUE"""),0.0)</f>
        <v>0</v>
      </c>
    </row>
    <row r="4541">
      <c r="A4541" s="7">
        <f>IFERROR(__xludf.DUMMYFUNCTION("""COMPUTED_VALUE"""),43455.64583333333)</f>
        <v>43455.64583</v>
      </c>
      <c r="B4541" s="3">
        <f>IFERROR(__xludf.DUMMYFUNCTION("""COMPUTED_VALUE"""),10944.25)</f>
        <v>10944.25</v>
      </c>
      <c r="C4541" s="3">
        <f>IFERROR(__xludf.DUMMYFUNCTION("""COMPUTED_VALUE"""),10963.65)</f>
        <v>10963.65</v>
      </c>
      <c r="D4541" s="3">
        <f>IFERROR(__xludf.DUMMYFUNCTION("""COMPUTED_VALUE"""),10738.65)</f>
        <v>10738.65</v>
      </c>
      <c r="E4541" s="3">
        <f>IFERROR(__xludf.DUMMYFUNCTION("""COMPUTED_VALUE"""),10754.0)</f>
        <v>10754</v>
      </c>
      <c r="F4541" s="3">
        <f>IFERROR(__xludf.DUMMYFUNCTION("""COMPUTED_VALUE"""),0.0)</f>
        <v>0</v>
      </c>
    </row>
    <row r="4542">
      <c r="A4542" s="7">
        <f>IFERROR(__xludf.DUMMYFUNCTION("""COMPUTED_VALUE"""),43458.64583333333)</f>
        <v>43458.64583</v>
      </c>
      <c r="B4542" s="3">
        <f>IFERROR(__xludf.DUMMYFUNCTION("""COMPUTED_VALUE"""),10780.9)</f>
        <v>10780.9</v>
      </c>
      <c r="C4542" s="3">
        <f>IFERROR(__xludf.DUMMYFUNCTION("""COMPUTED_VALUE"""),10782.3)</f>
        <v>10782.3</v>
      </c>
      <c r="D4542" s="3">
        <f>IFERROR(__xludf.DUMMYFUNCTION("""COMPUTED_VALUE"""),10649.25)</f>
        <v>10649.25</v>
      </c>
      <c r="E4542" s="3">
        <f>IFERROR(__xludf.DUMMYFUNCTION("""COMPUTED_VALUE"""),10663.5)</f>
        <v>10663.5</v>
      </c>
      <c r="F4542" s="3">
        <f>IFERROR(__xludf.DUMMYFUNCTION("""COMPUTED_VALUE"""),0.0)</f>
        <v>0</v>
      </c>
    </row>
    <row r="4543">
      <c r="A4543" s="7">
        <f>IFERROR(__xludf.DUMMYFUNCTION("""COMPUTED_VALUE"""),43460.64583333333)</f>
        <v>43460.64583</v>
      </c>
      <c r="B4543" s="3">
        <f>IFERROR(__xludf.DUMMYFUNCTION("""COMPUTED_VALUE"""),10635.45)</f>
        <v>10635.45</v>
      </c>
      <c r="C4543" s="3">
        <f>IFERROR(__xludf.DUMMYFUNCTION("""COMPUTED_VALUE"""),10747.5)</f>
        <v>10747.5</v>
      </c>
      <c r="D4543" s="3">
        <f>IFERROR(__xludf.DUMMYFUNCTION("""COMPUTED_VALUE"""),10534.55)</f>
        <v>10534.55</v>
      </c>
      <c r="E4543" s="3">
        <f>IFERROR(__xludf.DUMMYFUNCTION("""COMPUTED_VALUE"""),10729.85)</f>
        <v>10729.85</v>
      </c>
      <c r="F4543" s="3">
        <f>IFERROR(__xludf.DUMMYFUNCTION("""COMPUTED_VALUE"""),0.0)</f>
        <v>0</v>
      </c>
    </row>
    <row r="4544">
      <c r="A4544" s="7">
        <f>IFERROR(__xludf.DUMMYFUNCTION("""COMPUTED_VALUE"""),43461.64583333333)</f>
        <v>43461.64583</v>
      </c>
      <c r="B4544" s="3">
        <f>IFERROR(__xludf.DUMMYFUNCTION("""COMPUTED_VALUE"""),10817.9)</f>
        <v>10817.9</v>
      </c>
      <c r="C4544" s="3">
        <f>IFERROR(__xludf.DUMMYFUNCTION("""COMPUTED_VALUE"""),10834.2)</f>
        <v>10834.2</v>
      </c>
      <c r="D4544" s="3">
        <f>IFERROR(__xludf.DUMMYFUNCTION("""COMPUTED_VALUE"""),10764.45)</f>
        <v>10764.45</v>
      </c>
      <c r="E4544" s="3">
        <f>IFERROR(__xludf.DUMMYFUNCTION("""COMPUTED_VALUE"""),10779.8)</f>
        <v>10779.8</v>
      </c>
      <c r="F4544" s="3">
        <f>IFERROR(__xludf.DUMMYFUNCTION("""COMPUTED_VALUE"""),0.0)</f>
        <v>0</v>
      </c>
    </row>
    <row r="4545">
      <c r="A4545" s="7">
        <f>IFERROR(__xludf.DUMMYFUNCTION("""COMPUTED_VALUE"""),43462.64583333333)</f>
        <v>43462.64583</v>
      </c>
      <c r="B4545" s="3">
        <f>IFERROR(__xludf.DUMMYFUNCTION("""COMPUTED_VALUE"""),10820.95)</f>
        <v>10820.95</v>
      </c>
      <c r="C4545" s="3">
        <f>IFERROR(__xludf.DUMMYFUNCTION("""COMPUTED_VALUE"""),10893.6)</f>
        <v>10893.6</v>
      </c>
      <c r="D4545" s="3">
        <f>IFERROR(__xludf.DUMMYFUNCTION("""COMPUTED_VALUE"""),10817.15)</f>
        <v>10817.15</v>
      </c>
      <c r="E4545" s="3">
        <f>IFERROR(__xludf.DUMMYFUNCTION("""COMPUTED_VALUE"""),10859.9)</f>
        <v>10859.9</v>
      </c>
      <c r="F4545" s="3">
        <f>IFERROR(__xludf.DUMMYFUNCTION("""COMPUTED_VALUE"""),0.0)</f>
        <v>0</v>
      </c>
    </row>
    <row r="4546">
      <c r="A4546" s="7">
        <f>IFERROR(__xludf.DUMMYFUNCTION("""COMPUTED_VALUE"""),43465.64583333333)</f>
        <v>43465.64583</v>
      </c>
      <c r="B4546" s="3">
        <f>IFERROR(__xludf.DUMMYFUNCTION("""COMPUTED_VALUE"""),10913.2)</f>
        <v>10913.2</v>
      </c>
      <c r="C4546" s="3">
        <f>IFERROR(__xludf.DUMMYFUNCTION("""COMPUTED_VALUE"""),10923.55)</f>
        <v>10923.55</v>
      </c>
      <c r="D4546" s="3">
        <f>IFERROR(__xludf.DUMMYFUNCTION("""COMPUTED_VALUE"""),10853.2)</f>
        <v>10853.2</v>
      </c>
      <c r="E4546" s="3">
        <f>IFERROR(__xludf.DUMMYFUNCTION("""COMPUTED_VALUE"""),10862.55)</f>
        <v>10862.55</v>
      </c>
      <c r="F4546" s="3">
        <f>IFERROR(__xludf.DUMMYFUNCTION("""COMPUTED_VALUE"""),0.0)</f>
        <v>0</v>
      </c>
    </row>
    <row r="4547">
      <c r="A4547" s="7">
        <f>IFERROR(__xludf.DUMMYFUNCTION("""COMPUTED_VALUE"""),43466.64583333333)</f>
        <v>43466.64583</v>
      </c>
      <c r="B4547" s="3">
        <f>IFERROR(__xludf.DUMMYFUNCTION("""COMPUTED_VALUE"""),10881.7)</f>
        <v>10881.7</v>
      </c>
      <c r="C4547" s="3">
        <f>IFERROR(__xludf.DUMMYFUNCTION("""COMPUTED_VALUE"""),10923.6)</f>
        <v>10923.6</v>
      </c>
      <c r="D4547" s="3">
        <f>IFERROR(__xludf.DUMMYFUNCTION("""COMPUTED_VALUE"""),10807.1)</f>
        <v>10807.1</v>
      </c>
      <c r="E4547" s="3">
        <f>IFERROR(__xludf.DUMMYFUNCTION("""COMPUTED_VALUE"""),10910.1)</f>
        <v>10910.1</v>
      </c>
      <c r="F4547" s="3">
        <f>IFERROR(__xludf.DUMMYFUNCTION("""COMPUTED_VALUE"""),0.0)</f>
        <v>0</v>
      </c>
    </row>
    <row r="4548">
      <c r="A4548" s="7">
        <f>IFERROR(__xludf.DUMMYFUNCTION("""COMPUTED_VALUE"""),43467.64583333333)</f>
        <v>43467.64583</v>
      </c>
      <c r="B4548" s="3">
        <f>IFERROR(__xludf.DUMMYFUNCTION("""COMPUTED_VALUE"""),10868.85)</f>
        <v>10868.85</v>
      </c>
      <c r="C4548" s="3">
        <f>IFERROR(__xludf.DUMMYFUNCTION("""COMPUTED_VALUE"""),10895.35)</f>
        <v>10895.35</v>
      </c>
      <c r="D4548" s="3">
        <f>IFERROR(__xludf.DUMMYFUNCTION("""COMPUTED_VALUE"""),10735.05)</f>
        <v>10735.05</v>
      </c>
      <c r="E4548" s="3">
        <f>IFERROR(__xludf.DUMMYFUNCTION("""COMPUTED_VALUE"""),10792.5)</f>
        <v>10792.5</v>
      </c>
      <c r="F4548" s="3">
        <f>IFERROR(__xludf.DUMMYFUNCTION("""COMPUTED_VALUE"""),0.0)</f>
        <v>0</v>
      </c>
    </row>
    <row r="4549">
      <c r="A4549" s="7">
        <f>IFERROR(__xludf.DUMMYFUNCTION("""COMPUTED_VALUE"""),43468.64583333333)</f>
        <v>43468.64583</v>
      </c>
      <c r="B4549" s="3">
        <f>IFERROR(__xludf.DUMMYFUNCTION("""COMPUTED_VALUE"""),10796.8)</f>
        <v>10796.8</v>
      </c>
      <c r="C4549" s="3">
        <f>IFERROR(__xludf.DUMMYFUNCTION("""COMPUTED_VALUE"""),10814.05)</f>
        <v>10814.05</v>
      </c>
      <c r="D4549" s="3">
        <f>IFERROR(__xludf.DUMMYFUNCTION("""COMPUTED_VALUE"""),10661.25)</f>
        <v>10661.25</v>
      </c>
      <c r="E4549" s="3">
        <f>IFERROR(__xludf.DUMMYFUNCTION("""COMPUTED_VALUE"""),10672.25)</f>
        <v>10672.25</v>
      </c>
      <c r="F4549" s="3">
        <f>IFERROR(__xludf.DUMMYFUNCTION("""COMPUTED_VALUE"""),0.0)</f>
        <v>0</v>
      </c>
    </row>
    <row r="4550">
      <c r="A4550" s="7">
        <f>IFERROR(__xludf.DUMMYFUNCTION("""COMPUTED_VALUE"""),43469.64583333333)</f>
        <v>43469.64583</v>
      </c>
      <c r="B4550" s="3">
        <f>IFERROR(__xludf.DUMMYFUNCTION("""COMPUTED_VALUE"""),10699.7)</f>
        <v>10699.7</v>
      </c>
      <c r="C4550" s="3">
        <f>IFERROR(__xludf.DUMMYFUNCTION("""COMPUTED_VALUE"""),10741.05)</f>
        <v>10741.05</v>
      </c>
      <c r="D4550" s="3">
        <f>IFERROR(__xludf.DUMMYFUNCTION("""COMPUTED_VALUE"""),10628.65)</f>
        <v>10628.65</v>
      </c>
      <c r="E4550" s="3">
        <f>IFERROR(__xludf.DUMMYFUNCTION("""COMPUTED_VALUE"""),10727.35)</f>
        <v>10727.35</v>
      </c>
      <c r="F4550" s="3">
        <f>IFERROR(__xludf.DUMMYFUNCTION("""COMPUTED_VALUE"""),0.0)</f>
        <v>0</v>
      </c>
    </row>
    <row r="4551">
      <c r="A4551" s="7">
        <f>IFERROR(__xludf.DUMMYFUNCTION("""COMPUTED_VALUE"""),43472.64583333333)</f>
        <v>43472.64583</v>
      </c>
      <c r="B4551" s="3">
        <f>IFERROR(__xludf.DUMMYFUNCTION("""COMPUTED_VALUE"""),10804.85)</f>
        <v>10804.85</v>
      </c>
      <c r="C4551" s="3">
        <f>IFERROR(__xludf.DUMMYFUNCTION("""COMPUTED_VALUE"""),10835.95)</f>
        <v>10835.95</v>
      </c>
      <c r="D4551" s="3">
        <f>IFERROR(__xludf.DUMMYFUNCTION("""COMPUTED_VALUE"""),10750.15)</f>
        <v>10750.15</v>
      </c>
      <c r="E4551" s="3">
        <f>IFERROR(__xludf.DUMMYFUNCTION("""COMPUTED_VALUE"""),10771.8)</f>
        <v>10771.8</v>
      </c>
      <c r="F4551" s="3">
        <f>IFERROR(__xludf.DUMMYFUNCTION("""COMPUTED_VALUE"""),0.0)</f>
        <v>0</v>
      </c>
    </row>
    <row r="4552">
      <c r="A4552" s="7">
        <f>IFERROR(__xludf.DUMMYFUNCTION("""COMPUTED_VALUE"""),43473.64583333333)</f>
        <v>43473.64583</v>
      </c>
      <c r="B4552" s="3">
        <f>IFERROR(__xludf.DUMMYFUNCTION("""COMPUTED_VALUE"""),10786.25)</f>
        <v>10786.25</v>
      </c>
      <c r="C4552" s="3">
        <f>IFERROR(__xludf.DUMMYFUNCTION("""COMPUTED_VALUE"""),10818.45)</f>
        <v>10818.45</v>
      </c>
      <c r="D4552" s="3">
        <f>IFERROR(__xludf.DUMMYFUNCTION("""COMPUTED_VALUE"""),10733.25)</f>
        <v>10733.25</v>
      </c>
      <c r="E4552" s="3">
        <f>IFERROR(__xludf.DUMMYFUNCTION("""COMPUTED_VALUE"""),10802.15)</f>
        <v>10802.15</v>
      </c>
      <c r="F4552" s="3">
        <f>IFERROR(__xludf.DUMMYFUNCTION("""COMPUTED_VALUE"""),0.0)</f>
        <v>0</v>
      </c>
    </row>
    <row r="4553">
      <c r="A4553" s="7">
        <f>IFERROR(__xludf.DUMMYFUNCTION("""COMPUTED_VALUE"""),43474.64583333333)</f>
        <v>43474.64583</v>
      </c>
      <c r="B4553" s="3">
        <f>IFERROR(__xludf.DUMMYFUNCTION("""COMPUTED_VALUE"""),10862.4)</f>
        <v>10862.4</v>
      </c>
      <c r="C4553" s="3">
        <f>IFERROR(__xludf.DUMMYFUNCTION("""COMPUTED_VALUE"""),10870.4)</f>
        <v>10870.4</v>
      </c>
      <c r="D4553" s="3">
        <f>IFERROR(__xludf.DUMMYFUNCTION("""COMPUTED_VALUE"""),10749.4)</f>
        <v>10749.4</v>
      </c>
      <c r="E4553" s="3">
        <f>IFERROR(__xludf.DUMMYFUNCTION("""COMPUTED_VALUE"""),10855.15)</f>
        <v>10855.15</v>
      </c>
      <c r="F4553" s="3">
        <f>IFERROR(__xludf.DUMMYFUNCTION("""COMPUTED_VALUE"""),0.0)</f>
        <v>0</v>
      </c>
    </row>
    <row r="4554">
      <c r="A4554" s="7">
        <f>IFERROR(__xludf.DUMMYFUNCTION("""COMPUTED_VALUE"""),43475.64583333333)</f>
        <v>43475.64583</v>
      </c>
      <c r="B4554" s="3">
        <f>IFERROR(__xludf.DUMMYFUNCTION("""COMPUTED_VALUE"""),10859.35)</f>
        <v>10859.35</v>
      </c>
      <c r="C4554" s="3">
        <f>IFERROR(__xludf.DUMMYFUNCTION("""COMPUTED_VALUE"""),10859.35)</f>
        <v>10859.35</v>
      </c>
      <c r="D4554" s="3">
        <f>IFERROR(__xludf.DUMMYFUNCTION("""COMPUTED_VALUE"""),10801.8)</f>
        <v>10801.8</v>
      </c>
      <c r="E4554" s="3">
        <f>IFERROR(__xludf.DUMMYFUNCTION("""COMPUTED_VALUE"""),10821.6)</f>
        <v>10821.6</v>
      </c>
      <c r="F4554" s="3">
        <f>IFERROR(__xludf.DUMMYFUNCTION("""COMPUTED_VALUE"""),0.0)</f>
        <v>0</v>
      </c>
    </row>
    <row r="4555">
      <c r="A4555" s="7">
        <f>IFERROR(__xludf.DUMMYFUNCTION("""COMPUTED_VALUE"""),43476.64583333333)</f>
        <v>43476.64583</v>
      </c>
      <c r="B4555" s="3">
        <f>IFERROR(__xludf.DUMMYFUNCTION("""COMPUTED_VALUE"""),10834.75)</f>
        <v>10834.75</v>
      </c>
      <c r="C4555" s="3">
        <f>IFERROR(__xludf.DUMMYFUNCTION("""COMPUTED_VALUE"""),10850.15)</f>
        <v>10850.15</v>
      </c>
      <c r="D4555" s="3">
        <f>IFERROR(__xludf.DUMMYFUNCTION("""COMPUTED_VALUE"""),10739.4)</f>
        <v>10739.4</v>
      </c>
      <c r="E4555" s="3">
        <f>IFERROR(__xludf.DUMMYFUNCTION("""COMPUTED_VALUE"""),10794.95)</f>
        <v>10794.95</v>
      </c>
      <c r="F4555" s="3">
        <f>IFERROR(__xludf.DUMMYFUNCTION("""COMPUTED_VALUE"""),0.0)</f>
        <v>0</v>
      </c>
    </row>
    <row r="4556">
      <c r="A4556" s="7">
        <f>IFERROR(__xludf.DUMMYFUNCTION("""COMPUTED_VALUE"""),43479.64583333333)</f>
        <v>43479.64583</v>
      </c>
      <c r="B4556" s="3">
        <f>IFERROR(__xludf.DUMMYFUNCTION("""COMPUTED_VALUE"""),10807.0)</f>
        <v>10807</v>
      </c>
      <c r="C4556" s="3">
        <f>IFERROR(__xludf.DUMMYFUNCTION("""COMPUTED_VALUE"""),10808.0)</f>
        <v>10808</v>
      </c>
      <c r="D4556" s="3">
        <f>IFERROR(__xludf.DUMMYFUNCTION("""COMPUTED_VALUE"""),10692.35)</f>
        <v>10692.35</v>
      </c>
      <c r="E4556" s="3">
        <f>IFERROR(__xludf.DUMMYFUNCTION("""COMPUTED_VALUE"""),10737.6)</f>
        <v>10737.6</v>
      </c>
      <c r="F4556" s="3">
        <f>IFERROR(__xludf.DUMMYFUNCTION("""COMPUTED_VALUE"""),0.0)</f>
        <v>0</v>
      </c>
    </row>
    <row r="4557">
      <c r="A4557" s="7">
        <f>IFERROR(__xludf.DUMMYFUNCTION("""COMPUTED_VALUE"""),43480.64583333333)</f>
        <v>43480.64583</v>
      </c>
      <c r="B4557" s="3">
        <f>IFERROR(__xludf.DUMMYFUNCTION("""COMPUTED_VALUE"""),10777.55)</f>
        <v>10777.55</v>
      </c>
      <c r="C4557" s="3">
        <f>IFERROR(__xludf.DUMMYFUNCTION("""COMPUTED_VALUE"""),10896.95)</f>
        <v>10896.95</v>
      </c>
      <c r="D4557" s="3">
        <f>IFERROR(__xludf.DUMMYFUNCTION("""COMPUTED_VALUE"""),10777.55)</f>
        <v>10777.55</v>
      </c>
      <c r="E4557" s="3">
        <f>IFERROR(__xludf.DUMMYFUNCTION("""COMPUTED_VALUE"""),10886.8)</f>
        <v>10886.8</v>
      </c>
      <c r="F4557" s="3">
        <f>IFERROR(__xludf.DUMMYFUNCTION("""COMPUTED_VALUE"""),0.0)</f>
        <v>0</v>
      </c>
    </row>
    <row r="4558">
      <c r="A4558" s="7">
        <f>IFERROR(__xludf.DUMMYFUNCTION("""COMPUTED_VALUE"""),43481.64583333333)</f>
        <v>43481.64583</v>
      </c>
      <c r="B4558" s="3">
        <f>IFERROR(__xludf.DUMMYFUNCTION("""COMPUTED_VALUE"""),10899.65)</f>
        <v>10899.65</v>
      </c>
      <c r="C4558" s="3">
        <f>IFERROR(__xludf.DUMMYFUNCTION("""COMPUTED_VALUE"""),10928.15)</f>
        <v>10928.15</v>
      </c>
      <c r="D4558" s="3">
        <f>IFERROR(__xludf.DUMMYFUNCTION("""COMPUTED_VALUE"""),10876.9)</f>
        <v>10876.9</v>
      </c>
      <c r="E4558" s="3">
        <f>IFERROR(__xludf.DUMMYFUNCTION("""COMPUTED_VALUE"""),10890.3)</f>
        <v>10890.3</v>
      </c>
      <c r="F4558" s="3">
        <f>IFERROR(__xludf.DUMMYFUNCTION("""COMPUTED_VALUE"""),0.0)</f>
        <v>0</v>
      </c>
    </row>
    <row r="4559">
      <c r="A4559" s="7">
        <f>IFERROR(__xludf.DUMMYFUNCTION("""COMPUTED_VALUE"""),43482.64583333333)</f>
        <v>43482.64583</v>
      </c>
      <c r="B4559" s="3">
        <f>IFERROR(__xludf.DUMMYFUNCTION("""COMPUTED_VALUE"""),10920.85)</f>
        <v>10920.85</v>
      </c>
      <c r="C4559" s="3">
        <f>IFERROR(__xludf.DUMMYFUNCTION("""COMPUTED_VALUE"""),10930.65)</f>
        <v>10930.65</v>
      </c>
      <c r="D4559" s="3">
        <f>IFERROR(__xludf.DUMMYFUNCTION("""COMPUTED_VALUE"""),10844.65)</f>
        <v>10844.65</v>
      </c>
      <c r="E4559" s="3">
        <f>IFERROR(__xludf.DUMMYFUNCTION("""COMPUTED_VALUE"""),10905.2)</f>
        <v>10905.2</v>
      </c>
      <c r="F4559" s="3">
        <f>IFERROR(__xludf.DUMMYFUNCTION("""COMPUTED_VALUE"""),0.0)</f>
        <v>0</v>
      </c>
    </row>
    <row r="4560">
      <c r="A4560" s="7">
        <f>IFERROR(__xludf.DUMMYFUNCTION("""COMPUTED_VALUE"""),43483.64583333333)</f>
        <v>43483.64583</v>
      </c>
      <c r="B4560" s="3">
        <f>IFERROR(__xludf.DUMMYFUNCTION("""COMPUTED_VALUE"""),10914.85)</f>
        <v>10914.85</v>
      </c>
      <c r="C4560" s="3">
        <f>IFERROR(__xludf.DUMMYFUNCTION("""COMPUTED_VALUE"""),10928.2)</f>
        <v>10928.2</v>
      </c>
      <c r="D4560" s="3">
        <f>IFERROR(__xludf.DUMMYFUNCTION("""COMPUTED_VALUE"""),10852.2)</f>
        <v>10852.2</v>
      </c>
      <c r="E4560" s="3">
        <f>IFERROR(__xludf.DUMMYFUNCTION("""COMPUTED_VALUE"""),10906.95)</f>
        <v>10906.95</v>
      </c>
      <c r="F4560" s="3">
        <f>IFERROR(__xludf.DUMMYFUNCTION("""COMPUTED_VALUE"""),0.0)</f>
        <v>0</v>
      </c>
    </row>
    <row r="4561">
      <c r="A4561" s="7">
        <f>IFERROR(__xludf.DUMMYFUNCTION("""COMPUTED_VALUE"""),43486.64583333333)</f>
        <v>43486.64583</v>
      </c>
      <c r="B4561" s="3">
        <f>IFERROR(__xludf.DUMMYFUNCTION("""COMPUTED_VALUE"""),10919.35)</f>
        <v>10919.35</v>
      </c>
      <c r="C4561" s="3">
        <f>IFERROR(__xludf.DUMMYFUNCTION("""COMPUTED_VALUE"""),10987.45)</f>
        <v>10987.45</v>
      </c>
      <c r="D4561" s="3">
        <f>IFERROR(__xludf.DUMMYFUNCTION("""COMPUTED_VALUE"""),10885.75)</f>
        <v>10885.75</v>
      </c>
      <c r="E4561" s="3">
        <f>IFERROR(__xludf.DUMMYFUNCTION("""COMPUTED_VALUE"""),10961.85)</f>
        <v>10961.85</v>
      </c>
      <c r="F4561" s="3">
        <f>IFERROR(__xludf.DUMMYFUNCTION("""COMPUTED_VALUE"""),0.0)</f>
        <v>0</v>
      </c>
    </row>
    <row r="4562">
      <c r="A4562" s="7">
        <f>IFERROR(__xludf.DUMMYFUNCTION("""COMPUTED_VALUE"""),43487.64583333333)</f>
        <v>43487.64583</v>
      </c>
      <c r="B4562" s="3">
        <f>IFERROR(__xludf.DUMMYFUNCTION("""COMPUTED_VALUE"""),10949.8)</f>
        <v>10949.8</v>
      </c>
      <c r="C4562" s="3">
        <f>IFERROR(__xludf.DUMMYFUNCTION("""COMPUTED_VALUE"""),10949.8)</f>
        <v>10949.8</v>
      </c>
      <c r="D4562" s="3">
        <f>IFERROR(__xludf.DUMMYFUNCTION("""COMPUTED_VALUE"""),10864.15)</f>
        <v>10864.15</v>
      </c>
      <c r="E4562" s="3">
        <f>IFERROR(__xludf.DUMMYFUNCTION("""COMPUTED_VALUE"""),10922.75)</f>
        <v>10922.75</v>
      </c>
      <c r="F4562" s="3">
        <f>IFERROR(__xludf.DUMMYFUNCTION("""COMPUTED_VALUE"""),0.0)</f>
        <v>0</v>
      </c>
    </row>
    <row r="4563">
      <c r="A4563" s="7">
        <f>IFERROR(__xludf.DUMMYFUNCTION("""COMPUTED_VALUE"""),43488.64583333333)</f>
        <v>43488.64583</v>
      </c>
      <c r="B4563" s="3">
        <f>IFERROR(__xludf.DUMMYFUNCTION("""COMPUTED_VALUE"""),10931.05)</f>
        <v>10931.05</v>
      </c>
      <c r="C4563" s="3">
        <f>IFERROR(__xludf.DUMMYFUNCTION("""COMPUTED_VALUE"""),10944.8)</f>
        <v>10944.8</v>
      </c>
      <c r="D4563" s="3">
        <f>IFERROR(__xludf.DUMMYFUNCTION("""COMPUTED_VALUE"""),10811.95)</f>
        <v>10811.95</v>
      </c>
      <c r="E4563" s="3">
        <f>IFERROR(__xludf.DUMMYFUNCTION("""COMPUTED_VALUE"""),10831.5)</f>
        <v>10831.5</v>
      </c>
      <c r="F4563" s="3">
        <f>IFERROR(__xludf.DUMMYFUNCTION("""COMPUTED_VALUE"""),0.0)</f>
        <v>0</v>
      </c>
    </row>
    <row r="4564">
      <c r="A4564" s="7">
        <f>IFERROR(__xludf.DUMMYFUNCTION("""COMPUTED_VALUE"""),43489.64583333333)</f>
        <v>43489.64583</v>
      </c>
      <c r="B4564" s="3">
        <f>IFERROR(__xludf.DUMMYFUNCTION("""COMPUTED_VALUE"""),10844.05)</f>
        <v>10844.05</v>
      </c>
      <c r="C4564" s="3">
        <f>IFERROR(__xludf.DUMMYFUNCTION("""COMPUTED_VALUE"""),10866.6)</f>
        <v>10866.6</v>
      </c>
      <c r="D4564" s="3">
        <f>IFERROR(__xludf.DUMMYFUNCTION("""COMPUTED_VALUE"""),10798.65)</f>
        <v>10798.65</v>
      </c>
      <c r="E4564" s="3">
        <f>IFERROR(__xludf.DUMMYFUNCTION("""COMPUTED_VALUE"""),10849.8)</f>
        <v>10849.8</v>
      </c>
      <c r="F4564" s="3">
        <f>IFERROR(__xludf.DUMMYFUNCTION("""COMPUTED_VALUE"""),0.0)</f>
        <v>0</v>
      </c>
    </row>
    <row r="4565">
      <c r="A4565" s="7">
        <f>IFERROR(__xludf.DUMMYFUNCTION("""COMPUTED_VALUE"""),43490.64583333333)</f>
        <v>43490.64583</v>
      </c>
      <c r="B4565" s="3">
        <f>IFERROR(__xludf.DUMMYFUNCTION("""COMPUTED_VALUE"""),10859.75)</f>
        <v>10859.75</v>
      </c>
      <c r="C4565" s="3">
        <f>IFERROR(__xludf.DUMMYFUNCTION("""COMPUTED_VALUE"""),10931.7)</f>
        <v>10931.7</v>
      </c>
      <c r="D4565" s="3">
        <f>IFERROR(__xludf.DUMMYFUNCTION("""COMPUTED_VALUE"""),10756.45)</f>
        <v>10756.45</v>
      </c>
      <c r="E4565" s="3">
        <f>IFERROR(__xludf.DUMMYFUNCTION("""COMPUTED_VALUE"""),10780.55)</f>
        <v>10780.55</v>
      </c>
      <c r="F4565" s="3">
        <f>IFERROR(__xludf.DUMMYFUNCTION("""COMPUTED_VALUE"""),0.0)</f>
        <v>0</v>
      </c>
    </row>
    <row r="4566">
      <c r="A4566" s="7">
        <f>IFERROR(__xludf.DUMMYFUNCTION("""COMPUTED_VALUE"""),43493.64583333333)</f>
        <v>43493.64583</v>
      </c>
      <c r="B4566" s="3">
        <f>IFERROR(__xludf.DUMMYFUNCTION("""COMPUTED_VALUE"""),10792.45)</f>
        <v>10792.45</v>
      </c>
      <c r="C4566" s="3">
        <f>IFERROR(__xludf.DUMMYFUNCTION("""COMPUTED_VALUE"""),10804.45)</f>
        <v>10804.45</v>
      </c>
      <c r="D4566" s="3">
        <f>IFERROR(__xludf.DUMMYFUNCTION("""COMPUTED_VALUE"""),10630.95)</f>
        <v>10630.95</v>
      </c>
      <c r="E4566" s="3">
        <f>IFERROR(__xludf.DUMMYFUNCTION("""COMPUTED_VALUE"""),10661.55)</f>
        <v>10661.55</v>
      </c>
      <c r="F4566" s="3">
        <f>IFERROR(__xludf.DUMMYFUNCTION("""COMPUTED_VALUE"""),0.0)</f>
        <v>0</v>
      </c>
    </row>
    <row r="4567">
      <c r="A4567" s="7">
        <f>IFERROR(__xludf.DUMMYFUNCTION("""COMPUTED_VALUE"""),43494.64583333333)</f>
        <v>43494.64583</v>
      </c>
      <c r="B4567" s="3">
        <f>IFERROR(__xludf.DUMMYFUNCTION("""COMPUTED_VALUE"""),10653.7)</f>
        <v>10653.7</v>
      </c>
      <c r="C4567" s="3">
        <f>IFERROR(__xludf.DUMMYFUNCTION("""COMPUTED_VALUE"""),10690.35)</f>
        <v>10690.35</v>
      </c>
      <c r="D4567" s="3">
        <f>IFERROR(__xludf.DUMMYFUNCTION("""COMPUTED_VALUE"""),10583.65)</f>
        <v>10583.65</v>
      </c>
      <c r="E4567" s="3">
        <f>IFERROR(__xludf.DUMMYFUNCTION("""COMPUTED_VALUE"""),10652.2)</f>
        <v>10652.2</v>
      </c>
      <c r="F4567" s="3">
        <f>IFERROR(__xludf.DUMMYFUNCTION("""COMPUTED_VALUE"""),0.0)</f>
        <v>0</v>
      </c>
    </row>
    <row r="4568">
      <c r="A4568" s="7">
        <f>IFERROR(__xludf.DUMMYFUNCTION("""COMPUTED_VALUE"""),43495.64583333333)</f>
        <v>43495.64583</v>
      </c>
      <c r="B4568" s="3">
        <f>IFERROR(__xludf.DUMMYFUNCTION("""COMPUTED_VALUE"""),10702.25)</f>
        <v>10702.25</v>
      </c>
      <c r="C4568" s="3">
        <f>IFERROR(__xludf.DUMMYFUNCTION("""COMPUTED_VALUE"""),10710.2)</f>
        <v>10710.2</v>
      </c>
      <c r="D4568" s="3">
        <f>IFERROR(__xludf.DUMMYFUNCTION("""COMPUTED_VALUE"""),10612.85)</f>
        <v>10612.85</v>
      </c>
      <c r="E4568" s="3">
        <f>IFERROR(__xludf.DUMMYFUNCTION("""COMPUTED_VALUE"""),10651.8)</f>
        <v>10651.8</v>
      </c>
      <c r="F4568" s="3">
        <f>IFERROR(__xludf.DUMMYFUNCTION("""COMPUTED_VALUE"""),0.0)</f>
        <v>0</v>
      </c>
    </row>
    <row r="4569">
      <c r="A4569" s="7">
        <f>IFERROR(__xludf.DUMMYFUNCTION("""COMPUTED_VALUE"""),43496.64583333333)</f>
        <v>43496.64583</v>
      </c>
      <c r="B4569" s="3">
        <f>IFERROR(__xludf.DUMMYFUNCTION("""COMPUTED_VALUE"""),10690.55)</f>
        <v>10690.55</v>
      </c>
      <c r="C4569" s="3">
        <f>IFERROR(__xludf.DUMMYFUNCTION("""COMPUTED_VALUE"""),10838.05)</f>
        <v>10838.05</v>
      </c>
      <c r="D4569" s="3">
        <f>IFERROR(__xludf.DUMMYFUNCTION("""COMPUTED_VALUE"""),10678.55)</f>
        <v>10678.55</v>
      </c>
      <c r="E4569" s="3">
        <f>IFERROR(__xludf.DUMMYFUNCTION("""COMPUTED_VALUE"""),10830.95)</f>
        <v>10830.95</v>
      </c>
      <c r="F4569" s="3">
        <f>IFERROR(__xludf.DUMMYFUNCTION("""COMPUTED_VALUE"""),0.0)</f>
        <v>0</v>
      </c>
    </row>
    <row r="4570">
      <c r="A4570" s="7">
        <f>IFERROR(__xludf.DUMMYFUNCTION("""COMPUTED_VALUE"""),43497.64583333333)</f>
        <v>43497.64583</v>
      </c>
      <c r="B4570" s="3">
        <f>IFERROR(__xludf.DUMMYFUNCTION("""COMPUTED_VALUE"""),10851.35)</f>
        <v>10851.35</v>
      </c>
      <c r="C4570" s="3">
        <f>IFERROR(__xludf.DUMMYFUNCTION("""COMPUTED_VALUE"""),10983.45)</f>
        <v>10983.45</v>
      </c>
      <c r="D4570" s="3">
        <f>IFERROR(__xludf.DUMMYFUNCTION("""COMPUTED_VALUE"""),10813.45)</f>
        <v>10813.45</v>
      </c>
      <c r="E4570" s="3">
        <f>IFERROR(__xludf.DUMMYFUNCTION("""COMPUTED_VALUE"""),10893.65)</f>
        <v>10893.65</v>
      </c>
      <c r="F4570" s="3">
        <f>IFERROR(__xludf.DUMMYFUNCTION("""COMPUTED_VALUE"""),0.0)</f>
        <v>0</v>
      </c>
    </row>
    <row r="4571">
      <c r="A4571" s="7">
        <f>IFERROR(__xludf.DUMMYFUNCTION("""COMPUTED_VALUE"""),43500.64583333333)</f>
        <v>43500.64583</v>
      </c>
      <c r="B4571" s="3">
        <f>IFERROR(__xludf.DUMMYFUNCTION("""COMPUTED_VALUE"""),10876.75)</f>
        <v>10876.75</v>
      </c>
      <c r="C4571" s="3">
        <f>IFERROR(__xludf.DUMMYFUNCTION("""COMPUTED_VALUE"""),10927.9)</f>
        <v>10927.9</v>
      </c>
      <c r="D4571" s="3">
        <f>IFERROR(__xludf.DUMMYFUNCTION("""COMPUTED_VALUE"""),10814.15)</f>
        <v>10814.15</v>
      </c>
      <c r="E4571" s="3">
        <f>IFERROR(__xludf.DUMMYFUNCTION("""COMPUTED_VALUE"""),10912.25)</f>
        <v>10912.25</v>
      </c>
      <c r="F4571" s="3">
        <f>IFERROR(__xludf.DUMMYFUNCTION("""COMPUTED_VALUE"""),0.0)</f>
        <v>0</v>
      </c>
    </row>
    <row r="4572">
      <c r="A4572" s="7">
        <f>IFERROR(__xludf.DUMMYFUNCTION("""COMPUTED_VALUE"""),43501.64583333333)</f>
        <v>43501.64583</v>
      </c>
      <c r="B4572" s="3">
        <f>IFERROR(__xludf.DUMMYFUNCTION("""COMPUTED_VALUE"""),10908.65)</f>
        <v>10908.65</v>
      </c>
      <c r="C4572" s="3">
        <f>IFERROR(__xludf.DUMMYFUNCTION("""COMPUTED_VALUE"""),10956.7)</f>
        <v>10956.7</v>
      </c>
      <c r="D4572" s="3">
        <f>IFERROR(__xludf.DUMMYFUNCTION("""COMPUTED_VALUE"""),10886.7)</f>
        <v>10886.7</v>
      </c>
      <c r="E4572" s="3">
        <f>IFERROR(__xludf.DUMMYFUNCTION("""COMPUTED_VALUE"""),10934.35)</f>
        <v>10934.35</v>
      </c>
      <c r="F4572" s="3">
        <f>IFERROR(__xludf.DUMMYFUNCTION("""COMPUTED_VALUE"""),0.0)</f>
        <v>0</v>
      </c>
    </row>
    <row r="4573">
      <c r="A4573" s="7">
        <f>IFERROR(__xludf.DUMMYFUNCTION("""COMPUTED_VALUE"""),43502.64583333333)</f>
        <v>43502.64583</v>
      </c>
      <c r="B4573" s="3">
        <f>IFERROR(__xludf.DUMMYFUNCTION("""COMPUTED_VALUE"""),10965.1)</f>
        <v>10965.1</v>
      </c>
      <c r="C4573" s="3">
        <f>IFERROR(__xludf.DUMMYFUNCTION("""COMPUTED_VALUE"""),11072.6)</f>
        <v>11072.6</v>
      </c>
      <c r="D4573" s="3">
        <f>IFERROR(__xludf.DUMMYFUNCTION("""COMPUTED_VALUE"""),10962.7)</f>
        <v>10962.7</v>
      </c>
      <c r="E4573" s="3">
        <f>IFERROR(__xludf.DUMMYFUNCTION("""COMPUTED_VALUE"""),11062.45)</f>
        <v>11062.45</v>
      </c>
      <c r="F4573" s="3">
        <f>IFERROR(__xludf.DUMMYFUNCTION("""COMPUTED_VALUE"""),0.0)</f>
        <v>0</v>
      </c>
    </row>
    <row r="4574">
      <c r="A4574" s="7">
        <f>IFERROR(__xludf.DUMMYFUNCTION("""COMPUTED_VALUE"""),43503.64583333333)</f>
        <v>43503.64583</v>
      </c>
      <c r="B4574" s="3">
        <f>IFERROR(__xludf.DUMMYFUNCTION("""COMPUTED_VALUE"""),11070.45)</f>
        <v>11070.45</v>
      </c>
      <c r="C4574" s="3">
        <f>IFERROR(__xludf.DUMMYFUNCTION("""COMPUTED_VALUE"""),11118.1)</f>
        <v>11118.1</v>
      </c>
      <c r="D4574" s="3">
        <f>IFERROR(__xludf.DUMMYFUNCTION("""COMPUTED_VALUE"""),11043.6)</f>
        <v>11043.6</v>
      </c>
      <c r="E4574" s="3">
        <f>IFERROR(__xludf.DUMMYFUNCTION("""COMPUTED_VALUE"""),11069.4)</f>
        <v>11069.4</v>
      </c>
      <c r="F4574" s="3">
        <f>IFERROR(__xludf.DUMMYFUNCTION("""COMPUTED_VALUE"""),0.0)</f>
        <v>0</v>
      </c>
    </row>
    <row r="4575">
      <c r="A4575" s="7">
        <f>IFERROR(__xludf.DUMMYFUNCTION("""COMPUTED_VALUE"""),43504.64583333333)</f>
        <v>43504.64583</v>
      </c>
      <c r="B4575" s="3">
        <f>IFERROR(__xludf.DUMMYFUNCTION("""COMPUTED_VALUE"""),11023.5)</f>
        <v>11023.5</v>
      </c>
      <c r="C4575" s="3">
        <f>IFERROR(__xludf.DUMMYFUNCTION("""COMPUTED_VALUE"""),11041.2)</f>
        <v>11041.2</v>
      </c>
      <c r="D4575" s="3">
        <f>IFERROR(__xludf.DUMMYFUNCTION("""COMPUTED_VALUE"""),10925.45)</f>
        <v>10925.45</v>
      </c>
      <c r="E4575" s="3">
        <f>IFERROR(__xludf.DUMMYFUNCTION("""COMPUTED_VALUE"""),10943.6)</f>
        <v>10943.6</v>
      </c>
      <c r="F4575" s="3">
        <f>IFERROR(__xludf.DUMMYFUNCTION("""COMPUTED_VALUE"""),0.0)</f>
        <v>0</v>
      </c>
    </row>
    <row r="4576">
      <c r="A4576" s="7">
        <f>IFERROR(__xludf.DUMMYFUNCTION("""COMPUTED_VALUE"""),43507.64583333333)</f>
        <v>43507.64583</v>
      </c>
      <c r="B4576" s="3">
        <f>IFERROR(__xludf.DUMMYFUNCTION("""COMPUTED_VALUE"""),10930.9)</f>
        <v>10930.9</v>
      </c>
      <c r="C4576" s="3">
        <f>IFERROR(__xludf.DUMMYFUNCTION("""COMPUTED_VALUE"""),10930.9)</f>
        <v>10930.9</v>
      </c>
      <c r="D4576" s="3">
        <f>IFERROR(__xludf.DUMMYFUNCTION("""COMPUTED_VALUE"""),10857.1)</f>
        <v>10857.1</v>
      </c>
      <c r="E4576" s="3">
        <f>IFERROR(__xludf.DUMMYFUNCTION("""COMPUTED_VALUE"""),10888.8)</f>
        <v>10888.8</v>
      </c>
      <c r="F4576" s="3">
        <f>IFERROR(__xludf.DUMMYFUNCTION("""COMPUTED_VALUE"""),0.0)</f>
        <v>0</v>
      </c>
    </row>
    <row r="4577">
      <c r="A4577" s="7">
        <f>IFERROR(__xludf.DUMMYFUNCTION("""COMPUTED_VALUE"""),43508.64583333333)</f>
        <v>43508.64583</v>
      </c>
      <c r="B4577" s="3">
        <f>IFERROR(__xludf.DUMMYFUNCTION("""COMPUTED_VALUE"""),10879.7)</f>
        <v>10879.7</v>
      </c>
      <c r="C4577" s="3">
        <f>IFERROR(__xludf.DUMMYFUNCTION("""COMPUTED_VALUE"""),10910.9)</f>
        <v>10910.9</v>
      </c>
      <c r="D4577" s="3">
        <f>IFERROR(__xludf.DUMMYFUNCTION("""COMPUTED_VALUE"""),10823.8)</f>
        <v>10823.8</v>
      </c>
      <c r="E4577" s="3">
        <f>IFERROR(__xludf.DUMMYFUNCTION("""COMPUTED_VALUE"""),10831.4)</f>
        <v>10831.4</v>
      </c>
      <c r="F4577" s="3">
        <f>IFERROR(__xludf.DUMMYFUNCTION("""COMPUTED_VALUE"""),0.0)</f>
        <v>0</v>
      </c>
    </row>
    <row r="4578">
      <c r="A4578" s="7">
        <f>IFERROR(__xludf.DUMMYFUNCTION("""COMPUTED_VALUE"""),43509.64583333333)</f>
        <v>43509.64583</v>
      </c>
      <c r="B4578" s="3">
        <f>IFERROR(__xludf.DUMMYFUNCTION("""COMPUTED_VALUE"""),10870.55)</f>
        <v>10870.55</v>
      </c>
      <c r="C4578" s="3">
        <f>IFERROR(__xludf.DUMMYFUNCTION("""COMPUTED_VALUE"""),10891.65)</f>
        <v>10891.65</v>
      </c>
      <c r="D4578" s="3">
        <f>IFERROR(__xludf.DUMMYFUNCTION("""COMPUTED_VALUE"""),10772.1)</f>
        <v>10772.1</v>
      </c>
      <c r="E4578" s="3">
        <f>IFERROR(__xludf.DUMMYFUNCTION("""COMPUTED_VALUE"""),10793.65)</f>
        <v>10793.65</v>
      </c>
      <c r="F4578" s="3">
        <f>IFERROR(__xludf.DUMMYFUNCTION("""COMPUTED_VALUE"""),0.0)</f>
        <v>0</v>
      </c>
    </row>
    <row r="4579">
      <c r="A4579" s="7">
        <f>IFERROR(__xludf.DUMMYFUNCTION("""COMPUTED_VALUE"""),43510.64583333333)</f>
        <v>43510.64583</v>
      </c>
      <c r="B4579" s="3">
        <f>IFERROR(__xludf.DUMMYFUNCTION("""COMPUTED_VALUE"""),10786.1)</f>
        <v>10786.1</v>
      </c>
      <c r="C4579" s="3">
        <f>IFERROR(__xludf.DUMMYFUNCTION("""COMPUTED_VALUE"""),10792.7)</f>
        <v>10792.7</v>
      </c>
      <c r="D4579" s="3">
        <f>IFERROR(__xludf.DUMMYFUNCTION("""COMPUTED_VALUE"""),10718.75)</f>
        <v>10718.75</v>
      </c>
      <c r="E4579" s="3">
        <f>IFERROR(__xludf.DUMMYFUNCTION("""COMPUTED_VALUE"""),10746.05)</f>
        <v>10746.05</v>
      </c>
      <c r="F4579" s="3">
        <f>IFERROR(__xludf.DUMMYFUNCTION("""COMPUTED_VALUE"""),0.0)</f>
        <v>0</v>
      </c>
    </row>
    <row r="4580">
      <c r="A4580" s="7">
        <f>IFERROR(__xludf.DUMMYFUNCTION("""COMPUTED_VALUE"""),43511.64583333333)</f>
        <v>43511.64583</v>
      </c>
      <c r="B4580" s="3">
        <f>IFERROR(__xludf.DUMMYFUNCTION("""COMPUTED_VALUE"""),10780.25)</f>
        <v>10780.25</v>
      </c>
      <c r="C4580" s="3">
        <f>IFERROR(__xludf.DUMMYFUNCTION("""COMPUTED_VALUE"""),10785.75)</f>
        <v>10785.75</v>
      </c>
      <c r="D4580" s="3">
        <f>IFERROR(__xludf.DUMMYFUNCTION("""COMPUTED_VALUE"""),10620.4)</f>
        <v>10620.4</v>
      </c>
      <c r="E4580" s="3">
        <f>IFERROR(__xludf.DUMMYFUNCTION("""COMPUTED_VALUE"""),10724.4)</f>
        <v>10724.4</v>
      </c>
      <c r="F4580" s="3">
        <f>IFERROR(__xludf.DUMMYFUNCTION("""COMPUTED_VALUE"""),0.0)</f>
        <v>0</v>
      </c>
    </row>
    <row r="4581">
      <c r="A4581" s="7">
        <f>IFERROR(__xludf.DUMMYFUNCTION("""COMPUTED_VALUE"""),43514.64583333333)</f>
        <v>43514.64583</v>
      </c>
      <c r="B4581" s="3">
        <f>IFERROR(__xludf.DUMMYFUNCTION("""COMPUTED_VALUE"""),10738.65)</f>
        <v>10738.65</v>
      </c>
      <c r="C4581" s="3">
        <f>IFERROR(__xludf.DUMMYFUNCTION("""COMPUTED_VALUE"""),10759.9)</f>
        <v>10759.9</v>
      </c>
      <c r="D4581" s="3">
        <f>IFERROR(__xludf.DUMMYFUNCTION("""COMPUTED_VALUE"""),10628.4)</f>
        <v>10628.4</v>
      </c>
      <c r="E4581" s="3">
        <f>IFERROR(__xludf.DUMMYFUNCTION("""COMPUTED_VALUE"""),10640.95)</f>
        <v>10640.95</v>
      </c>
      <c r="F4581" s="3">
        <f>IFERROR(__xludf.DUMMYFUNCTION("""COMPUTED_VALUE"""),0.0)</f>
        <v>0</v>
      </c>
    </row>
    <row r="4582">
      <c r="A4582" s="7">
        <f>IFERROR(__xludf.DUMMYFUNCTION("""COMPUTED_VALUE"""),43515.64583333333)</f>
        <v>43515.64583</v>
      </c>
      <c r="B4582" s="3">
        <f>IFERROR(__xludf.DUMMYFUNCTION("""COMPUTED_VALUE"""),10636.7)</f>
        <v>10636.7</v>
      </c>
      <c r="C4582" s="3">
        <f>IFERROR(__xludf.DUMMYFUNCTION("""COMPUTED_VALUE"""),10722.85)</f>
        <v>10722.85</v>
      </c>
      <c r="D4582" s="3">
        <f>IFERROR(__xludf.DUMMYFUNCTION("""COMPUTED_VALUE"""),10585.65)</f>
        <v>10585.65</v>
      </c>
      <c r="E4582" s="3">
        <f>IFERROR(__xludf.DUMMYFUNCTION("""COMPUTED_VALUE"""),10604.35)</f>
        <v>10604.35</v>
      </c>
      <c r="F4582" s="3">
        <f>IFERROR(__xludf.DUMMYFUNCTION("""COMPUTED_VALUE"""),0.0)</f>
        <v>0</v>
      </c>
    </row>
    <row r="4583">
      <c r="A4583" s="7">
        <f>IFERROR(__xludf.DUMMYFUNCTION("""COMPUTED_VALUE"""),43516.64583333333)</f>
        <v>43516.64583</v>
      </c>
      <c r="B4583" s="3">
        <f>IFERROR(__xludf.DUMMYFUNCTION("""COMPUTED_VALUE"""),10655.45)</f>
        <v>10655.45</v>
      </c>
      <c r="C4583" s="3">
        <f>IFERROR(__xludf.DUMMYFUNCTION("""COMPUTED_VALUE"""),10752.7)</f>
        <v>10752.7</v>
      </c>
      <c r="D4583" s="3">
        <f>IFERROR(__xludf.DUMMYFUNCTION("""COMPUTED_VALUE"""),10646.4)</f>
        <v>10646.4</v>
      </c>
      <c r="E4583" s="3">
        <f>IFERROR(__xludf.DUMMYFUNCTION("""COMPUTED_VALUE"""),10735.45)</f>
        <v>10735.45</v>
      </c>
      <c r="F4583" s="3">
        <f>IFERROR(__xludf.DUMMYFUNCTION("""COMPUTED_VALUE"""),0.0)</f>
        <v>0</v>
      </c>
    </row>
    <row r="4584">
      <c r="A4584" s="7">
        <f>IFERROR(__xludf.DUMMYFUNCTION("""COMPUTED_VALUE"""),43517.64583333333)</f>
        <v>43517.64583</v>
      </c>
      <c r="B4584" s="3">
        <f>IFERROR(__xludf.DUMMYFUNCTION("""COMPUTED_VALUE"""),10744.1)</f>
        <v>10744.1</v>
      </c>
      <c r="C4584" s="3">
        <f>IFERROR(__xludf.DUMMYFUNCTION("""COMPUTED_VALUE"""),10808.85)</f>
        <v>10808.85</v>
      </c>
      <c r="D4584" s="3">
        <f>IFERROR(__xludf.DUMMYFUNCTION("""COMPUTED_VALUE"""),10721.5)</f>
        <v>10721.5</v>
      </c>
      <c r="E4584" s="3">
        <f>IFERROR(__xludf.DUMMYFUNCTION("""COMPUTED_VALUE"""),10789.85)</f>
        <v>10789.85</v>
      </c>
      <c r="F4584" s="3">
        <f>IFERROR(__xludf.DUMMYFUNCTION("""COMPUTED_VALUE"""),0.0)</f>
        <v>0</v>
      </c>
    </row>
    <row r="4585">
      <c r="A4585" s="7">
        <f>IFERROR(__xludf.DUMMYFUNCTION("""COMPUTED_VALUE"""),43518.64583333333)</f>
        <v>43518.64583</v>
      </c>
      <c r="B4585" s="3">
        <f>IFERROR(__xludf.DUMMYFUNCTION("""COMPUTED_VALUE"""),10782.7)</f>
        <v>10782.7</v>
      </c>
      <c r="C4585" s="3">
        <f>IFERROR(__xludf.DUMMYFUNCTION("""COMPUTED_VALUE"""),10801.55)</f>
        <v>10801.55</v>
      </c>
      <c r="D4585" s="3">
        <f>IFERROR(__xludf.DUMMYFUNCTION("""COMPUTED_VALUE"""),10758.4)</f>
        <v>10758.4</v>
      </c>
      <c r="E4585" s="3">
        <f>IFERROR(__xludf.DUMMYFUNCTION("""COMPUTED_VALUE"""),10791.65)</f>
        <v>10791.65</v>
      </c>
      <c r="F4585" s="3">
        <f>IFERROR(__xludf.DUMMYFUNCTION("""COMPUTED_VALUE"""),0.0)</f>
        <v>0</v>
      </c>
    </row>
    <row r="4586">
      <c r="A4586" s="7">
        <f>IFERROR(__xludf.DUMMYFUNCTION("""COMPUTED_VALUE"""),43521.64583333333)</f>
        <v>43521.64583</v>
      </c>
      <c r="B4586" s="3">
        <f>IFERROR(__xludf.DUMMYFUNCTION("""COMPUTED_VALUE"""),10813.25)</f>
        <v>10813.25</v>
      </c>
      <c r="C4586" s="3">
        <f>IFERROR(__xludf.DUMMYFUNCTION("""COMPUTED_VALUE"""),10887.1)</f>
        <v>10887.1</v>
      </c>
      <c r="D4586" s="3">
        <f>IFERROR(__xludf.DUMMYFUNCTION("""COMPUTED_VALUE"""),10788.05)</f>
        <v>10788.05</v>
      </c>
      <c r="E4586" s="3">
        <f>IFERROR(__xludf.DUMMYFUNCTION("""COMPUTED_VALUE"""),10880.1)</f>
        <v>10880.1</v>
      </c>
      <c r="F4586" s="3">
        <f>IFERROR(__xludf.DUMMYFUNCTION("""COMPUTED_VALUE"""),0.0)</f>
        <v>0</v>
      </c>
    </row>
    <row r="4587">
      <c r="A4587" s="7">
        <f>IFERROR(__xludf.DUMMYFUNCTION("""COMPUTED_VALUE"""),43522.64583333333)</f>
        <v>43522.64583</v>
      </c>
      <c r="B4587" s="3">
        <f>IFERROR(__xludf.DUMMYFUNCTION("""COMPUTED_VALUE"""),10775.3)</f>
        <v>10775.3</v>
      </c>
      <c r="C4587" s="3">
        <f>IFERROR(__xludf.DUMMYFUNCTION("""COMPUTED_VALUE"""),10888.75)</f>
        <v>10888.75</v>
      </c>
      <c r="D4587" s="3">
        <f>IFERROR(__xludf.DUMMYFUNCTION("""COMPUTED_VALUE"""),10729.3)</f>
        <v>10729.3</v>
      </c>
      <c r="E4587" s="3">
        <f>IFERROR(__xludf.DUMMYFUNCTION("""COMPUTED_VALUE"""),10835.3)</f>
        <v>10835.3</v>
      </c>
      <c r="F4587" s="3">
        <f>IFERROR(__xludf.DUMMYFUNCTION("""COMPUTED_VALUE"""),0.0)</f>
        <v>0</v>
      </c>
    </row>
    <row r="4588">
      <c r="A4588" s="7">
        <f>IFERROR(__xludf.DUMMYFUNCTION("""COMPUTED_VALUE"""),43523.64583333333)</f>
        <v>43523.64583</v>
      </c>
      <c r="B4588" s="3">
        <f>IFERROR(__xludf.DUMMYFUNCTION("""COMPUTED_VALUE"""),10881.2)</f>
        <v>10881.2</v>
      </c>
      <c r="C4588" s="3">
        <f>IFERROR(__xludf.DUMMYFUNCTION("""COMPUTED_VALUE"""),10939.7)</f>
        <v>10939.7</v>
      </c>
      <c r="D4588" s="3">
        <f>IFERROR(__xludf.DUMMYFUNCTION("""COMPUTED_VALUE"""),10751.2)</f>
        <v>10751.2</v>
      </c>
      <c r="E4588" s="3">
        <f>IFERROR(__xludf.DUMMYFUNCTION("""COMPUTED_VALUE"""),10806.65)</f>
        <v>10806.65</v>
      </c>
      <c r="F4588" s="3">
        <f>IFERROR(__xludf.DUMMYFUNCTION("""COMPUTED_VALUE"""),0.0)</f>
        <v>0</v>
      </c>
    </row>
    <row r="4589">
      <c r="A4589" s="7">
        <f>IFERROR(__xludf.DUMMYFUNCTION("""COMPUTED_VALUE"""),43524.64583333333)</f>
        <v>43524.64583</v>
      </c>
      <c r="B4589" s="3">
        <f>IFERROR(__xludf.DUMMYFUNCTION("""COMPUTED_VALUE"""),10865.7)</f>
        <v>10865.7</v>
      </c>
      <c r="C4589" s="3">
        <f>IFERROR(__xludf.DUMMYFUNCTION("""COMPUTED_VALUE"""),10865.7)</f>
        <v>10865.7</v>
      </c>
      <c r="D4589" s="3">
        <f>IFERROR(__xludf.DUMMYFUNCTION("""COMPUTED_VALUE"""),10784.85)</f>
        <v>10784.85</v>
      </c>
      <c r="E4589" s="3">
        <f>IFERROR(__xludf.DUMMYFUNCTION("""COMPUTED_VALUE"""),10792.5)</f>
        <v>10792.5</v>
      </c>
      <c r="F4589" s="3">
        <f>IFERROR(__xludf.DUMMYFUNCTION("""COMPUTED_VALUE"""),0.0)</f>
        <v>0</v>
      </c>
    </row>
    <row r="4590">
      <c r="A4590" s="7">
        <f>IFERROR(__xludf.DUMMYFUNCTION("""COMPUTED_VALUE"""),43525.64583333333)</f>
        <v>43525.64583</v>
      </c>
      <c r="B4590" s="3">
        <f>IFERROR(__xludf.DUMMYFUNCTION("""COMPUTED_VALUE"""),10842.65)</f>
        <v>10842.65</v>
      </c>
      <c r="C4590" s="3">
        <f>IFERROR(__xludf.DUMMYFUNCTION("""COMPUTED_VALUE"""),10877.9)</f>
        <v>10877.9</v>
      </c>
      <c r="D4590" s="3">
        <f>IFERROR(__xludf.DUMMYFUNCTION("""COMPUTED_VALUE"""),10823.1)</f>
        <v>10823.1</v>
      </c>
      <c r="E4590" s="3">
        <f>IFERROR(__xludf.DUMMYFUNCTION("""COMPUTED_VALUE"""),10863.5)</f>
        <v>10863.5</v>
      </c>
      <c r="F4590" s="3">
        <f>IFERROR(__xludf.DUMMYFUNCTION("""COMPUTED_VALUE"""),0.0)</f>
        <v>0</v>
      </c>
    </row>
    <row r="4591">
      <c r="A4591" s="7">
        <f>IFERROR(__xludf.DUMMYFUNCTION("""COMPUTED_VALUE"""),43529.64583333333)</f>
        <v>43529.64583</v>
      </c>
      <c r="B4591" s="3">
        <f>IFERROR(__xludf.DUMMYFUNCTION("""COMPUTED_VALUE"""),10864.85)</f>
        <v>10864.85</v>
      </c>
      <c r="C4591" s="3">
        <f>IFERROR(__xludf.DUMMYFUNCTION("""COMPUTED_VALUE"""),10994.9)</f>
        <v>10994.9</v>
      </c>
      <c r="D4591" s="3">
        <f>IFERROR(__xludf.DUMMYFUNCTION("""COMPUTED_VALUE"""),10817.0)</f>
        <v>10817</v>
      </c>
      <c r="E4591" s="3">
        <f>IFERROR(__xludf.DUMMYFUNCTION("""COMPUTED_VALUE"""),10987.45)</f>
        <v>10987.45</v>
      </c>
      <c r="F4591" s="3">
        <f>IFERROR(__xludf.DUMMYFUNCTION("""COMPUTED_VALUE"""),0.0)</f>
        <v>0</v>
      </c>
    </row>
    <row r="4592">
      <c r="A4592" s="7">
        <f>IFERROR(__xludf.DUMMYFUNCTION("""COMPUTED_VALUE"""),43530.64583333333)</f>
        <v>43530.64583</v>
      </c>
      <c r="B4592" s="3">
        <f>IFERROR(__xludf.DUMMYFUNCTION("""COMPUTED_VALUE"""),11024.85)</f>
        <v>11024.85</v>
      </c>
      <c r="C4592" s="3">
        <f>IFERROR(__xludf.DUMMYFUNCTION("""COMPUTED_VALUE"""),11062.3)</f>
        <v>11062.3</v>
      </c>
      <c r="D4592" s="3">
        <f>IFERROR(__xludf.DUMMYFUNCTION("""COMPUTED_VALUE"""),10998.85)</f>
        <v>10998.85</v>
      </c>
      <c r="E4592" s="3">
        <f>IFERROR(__xludf.DUMMYFUNCTION("""COMPUTED_VALUE"""),11053.0)</f>
        <v>11053</v>
      </c>
      <c r="F4592" s="3">
        <f>IFERROR(__xludf.DUMMYFUNCTION("""COMPUTED_VALUE"""),0.0)</f>
        <v>0</v>
      </c>
    </row>
    <row r="4593">
      <c r="A4593" s="7">
        <f>IFERROR(__xludf.DUMMYFUNCTION("""COMPUTED_VALUE"""),43531.64583333333)</f>
        <v>43531.64583</v>
      </c>
      <c r="B4593" s="3">
        <f>IFERROR(__xludf.DUMMYFUNCTION("""COMPUTED_VALUE"""),11077.95)</f>
        <v>11077.95</v>
      </c>
      <c r="C4593" s="3">
        <f>IFERROR(__xludf.DUMMYFUNCTION("""COMPUTED_VALUE"""),11089.05)</f>
        <v>11089.05</v>
      </c>
      <c r="D4593" s="3">
        <f>IFERROR(__xludf.DUMMYFUNCTION("""COMPUTED_VALUE"""),11027.1)</f>
        <v>11027.1</v>
      </c>
      <c r="E4593" s="3">
        <f>IFERROR(__xludf.DUMMYFUNCTION("""COMPUTED_VALUE"""),11058.2)</f>
        <v>11058.2</v>
      </c>
      <c r="F4593" s="3">
        <f>IFERROR(__xludf.DUMMYFUNCTION("""COMPUTED_VALUE"""),0.0)</f>
        <v>0</v>
      </c>
    </row>
    <row r="4594">
      <c r="A4594" s="7">
        <f>IFERROR(__xludf.DUMMYFUNCTION("""COMPUTED_VALUE"""),43532.64583333333)</f>
        <v>43532.64583</v>
      </c>
      <c r="B4594" s="3">
        <f>IFERROR(__xludf.DUMMYFUNCTION("""COMPUTED_VALUE"""),11038.85)</f>
        <v>11038.85</v>
      </c>
      <c r="C4594" s="3">
        <f>IFERROR(__xludf.DUMMYFUNCTION("""COMPUTED_VALUE"""),11049.0)</f>
        <v>11049</v>
      </c>
      <c r="D4594" s="3">
        <f>IFERROR(__xludf.DUMMYFUNCTION("""COMPUTED_VALUE"""),11008.95)</f>
        <v>11008.95</v>
      </c>
      <c r="E4594" s="3">
        <f>IFERROR(__xludf.DUMMYFUNCTION("""COMPUTED_VALUE"""),11035.4)</f>
        <v>11035.4</v>
      </c>
      <c r="F4594" s="3">
        <f>IFERROR(__xludf.DUMMYFUNCTION("""COMPUTED_VALUE"""),0.0)</f>
        <v>0</v>
      </c>
    </row>
    <row r="4595">
      <c r="A4595" s="7">
        <f>IFERROR(__xludf.DUMMYFUNCTION("""COMPUTED_VALUE"""),43535.64583333333)</f>
        <v>43535.64583</v>
      </c>
      <c r="B4595" s="3">
        <f>IFERROR(__xludf.DUMMYFUNCTION("""COMPUTED_VALUE"""),11068.75)</f>
        <v>11068.75</v>
      </c>
      <c r="C4595" s="3">
        <f>IFERROR(__xludf.DUMMYFUNCTION("""COMPUTED_VALUE"""),11180.9)</f>
        <v>11180.9</v>
      </c>
      <c r="D4595" s="3">
        <f>IFERROR(__xludf.DUMMYFUNCTION("""COMPUTED_VALUE"""),11059.85)</f>
        <v>11059.85</v>
      </c>
      <c r="E4595" s="3">
        <f>IFERROR(__xludf.DUMMYFUNCTION("""COMPUTED_VALUE"""),11168.05)</f>
        <v>11168.05</v>
      </c>
      <c r="F4595" s="3">
        <f>IFERROR(__xludf.DUMMYFUNCTION("""COMPUTED_VALUE"""),0.0)</f>
        <v>0</v>
      </c>
    </row>
    <row r="4596">
      <c r="A4596" s="7">
        <f>IFERROR(__xludf.DUMMYFUNCTION("""COMPUTED_VALUE"""),43536.64583333333)</f>
        <v>43536.64583</v>
      </c>
      <c r="B4596" s="3">
        <f>IFERROR(__xludf.DUMMYFUNCTION("""COMPUTED_VALUE"""),11231.35)</f>
        <v>11231.35</v>
      </c>
      <c r="C4596" s="3">
        <f>IFERROR(__xludf.DUMMYFUNCTION("""COMPUTED_VALUE"""),11320.4)</f>
        <v>11320.4</v>
      </c>
      <c r="D4596" s="3">
        <f>IFERROR(__xludf.DUMMYFUNCTION("""COMPUTED_VALUE"""),11227.0)</f>
        <v>11227</v>
      </c>
      <c r="E4596" s="3">
        <f>IFERROR(__xludf.DUMMYFUNCTION("""COMPUTED_VALUE"""),11301.2)</f>
        <v>11301.2</v>
      </c>
      <c r="F4596" s="3">
        <f>IFERROR(__xludf.DUMMYFUNCTION("""COMPUTED_VALUE"""),0.0)</f>
        <v>0</v>
      </c>
    </row>
    <row r="4597">
      <c r="A4597" s="7">
        <f>IFERROR(__xludf.DUMMYFUNCTION("""COMPUTED_VALUE"""),43537.64583333333)</f>
        <v>43537.64583</v>
      </c>
      <c r="B4597" s="3">
        <f>IFERROR(__xludf.DUMMYFUNCTION("""COMPUTED_VALUE"""),11326.2)</f>
        <v>11326.2</v>
      </c>
      <c r="C4597" s="3">
        <f>IFERROR(__xludf.DUMMYFUNCTION("""COMPUTED_VALUE"""),11352.3)</f>
        <v>11352.3</v>
      </c>
      <c r="D4597" s="3">
        <f>IFERROR(__xludf.DUMMYFUNCTION("""COMPUTED_VALUE"""),11276.6)</f>
        <v>11276.6</v>
      </c>
      <c r="E4597" s="3">
        <f>IFERROR(__xludf.DUMMYFUNCTION("""COMPUTED_VALUE"""),11341.7)</f>
        <v>11341.7</v>
      </c>
      <c r="F4597" s="3">
        <f>IFERROR(__xludf.DUMMYFUNCTION("""COMPUTED_VALUE"""),0.0)</f>
        <v>0</v>
      </c>
    </row>
    <row r="4598">
      <c r="A4598" s="7">
        <f>IFERROR(__xludf.DUMMYFUNCTION("""COMPUTED_VALUE"""),43538.64583333333)</f>
        <v>43538.64583</v>
      </c>
      <c r="B4598" s="3">
        <f>IFERROR(__xludf.DUMMYFUNCTION("""COMPUTED_VALUE"""),11382.5)</f>
        <v>11382.5</v>
      </c>
      <c r="C4598" s="3">
        <f>IFERROR(__xludf.DUMMYFUNCTION("""COMPUTED_VALUE"""),11383.45)</f>
        <v>11383.45</v>
      </c>
      <c r="D4598" s="3">
        <f>IFERROR(__xludf.DUMMYFUNCTION("""COMPUTED_VALUE"""),11313.75)</f>
        <v>11313.75</v>
      </c>
      <c r="E4598" s="3">
        <f>IFERROR(__xludf.DUMMYFUNCTION("""COMPUTED_VALUE"""),11343.25)</f>
        <v>11343.25</v>
      </c>
      <c r="F4598" s="3">
        <f>IFERROR(__xludf.DUMMYFUNCTION("""COMPUTED_VALUE"""),0.0)</f>
        <v>0</v>
      </c>
    </row>
    <row r="4599">
      <c r="A4599" s="7">
        <f>IFERROR(__xludf.DUMMYFUNCTION("""COMPUTED_VALUE"""),43539.64583333333)</f>
        <v>43539.64583</v>
      </c>
      <c r="B4599" s="3">
        <f>IFERROR(__xludf.DUMMYFUNCTION("""COMPUTED_VALUE"""),11376.85)</f>
        <v>11376.85</v>
      </c>
      <c r="C4599" s="3">
        <f>IFERROR(__xludf.DUMMYFUNCTION("""COMPUTED_VALUE"""),11487.0)</f>
        <v>11487</v>
      </c>
      <c r="D4599" s="3">
        <f>IFERROR(__xludf.DUMMYFUNCTION("""COMPUTED_VALUE"""),11370.8)</f>
        <v>11370.8</v>
      </c>
      <c r="E4599" s="3">
        <f>IFERROR(__xludf.DUMMYFUNCTION("""COMPUTED_VALUE"""),11426.85)</f>
        <v>11426.85</v>
      </c>
      <c r="F4599" s="3">
        <f>IFERROR(__xludf.DUMMYFUNCTION("""COMPUTED_VALUE"""),0.0)</f>
        <v>0</v>
      </c>
    </row>
    <row r="4600">
      <c r="A4600" s="7">
        <f>IFERROR(__xludf.DUMMYFUNCTION("""COMPUTED_VALUE"""),43542.64583333333)</f>
        <v>43542.64583</v>
      </c>
      <c r="B4600" s="3">
        <f>IFERROR(__xludf.DUMMYFUNCTION("""COMPUTED_VALUE"""),11473.85)</f>
        <v>11473.85</v>
      </c>
      <c r="C4600" s="3">
        <f>IFERROR(__xludf.DUMMYFUNCTION("""COMPUTED_VALUE"""),11530.15)</f>
        <v>11530.15</v>
      </c>
      <c r="D4600" s="3">
        <f>IFERROR(__xludf.DUMMYFUNCTION("""COMPUTED_VALUE"""),11412.5)</f>
        <v>11412.5</v>
      </c>
      <c r="E4600" s="3">
        <f>IFERROR(__xludf.DUMMYFUNCTION("""COMPUTED_VALUE"""),11462.2)</f>
        <v>11462.2</v>
      </c>
      <c r="F4600" s="3">
        <f>IFERROR(__xludf.DUMMYFUNCTION("""COMPUTED_VALUE"""),0.0)</f>
        <v>0</v>
      </c>
    </row>
    <row r="4601">
      <c r="A4601" s="7">
        <f>IFERROR(__xludf.DUMMYFUNCTION("""COMPUTED_VALUE"""),43543.64583333333)</f>
        <v>43543.64583</v>
      </c>
      <c r="B4601" s="3">
        <f>IFERROR(__xludf.DUMMYFUNCTION("""COMPUTED_VALUE"""),11500.3)</f>
        <v>11500.3</v>
      </c>
      <c r="C4601" s="3">
        <f>IFERROR(__xludf.DUMMYFUNCTION("""COMPUTED_VALUE"""),11543.85)</f>
        <v>11543.85</v>
      </c>
      <c r="D4601" s="3">
        <f>IFERROR(__xludf.DUMMYFUNCTION("""COMPUTED_VALUE"""),11451.25)</f>
        <v>11451.25</v>
      </c>
      <c r="E4601" s="3">
        <f>IFERROR(__xludf.DUMMYFUNCTION("""COMPUTED_VALUE"""),11532.4)</f>
        <v>11532.4</v>
      </c>
      <c r="F4601" s="3">
        <f>IFERROR(__xludf.DUMMYFUNCTION("""COMPUTED_VALUE"""),0.0)</f>
        <v>0</v>
      </c>
    </row>
    <row r="4602">
      <c r="A4602" s="7">
        <f>IFERROR(__xludf.DUMMYFUNCTION("""COMPUTED_VALUE"""),43544.64583333333)</f>
        <v>43544.64583</v>
      </c>
      <c r="B4602" s="3">
        <f>IFERROR(__xludf.DUMMYFUNCTION("""COMPUTED_VALUE"""),11553.35)</f>
        <v>11553.35</v>
      </c>
      <c r="C4602" s="3">
        <f>IFERROR(__xludf.DUMMYFUNCTION("""COMPUTED_VALUE"""),11556.1)</f>
        <v>11556.1</v>
      </c>
      <c r="D4602" s="3">
        <f>IFERROR(__xludf.DUMMYFUNCTION("""COMPUTED_VALUE"""),11503.1)</f>
        <v>11503.1</v>
      </c>
      <c r="E4602" s="3">
        <f>IFERROR(__xludf.DUMMYFUNCTION("""COMPUTED_VALUE"""),11521.05)</f>
        <v>11521.05</v>
      </c>
      <c r="F4602" s="3">
        <f>IFERROR(__xludf.DUMMYFUNCTION("""COMPUTED_VALUE"""),0.0)</f>
        <v>0</v>
      </c>
    </row>
    <row r="4603">
      <c r="A4603" s="7">
        <f>IFERROR(__xludf.DUMMYFUNCTION("""COMPUTED_VALUE"""),43546.64583333333)</f>
        <v>43546.64583</v>
      </c>
      <c r="B4603" s="3">
        <f>IFERROR(__xludf.DUMMYFUNCTION("""COMPUTED_VALUE"""),11549.2)</f>
        <v>11549.2</v>
      </c>
      <c r="C4603" s="3">
        <f>IFERROR(__xludf.DUMMYFUNCTION("""COMPUTED_VALUE"""),11572.8)</f>
        <v>11572.8</v>
      </c>
      <c r="D4603" s="3">
        <f>IFERROR(__xludf.DUMMYFUNCTION("""COMPUTED_VALUE"""),11434.55)</f>
        <v>11434.55</v>
      </c>
      <c r="E4603" s="3">
        <f>IFERROR(__xludf.DUMMYFUNCTION("""COMPUTED_VALUE"""),11456.9)</f>
        <v>11456.9</v>
      </c>
      <c r="F4603" s="3">
        <f>IFERROR(__xludf.DUMMYFUNCTION("""COMPUTED_VALUE"""),0.0)</f>
        <v>0</v>
      </c>
    </row>
    <row r="4604">
      <c r="A4604" s="7">
        <f>IFERROR(__xludf.DUMMYFUNCTION("""COMPUTED_VALUE"""),43549.64583333333)</f>
        <v>43549.64583</v>
      </c>
      <c r="B4604" s="3">
        <f>IFERROR(__xludf.DUMMYFUNCTION("""COMPUTED_VALUE"""),11395.65)</f>
        <v>11395.65</v>
      </c>
      <c r="C4604" s="3">
        <f>IFERROR(__xludf.DUMMYFUNCTION("""COMPUTED_VALUE"""),11395.65)</f>
        <v>11395.65</v>
      </c>
      <c r="D4604" s="3">
        <f>IFERROR(__xludf.DUMMYFUNCTION("""COMPUTED_VALUE"""),11311.6)</f>
        <v>11311.6</v>
      </c>
      <c r="E4604" s="3">
        <f>IFERROR(__xludf.DUMMYFUNCTION("""COMPUTED_VALUE"""),11354.25)</f>
        <v>11354.25</v>
      </c>
      <c r="F4604" s="3">
        <f>IFERROR(__xludf.DUMMYFUNCTION("""COMPUTED_VALUE"""),0.0)</f>
        <v>0</v>
      </c>
    </row>
    <row r="4605">
      <c r="A4605" s="7">
        <f>IFERROR(__xludf.DUMMYFUNCTION("""COMPUTED_VALUE"""),43550.64583333333)</f>
        <v>43550.64583</v>
      </c>
      <c r="B4605" s="3">
        <f>IFERROR(__xludf.DUMMYFUNCTION("""COMPUTED_VALUE"""),11375.2)</f>
        <v>11375.2</v>
      </c>
      <c r="C4605" s="3">
        <f>IFERROR(__xludf.DUMMYFUNCTION("""COMPUTED_VALUE"""),11496.75)</f>
        <v>11496.75</v>
      </c>
      <c r="D4605" s="3">
        <f>IFERROR(__xludf.DUMMYFUNCTION("""COMPUTED_VALUE"""),11352.45)</f>
        <v>11352.45</v>
      </c>
      <c r="E4605" s="3">
        <f>IFERROR(__xludf.DUMMYFUNCTION("""COMPUTED_VALUE"""),11483.25)</f>
        <v>11483.25</v>
      </c>
      <c r="F4605" s="3">
        <f>IFERROR(__xludf.DUMMYFUNCTION("""COMPUTED_VALUE"""),0.0)</f>
        <v>0</v>
      </c>
    </row>
    <row r="4606">
      <c r="A4606" s="7">
        <f>IFERROR(__xludf.DUMMYFUNCTION("""COMPUTED_VALUE"""),43551.64583333333)</f>
        <v>43551.64583</v>
      </c>
      <c r="B4606" s="3">
        <f>IFERROR(__xludf.DUMMYFUNCTION("""COMPUTED_VALUE"""),11531.45)</f>
        <v>11531.45</v>
      </c>
      <c r="C4606" s="3">
        <f>IFERROR(__xludf.DUMMYFUNCTION("""COMPUTED_VALUE"""),11546.2)</f>
        <v>11546.2</v>
      </c>
      <c r="D4606" s="3">
        <f>IFERROR(__xludf.DUMMYFUNCTION("""COMPUTED_VALUE"""),11413.0)</f>
        <v>11413</v>
      </c>
      <c r="E4606" s="3">
        <f>IFERROR(__xludf.DUMMYFUNCTION("""COMPUTED_VALUE"""),11445.05)</f>
        <v>11445.05</v>
      </c>
      <c r="F4606" s="3">
        <f>IFERROR(__xludf.DUMMYFUNCTION("""COMPUTED_VALUE"""),0.0)</f>
        <v>0</v>
      </c>
    </row>
    <row r="4607">
      <c r="A4607" s="7">
        <f>IFERROR(__xludf.DUMMYFUNCTION("""COMPUTED_VALUE"""),43552.64583333333)</f>
        <v>43552.64583</v>
      </c>
      <c r="B4607" s="3">
        <f>IFERROR(__xludf.DUMMYFUNCTION("""COMPUTED_VALUE"""),11463.65)</f>
        <v>11463.65</v>
      </c>
      <c r="C4607" s="3">
        <f>IFERROR(__xludf.DUMMYFUNCTION("""COMPUTED_VALUE"""),11588.5)</f>
        <v>11588.5</v>
      </c>
      <c r="D4607" s="3">
        <f>IFERROR(__xludf.DUMMYFUNCTION("""COMPUTED_VALUE"""),11452.45)</f>
        <v>11452.45</v>
      </c>
      <c r="E4607" s="3">
        <f>IFERROR(__xludf.DUMMYFUNCTION("""COMPUTED_VALUE"""),11570.0)</f>
        <v>11570</v>
      </c>
      <c r="F4607" s="3">
        <f>IFERROR(__xludf.DUMMYFUNCTION("""COMPUTED_VALUE"""),0.0)</f>
        <v>0</v>
      </c>
    </row>
    <row r="4608">
      <c r="A4608" s="7">
        <f>IFERROR(__xludf.DUMMYFUNCTION("""COMPUTED_VALUE"""),43553.64583333333)</f>
        <v>43553.64583</v>
      </c>
      <c r="B4608" s="3">
        <f>IFERROR(__xludf.DUMMYFUNCTION("""COMPUTED_VALUE"""),11625.45)</f>
        <v>11625.45</v>
      </c>
      <c r="C4608" s="3">
        <f>IFERROR(__xludf.DUMMYFUNCTION("""COMPUTED_VALUE"""),11630.35)</f>
        <v>11630.35</v>
      </c>
      <c r="D4608" s="3">
        <f>IFERROR(__xludf.DUMMYFUNCTION("""COMPUTED_VALUE"""),11570.15)</f>
        <v>11570.15</v>
      </c>
      <c r="E4608" s="3">
        <f>IFERROR(__xludf.DUMMYFUNCTION("""COMPUTED_VALUE"""),11623.9)</f>
        <v>11623.9</v>
      </c>
      <c r="F4608" s="3">
        <f>IFERROR(__xludf.DUMMYFUNCTION("""COMPUTED_VALUE"""),0.0)</f>
        <v>0</v>
      </c>
    </row>
    <row r="4609">
      <c r="A4609" s="7">
        <f>IFERROR(__xludf.DUMMYFUNCTION("""COMPUTED_VALUE"""),43556.64583333333)</f>
        <v>43556.64583</v>
      </c>
      <c r="B4609" s="3">
        <f>IFERROR(__xludf.DUMMYFUNCTION("""COMPUTED_VALUE"""),11665.2)</f>
        <v>11665.2</v>
      </c>
      <c r="C4609" s="3">
        <f>IFERROR(__xludf.DUMMYFUNCTION("""COMPUTED_VALUE"""),11738.1)</f>
        <v>11738.1</v>
      </c>
      <c r="D4609" s="3">
        <f>IFERROR(__xludf.DUMMYFUNCTION("""COMPUTED_VALUE"""),11644.75)</f>
        <v>11644.75</v>
      </c>
      <c r="E4609" s="3">
        <f>IFERROR(__xludf.DUMMYFUNCTION("""COMPUTED_VALUE"""),11669.15)</f>
        <v>11669.15</v>
      </c>
      <c r="F4609" s="3">
        <f>IFERROR(__xludf.DUMMYFUNCTION("""COMPUTED_VALUE"""),0.0)</f>
        <v>0</v>
      </c>
    </row>
    <row r="4610">
      <c r="A4610" s="7">
        <f>IFERROR(__xludf.DUMMYFUNCTION("""COMPUTED_VALUE"""),43557.64583333333)</f>
        <v>43557.64583</v>
      </c>
      <c r="B4610" s="3">
        <f>IFERROR(__xludf.DUMMYFUNCTION("""COMPUTED_VALUE"""),11711.55)</f>
        <v>11711.55</v>
      </c>
      <c r="C4610" s="3">
        <f>IFERROR(__xludf.DUMMYFUNCTION("""COMPUTED_VALUE"""),11729.35)</f>
        <v>11729.35</v>
      </c>
      <c r="D4610" s="3">
        <f>IFERROR(__xludf.DUMMYFUNCTION("""COMPUTED_VALUE"""),11655.85)</f>
        <v>11655.85</v>
      </c>
      <c r="E4610" s="3">
        <f>IFERROR(__xludf.DUMMYFUNCTION("""COMPUTED_VALUE"""),11713.2)</f>
        <v>11713.2</v>
      </c>
      <c r="F4610" s="3">
        <f>IFERROR(__xludf.DUMMYFUNCTION("""COMPUTED_VALUE"""),0.0)</f>
        <v>0</v>
      </c>
    </row>
    <row r="4611">
      <c r="A4611" s="7">
        <f>IFERROR(__xludf.DUMMYFUNCTION("""COMPUTED_VALUE"""),43558.64583333333)</f>
        <v>43558.64583</v>
      </c>
      <c r="B4611" s="3">
        <f>IFERROR(__xludf.DUMMYFUNCTION("""COMPUTED_VALUE"""),11735.3)</f>
        <v>11735.3</v>
      </c>
      <c r="C4611" s="3">
        <f>IFERROR(__xludf.DUMMYFUNCTION("""COMPUTED_VALUE"""),11761.0)</f>
        <v>11761</v>
      </c>
      <c r="D4611" s="3">
        <f>IFERROR(__xludf.DUMMYFUNCTION("""COMPUTED_VALUE"""),11629.15)</f>
        <v>11629.15</v>
      </c>
      <c r="E4611" s="3">
        <f>IFERROR(__xludf.DUMMYFUNCTION("""COMPUTED_VALUE"""),11643.95)</f>
        <v>11643.95</v>
      </c>
      <c r="F4611" s="3">
        <f>IFERROR(__xludf.DUMMYFUNCTION("""COMPUTED_VALUE"""),0.0)</f>
        <v>0</v>
      </c>
    </row>
    <row r="4612">
      <c r="A4612" s="7">
        <f>IFERROR(__xludf.DUMMYFUNCTION("""COMPUTED_VALUE"""),43559.64583333333)</f>
        <v>43559.64583</v>
      </c>
      <c r="B4612" s="3">
        <f>IFERROR(__xludf.DUMMYFUNCTION("""COMPUTED_VALUE"""),11660.2)</f>
        <v>11660.2</v>
      </c>
      <c r="C4612" s="3">
        <f>IFERROR(__xludf.DUMMYFUNCTION("""COMPUTED_VALUE"""),11662.55)</f>
        <v>11662.55</v>
      </c>
      <c r="D4612" s="3">
        <f>IFERROR(__xludf.DUMMYFUNCTION("""COMPUTED_VALUE"""),11559.2)</f>
        <v>11559.2</v>
      </c>
      <c r="E4612" s="3">
        <f>IFERROR(__xludf.DUMMYFUNCTION("""COMPUTED_VALUE"""),11598.0)</f>
        <v>11598</v>
      </c>
      <c r="F4612" s="3">
        <f>IFERROR(__xludf.DUMMYFUNCTION("""COMPUTED_VALUE"""),0.0)</f>
        <v>0</v>
      </c>
    </row>
    <row r="4613">
      <c r="A4613" s="7">
        <f>IFERROR(__xludf.DUMMYFUNCTION("""COMPUTED_VALUE"""),43560.64583333333)</f>
        <v>43560.64583</v>
      </c>
      <c r="B4613" s="3">
        <f>IFERROR(__xludf.DUMMYFUNCTION("""COMPUTED_VALUE"""),11638.4)</f>
        <v>11638.4</v>
      </c>
      <c r="C4613" s="3">
        <f>IFERROR(__xludf.DUMMYFUNCTION("""COMPUTED_VALUE"""),11689.65)</f>
        <v>11689.65</v>
      </c>
      <c r="D4613" s="3">
        <f>IFERROR(__xludf.DUMMYFUNCTION("""COMPUTED_VALUE"""),11609.5)</f>
        <v>11609.5</v>
      </c>
      <c r="E4613" s="3">
        <f>IFERROR(__xludf.DUMMYFUNCTION("""COMPUTED_VALUE"""),11665.95)</f>
        <v>11665.95</v>
      </c>
      <c r="F4613" s="3">
        <f>IFERROR(__xludf.DUMMYFUNCTION("""COMPUTED_VALUE"""),0.0)</f>
        <v>0</v>
      </c>
    </row>
    <row r="4614">
      <c r="A4614" s="7">
        <f>IFERROR(__xludf.DUMMYFUNCTION("""COMPUTED_VALUE"""),43563.64583333333)</f>
        <v>43563.64583</v>
      </c>
      <c r="B4614" s="3">
        <f>IFERROR(__xludf.DUMMYFUNCTION("""COMPUTED_VALUE"""),11704.35)</f>
        <v>11704.35</v>
      </c>
      <c r="C4614" s="3">
        <f>IFERROR(__xludf.DUMMYFUNCTION("""COMPUTED_VALUE"""),11710.3)</f>
        <v>11710.3</v>
      </c>
      <c r="D4614" s="3">
        <f>IFERROR(__xludf.DUMMYFUNCTION("""COMPUTED_VALUE"""),11549.1)</f>
        <v>11549.1</v>
      </c>
      <c r="E4614" s="3">
        <f>IFERROR(__xludf.DUMMYFUNCTION("""COMPUTED_VALUE"""),11604.5)</f>
        <v>11604.5</v>
      </c>
      <c r="F4614" s="3">
        <f>IFERROR(__xludf.DUMMYFUNCTION("""COMPUTED_VALUE"""),0.0)</f>
        <v>0</v>
      </c>
    </row>
    <row r="4615">
      <c r="A4615" s="7">
        <f>IFERROR(__xludf.DUMMYFUNCTION("""COMPUTED_VALUE"""),43564.64583333333)</f>
        <v>43564.64583</v>
      </c>
      <c r="B4615" s="3">
        <f>IFERROR(__xludf.DUMMYFUNCTION("""COMPUTED_VALUE"""),11612.05)</f>
        <v>11612.05</v>
      </c>
      <c r="C4615" s="3">
        <f>IFERROR(__xludf.DUMMYFUNCTION("""COMPUTED_VALUE"""),11683.9)</f>
        <v>11683.9</v>
      </c>
      <c r="D4615" s="3">
        <f>IFERROR(__xludf.DUMMYFUNCTION("""COMPUTED_VALUE"""),11569.7)</f>
        <v>11569.7</v>
      </c>
      <c r="E4615" s="3">
        <f>IFERROR(__xludf.DUMMYFUNCTION("""COMPUTED_VALUE"""),11671.95)</f>
        <v>11671.95</v>
      </c>
      <c r="F4615" s="3">
        <f>IFERROR(__xludf.DUMMYFUNCTION("""COMPUTED_VALUE"""),0.0)</f>
        <v>0</v>
      </c>
    </row>
    <row r="4616">
      <c r="A4616" s="7">
        <f>IFERROR(__xludf.DUMMYFUNCTION("""COMPUTED_VALUE"""),43565.64583333333)</f>
        <v>43565.64583</v>
      </c>
      <c r="B4616" s="3">
        <f>IFERROR(__xludf.DUMMYFUNCTION("""COMPUTED_VALUE"""),11646.85)</f>
        <v>11646.85</v>
      </c>
      <c r="C4616" s="3">
        <f>IFERROR(__xludf.DUMMYFUNCTION("""COMPUTED_VALUE"""),11680.05)</f>
        <v>11680.05</v>
      </c>
      <c r="D4616" s="3">
        <f>IFERROR(__xludf.DUMMYFUNCTION("""COMPUTED_VALUE"""),11571.75)</f>
        <v>11571.75</v>
      </c>
      <c r="E4616" s="3">
        <f>IFERROR(__xludf.DUMMYFUNCTION("""COMPUTED_VALUE"""),11584.3)</f>
        <v>11584.3</v>
      </c>
      <c r="F4616" s="3">
        <f>IFERROR(__xludf.DUMMYFUNCTION("""COMPUTED_VALUE"""),0.0)</f>
        <v>0</v>
      </c>
    </row>
    <row r="4617">
      <c r="A4617" s="7">
        <f>IFERROR(__xludf.DUMMYFUNCTION("""COMPUTED_VALUE"""),43566.64583333333)</f>
        <v>43566.64583</v>
      </c>
      <c r="B4617" s="3">
        <f>IFERROR(__xludf.DUMMYFUNCTION("""COMPUTED_VALUE"""),11592.55)</f>
        <v>11592.55</v>
      </c>
      <c r="C4617" s="3">
        <f>IFERROR(__xludf.DUMMYFUNCTION("""COMPUTED_VALUE"""),11606.7)</f>
        <v>11606.7</v>
      </c>
      <c r="D4617" s="3">
        <f>IFERROR(__xludf.DUMMYFUNCTION("""COMPUTED_VALUE"""),11550.55)</f>
        <v>11550.55</v>
      </c>
      <c r="E4617" s="3">
        <f>IFERROR(__xludf.DUMMYFUNCTION("""COMPUTED_VALUE"""),11596.7)</f>
        <v>11596.7</v>
      </c>
      <c r="F4617" s="3">
        <f>IFERROR(__xludf.DUMMYFUNCTION("""COMPUTED_VALUE"""),0.0)</f>
        <v>0</v>
      </c>
    </row>
    <row r="4618">
      <c r="A4618" s="7">
        <f>IFERROR(__xludf.DUMMYFUNCTION("""COMPUTED_VALUE"""),43567.64583333333)</f>
        <v>43567.64583</v>
      </c>
      <c r="B4618" s="3">
        <f>IFERROR(__xludf.DUMMYFUNCTION("""COMPUTED_VALUE"""),11612.85)</f>
        <v>11612.85</v>
      </c>
      <c r="C4618" s="3">
        <f>IFERROR(__xludf.DUMMYFUNCTION("""COMPUTED_VALUE"""),11657.35)</f>
        <v>11657.35</v>
      </c>
      <c r="D4618" s="3">
        <f>IFERROR(__xludf.DUMMYFUNCTION("""COMPUTED_VALUE"""),11578.8)</f>
        <v>11578.8</v>
      </c>
      <c r="E4618" s="3">
        <f>IFERROR(__xludf.DUMMYFUNCTION("""COMPUTED_VALUE"""),11643.45)</f>
        <v>11643.45</v>
      </c>
      <c r="F4618" s="3">
        <f>IFERROR(__xludf.DUMMYFUNCTION("""COMPUTED_VALUE"""),0.0)</f>
        <v>0</v>
      </c>
    </row>
    <row r="4619">
      <c r="A4619" s="7">
        <f>IFERROR(__xludf.DUMMYFUNCTION("""COMPUTED_VALUE"""),43570.64583333333)</f>
        <v>43570.64583</v>
      </c>
      <c r="B4619" s="3">
        <f>IFERROR(__xludf.DUMMYFUNCTION("""COMPUTED_VALUE"""),11667.0)</f>
        <v>11667</v>
      </c>
      <c r="C4619" s="3">
        <f>IFERROR(__xludf.DUMMYFUNCTION("""COMPUTED_VALUE"""),11704.6)</f>
        <v>11704.6</v>
      </c>
      <c r="D4619" s="3">
        <f>IFERROR(__xludf.DUMMYFUNCTION("""COMPUTED_VALUE"""),11648.25)</f>
        <v>11648.25</v>
      </c>
      <c r="E4619" s="3">
        <f>IFERROR(__xludf.DUMMYFUNCTION("""COMPUTED_VALUE"""),11690.35)</f>
        <v>11690.35</v>
      </c>
      <c r="F4619" s="3">
        <f>IFERROR(__xludf.DUMMYFUNCTION("""COMPUTED_VALUE"""),0.0)</f>
        <v>0</v>
      </c>
    </row>
    <row r="4620">
      <c r="A4620" s="7">
        <f>IFERROR(__xludf.DUMMYFUNCTION("""COMPUTED_VALUE"""),43571.64583333333)</f>
        <v>43571.64583</v>
      </c>
      <c r="B4620" s="3">
        <f>IFERROR(__xludf.DUMMYFUNCTION("""COMPUTED_VALUE"""),11736.2)</f>
        <v>11736.2</v>
      </c>
      <c r="C4620" s="3">
        <f>IFERROR(__xludf.DUMMYFUNCTION("""COMPUTED_VALUE"""),11810.95)</f>
        <v>11810.95</v>
      </c>
      <c r="D4620" s="3">
        <f>IFERROR(__xludf.DUMMYFUNCTION("""COMPUTED_VALUE"""),11731.55)</f>
        <v>11731.55</v>
      </c>
      <c r="E4620" s="3">
        <f>IFERROR(__xludf.DUMMYFUNCTION("""COMPUTED_VALUE"""),11787.15)</f>
        <v>11787.15</v>
      </c>
      <c r="F4620" s="3">
        <f>IFERROR(__xludf.DUMMYFUNCTION("""COMPUTED_VALUE"""),0.0)</f>
        <v>0</v>
      </c>
    </row>
    <row r="4621">
      <c r="A4621" s="7">
        <f>IFERROR(__xludf.DUMMYFUNCTION("""COMPUTED_VALUE"""),43573.64583333333)</f>
        <v>43573.64583</v>
      </c>
      <c r="B4621" s="3">
        <f>IFERROR(__xludf.DUMMYFUNCTION("""COMPUTED_VALUE"""),11856.15)</f>
        <v>11856.15</v>
      </c>
      <c r="C4621" s="3">
        <f>IFERROR(__xludf.DUMMYFUNCTION("""COMPUTED_VALUE"""),11856.15)</f>
        <v>11856.15</v>
      </c>
      <c r="D4621" s="3">
        <f>IFERROR(__xludf.DUMMYFUNCTION("""COMPUTED_VALUE"""),11738.5)</f>
        <v>11738.5</v>
      </c>
      <c r="E4621" s="3">
        <f>IFERROR(__xludf.DUMMYFUNCTION("""COMPUTED_VALUE"""),11752.8)</f>
        <v>11752.8</v>
      </c>
      <c r="F4621" s="3">
        <f>IFERROR(__xludf.DUMMYFUNCTION("""COMPUTED_VALUE"""),0.0)</f>
        <v>0</v>
      </c>
    </row>
    <row r="4622">
      <c r="A4622" s="7">
        <f>IFERROR(__xludf.DUMMYFUNCTION("""COMPUTED_VALUE"""),43577.64583333333)</f>
        <v>43577.64583</v>
      </c>
      <c r="B4622" s="3">
        <f>IFERROR(__xludf.DUMMYFUNCTION("""COMPUTED_VALUE"""),11727.05)</f>
        <v>11727.05</v>
      </c>
      <c r="C4622" s="3">
        <f>IFERROR(__xludf.DUMMYFUNCTION("""COMPUTED_VALUE"""),11727.05)</f>
        <v>11727.05</v>
      </c>
      <c r="D4622" s="3">
        <f>IFERROR(__xludf.DUMMYFUNCTION("""COMPUTED_VALUE"""),11583.95)</f>
        <v>11583.95</v>
      </c>
      <c r="E4622" s="3">
        <f>IFERROR(__xludf.DUMMYFUNCTION("""COMPUTED_VALUE"""),11594.45)</f>
        <v>11594.45</v>
      </c>
      <c r="F4622" s="3">
        <f>IFERROR(__xludf.DUMMYFUNCTION("""COMPUTED_VALUE"""),0.0)</f>
        <v>0</v>
      </c>
    </row>
    <row r="4623">
      <c r="A4623" s="7">
        <f>IFERROR(__xludf.DUMMYFUNCTION("""COMPUTED_VALUE"""),43578.64583333333)</f>
        <v>43578.64583</v>
      </c>
      <c r="B4623" s="3">
        <f>IFERROR(__xludf.DUMMYFUNCTION("""COMPUTED_VALUE"""),11612.95)</f>
        <v>11612.95</v>
      </c>
      <c r="C4623" s="3">
        <f>IFERROR(__xludf.DUMMYFUNCTION("""COMPUTED_VALUE"""),11645.95)</f>
        <v>11645.95</v>
      </c>
      <c r="D4623" s="3">
        <f>IFERROR(__xludf.DUMMYFUNCTION("""COMPUTED_VALUE"""),11564.8)</f>
        <v>11564.8</v>
      </c>
      <c r="E4623" s="3">
        <f>IFERROR(__xludf.DUMMYFUNCTION("""COMPUTED_VALUE"""),11575.95)</f>
        <v>11575.95</v>
      </c>
      <c r="F4623" s="3">
        <f>IFERROR(__xludf.DUMMYFUNCTION("""COMPUTED_VALUE"""),0.0)</f>
        <v>0</v>
      </c>
    </row>
    <row r="4624">
      <c r="A4624" s="7">
        <f>IFERROR(__xludf.DUMMYFUNCTION("""COMPUTED_VALUE"""),43579.64583333333)</f>
        <v>43579.64583</v>
      </c>
      <c r="B4624" s="3">
        <f>IFERROR(__xludf.DUMMYFUNCTION("""COMPUTED_VALUE"""),11601.5)</f>
        <v>11601.5</v>
      </c>
      <c r="C4624" s="3">
        <f>IFERROR(__xludf.DUMMYFUNCTION("""COMPUTED_VALUE"""),11740.85)</f>
        <v>11740.85</v>
      </c>
      <c r="D4624" s="3">
        <f>IFERROR(__xludf.DUMMYFUNCTION("""COMPUTED_VALUE"""),11578.85)</f>
        <v>11578.85</v>
      </c>
      <c r="E4624" s="3">
        <f>IFERROR(__xludf.DUMMYFUNCTION("""COMPUTED_VALUE"""),11726.15)</f>
        <v>11726.15</v>
      </c>
      <c r="F4624" s="3">
        <f>IFERROR(__xludf.DUMMYFUNCTION("""COMPUTED_VALUE"""),0.0)</f>
        <v>0</v>
      </c>
    </row>
    <row r="4625">
      <c r="A4625" s="7">
        <f>IFERROR(__xludf.DUMMYFUNCTION("""COMPUTED_VALUE"""),43580.64583333333)</f>
        <v>43580.64583</v>
      </c>
      <c r="B4625" s="3">
        <f>IFERROR(__xludf.DUMMYFUNCTION("""COMPUTED_VALUE"""),11735.7)</f>
        <v>11735.7</v>
      </c>
      <c r="C4625" s="3">
        <f>IFERROR(__xludf.DUMMYFUNCTION("""COMPUTED_VALUE"""),11796.75)</f>
        <v>11796.75</v>
      </c>
      <c r="D4625" s="3">
        <f>IFERROR(__xludf.DUMMYFUNCTION("""COMPUTED_VALUE"""),11624.3)</f>
        <v>11624.3</v>
      </c>
      <c r="E4625" s="3">
        <f>IFERROR(__xludf.DUMMYFUNCTION("""COMPUTED_VALUE"""),11641.8)</f>
        <v>11641.8</v>
      </c>
      <c r="F4625" s="3">
        <f>IFERROR(__xludf.DUMMYFUNCTION("""COMPUTED_VALUE"""),0.0)</f>
        <v>0</v>
      </c>
    </row>
    <row r="4626">
      <c r="A4626" s="7">
        <f>IFERROR(__xludf.DUMMYFUNCTION("""COMPUTED_VALUE"""),43581.64583333333)</f>
        <v>43581.64583</v>
      </c>
      <c r="B4626" s="3">
        <f>IFERROR(__xludf.DUMMYFUNCTION("""COMPUTED_VALUE"""),11683.75)</f>
        <v>11683.75</v>
      </c>
      <c r="C4626" s="3">
        <f>IFERROR(__xludf.DUMMYFUNCTION("""COMPUTED_VALUE"""),11762.9)</f>
        <v>11762.9</v>
      </c>
      <c r="D4626" s="3">
        <f>IFERROR(__xludf.DUMMYFUNCTION("""COMPUTED_VALUE"""),11661.75)</f>
        <v>11661.75</v>
      </c>
      <c r="E4626" s="3">
        <f>IFERROR(__xludf.DUMMYFUNCTION("""COMPUTED_VALUE"""),11754.65)</f>
        <v>11754.65</v>
      </c>
      <c r="F4626" s="3">
        <f>IFERROR(__xludf.DUMMYFUNCTION("""COMPUTED_VALUE"""),0.0)</f>
        <v>0</v>
      </c>
    </row>
    <row r="4627">
      <c r="A4627" s="7">
        <f>IFERROR(__xludf.DUMMYFUNCTION("""COMPUTED_VALUE"""),43585.64583333333)</f>
        <v>43585.64583</v>
      </c>
      <c r="B4627" s="3">
        <f>IFERROR(__xludf.DUMMYFUNCTION("""COMPUTED_VALUE"""),11748.75)</f>
        <v>11748.75</v>
      </c>
      <c r="C4627" s="3">
        <f>IFERROR(__xludf.DUMMYFUNCTION("""COMPUTED_VALUE"""),11756.25)</f>
        <v>11756.25</v>
      </c>
      <c r="D4627" s="3">
        <f>IFERROR(__xludf.DUMMYFUNCTION("""COMPUTED_VALUE"""),11655.9)</f>
        <v>11655.9</v>
      </c>
      <c r="E4627" s="3">
        <f>IFERROR(__xludf.DUMMYFUNCTION("""COMPUTED_VALUE"""),11748.15)</f>
        <v>11748.15</v>
      </c>
      <c r="F4627" s="3">
        <f>IFERROR(__xludf.DUMMYFUNCTION("""COMPUTED_VALUE"""),0.0)</f>
        <v>0</v>
      </c>
    </row>
    <row r="4628">
      <c r="A4628" s="7">
        <f>IFERROR(__xludf.DUMMYFUNCTION("""COMPUTED_VALUE"""),43587.64583333333)</f>
        <v>43587.64583</v>
      </c>
      <c r="B4628" s="3">
        <f>IFERROR(__xludf.DUMMYFUNCTION("""COMPUTED_VALUE"""),11725.55)</f>
        <v>11725.55</v>
      </c>
      <c r="C4628" s="3">
        <f>IFERROR(__xludf.DUMMYFUNCTION("""COMPUTED_VALUE"""),11789.3)</f>
        <v>11789.3</v>
      </c>
      <c r="D4628" s="3">
        <f>IFERROR(__xludf.DUMMYFUNCTION("""COMPUTED_VALUE"""),11699.55)</f>
        <v>11699.55</v>
      </c>
      <c r="E4628" s="3">
        <f>IFERROR(__xludf.DUMMYFUNCTION("""COMPUTED_VALUE"""),11724.75)</f>
        <v>11724.75</v>
      </c>
      <c r="F4628" s="3">
        <f>IFERROR(__xludf.DUMMYFUNCTION("""COMPUTED_VALUE"""),0.0)</f>
        <v>0</v>
      </c>
    </row>
    <row r="4629">
      <c r="A4629" s="7">
        <f>IFERROR(__xludf.DUMMYFUNCTION("""COMPUTED_VALUE"""),43588.64583333333)</f>
        <v>43588.64583</v>
      </c>
      <c r="B4629" s="3">
        <f>IFERROR(__xludf.DUMMYFUNCTION("""COMPUTED_VALUE"""),11722.6)</f>
        <v>11722.6</v>
      </c>
      <c r="C4629" s="3">
        <f>IFERROR(__xludf.DUMMYFUNCTION("""COMPUTED_VALUE"""),11770.9)</f>
        <v>11770.9</v>
      </c>
      <c r="D4629" s="3">
        <f>IFERROR(__xludf.DUMMYFUNCTION("""COMPUTED_VALUE"""),11699.35)</f>
        <v>11699.35</v>
      </c>
      <c r="E4629" s="3">
        <f>IFERROR(__xludf.DUMMYFUNCTION("""COMPUTED_VALUE"""),11712.25)</f>
        <v>11712.25</v>
      </c>
      <c r="F4629" s="3">
        <f>IFERROR(__xludf.DUMMYFUNCTION("""COMPUTED_VALUE"""),0.0)</f>
        <v>0</v>
      </c>
    </row>
    <row r="4630">
      <c r="A4630" s="7">
        <f>IFERROR(__xludf.DUMMYFUNCTION("""COMPUTED_VALUE"""),43591.64583333333)</f>
        <v>43591.64583</v>
      </c>
      <c r="B4630" s="3">
        <f>IFERROR(__xludf.DUMMYFUNCTION("""COMPUTED_VALUE"""),11605.8)</f>
        <v>11605.8</v>
      </c>
      <c r="C4630" s="3">
        <f>IFERROR(__xludf.DUMMYFUNCTION("""COMPUTED_VALUE"""),11632.55)</f>
        <v>11632.55</v>
      </c>
      <c r="D4630" s="3">
        <f>IFERROR(__xludf.DUMMYFUNCTION("""COMPUTED_VALUE"""),11571.35)</f>
        <v>11571.35</v>
      </c>
      <c r="E4630" s="3">
        <f>IFERROR(__xludf.DUMMYFUNCTION("""COMPUTED_VALUE"""),11598.25)</f>
        <v>11598.25</v>
      </c>
      <c r="F4630" s="3">
        <f>IFERROR(__xludf.DUMMYFUNCTION("""COMPUTED_VALUE"""),0.0)</f>
        <v>0</v>
      </c>
    </row>
    <row r="4631">
      <c r="A4631" s="7">
        <f>IFERROR(__xludf.DUMMYFUNCTION("""COMPUTED_VALUE"""),43592.79166666667)</f>
        <v>43592.79167</v>
      </c>
      <c r="B4631" s="3">
        <f>IFERROR(__xludf.DUMMYFUNCTION("""COMPUTED_VALUE"""),11651.5)</f>
        <v>11651.5</v>
      </c>
      <c r="C4631" s="3">
        <f>IFERROR(__xludf.DUMMYFUNCTION("""COMPUTED_VALUE"""),11657.05)</f>
        <v>11657.05</v>
      </c>
      <c r="D4631" s="3">
        <f>IFERROR(__xludf.DUMMYFUNCTION("""COMPUTED_VALUE"""),11484.45)</f>
        <v>11484.45</v>
      </c>
      <c r="E4631" s="3">
        <f>IFERROR(__xludf.DUMMYFUNCTION("""COMPUTED_VALUE"""),11497.9)</f>
        <v>11497.9</v>
      </c>
      <c r="F4631" s="3">
        <f>IFERROR(__xludf.DUMMYFUNCTION("""COMPUTED_VALUE"""),0.0)</f>
        <v>0</v>
      </c>
    </row>
    <row r="4632">
      <c r="A4632" s="7">
        <f>IFERROR(__xludf.DUMMYFUNCTION("""COMPUTED_VALUE"""),43593.64583333333)</f>
        <v>43593.64583</v>
      </c>
      <c r="B4632" s="3">
        <f>IFERROR(__xludf.DUMMYFUNCTION("""COMPUTED_VALUE"""),11478.7)</f>
        <v>11478.7</v>
      </c>
      <c r="C4632" s="3">
        <f>IFERROR(__xludf.DUMMYFUNCTION("""COMPUTED_VALUE"""),11479.1)</f>
        <v>11479.1</v>
      </c>
      <c r="D4632" s="3">
        <f>IFERROR(__xludf.DUMMYFUNCTION("""COMPUTED_VALUE"""),11346.95)</f>
        <v>11346.95</v>
      </c>
      <c r="E4632" s="3">
        <f>IFERROR(__xludf.DUMMYFUNCTION("""COMPUTED_VALUE"""),11359.45)</f>
        <v>11359.45</v>
      </c>
      <c r="F4632" s="3">
        <f>IFERROR(__xludf.DUMMYFUNCTION("""COMPUTED_VALUE"""),0.0)</f>
        <v>0</v>
      </c>
    </row>
    <row r="4633">
      <c r="A4633" s="7">
        <f>IFERROR(__xludf.DUMMYFUNCTION("""COMPUTED_VALUE"""),43594.64583333333)</f>
        <v>43594.64583</v>
      </c>
      <c r="B4633" s="3">
        <f>IFERROR(__xludf.DUMMYFUNCTION("""COMPUTED_VALUE"""),11322.4)</f>
        <v>11322.4</v>
      </c>
      <c r="C4633" s="3">
        <f>IFERROR(__xludf.DUMMYFUNCTION("""COMPUTED_VALUE"""),11357.6)</f>
        <v>11357.6</v>
      </c>
      <c r="D4633" s="3">
        <f>IFERROR(__xludf.DUMMYFUNCTION("""COMPUTED_VALUE"""),11255.05)</f>
        <v>11255.05</v>
      </c>
      <c r="E4633" s="3">
        <f>IFERROR(__xludf.DUMMYFUNCTION("""COMPUTED_VALUE"""),11301.8)</f>
        <v>11301.8</v>
      </c>
      <c r="F4633" s="3">
        <f>IFERROR(__xludf.DUMMYFUNCTION("""COMPUTED_VALUE"""),0.0)</f>
        <v>0</v>
      </c>
    </row>
    <row r="4634">
      <c r="A4634" s="7">
        <f>IFERROR(__xludf.DUMMYFUNCTION("""COMPUTED_VALUE"""),43595.64583333333)</f>
        <v>43595.64583</v>
      </c>
      <c r="B4634" s="3">
        <f>IFERROR(__xludf.DUMMYFUNCTION("""COMPUTED_VALUE"""),11314.15)</f>
        <v>11314.15</v>
      </c>
      <c r="C4634" s="3">
        <f>IFERROR(__xludf.DUMMYFUNCTION("""COMPUTED_VALUE"""),11345.8)</f>
        <v>11345.8</v>
      </c>
      <c r="D4634" s="3">
        <f>IFERROR(__xludf.DUMMYFUNCTION("""COMPUTED_VALUE"""),11251.05)</f>
        <v>11251.05</v>
      </c>
      <c r="E4634" s="3">
        <f>IFERROR(__xludf.DUMMYFUNCTION("""COMPUTED_VALUE"""),11278.9)</f>
        <v>11278.9</v>
      </c>
      <c r="F4634" s="3">
        <f>IFERROR(__xludf.DUMMYFUNCTION("""COMPUTED_VALUE"""),0.0)</f>
        <v>0</v>
      </c>
    </row>
    <row r="4635">
      <c r="A4635" s="7">
        <f>IFERROR(__xludf.DUMMYFUNCTION("""COMPUTED_VALUE"""),43598.64583333333)</f>
        <v>43598.64583</v>
      </c>
      <c r="B4635" s="3">
        <f>IFERROR(__xludf.DUMMYFUNCTION("""COMPUTED_VALUE"""),11258.7)</f>
        <v>11258.7</v>
      </c>
      <c r="C4635" s="3">
        <f>IFERROR(__xludf.DUMMYFUNCTION("""COMPUTED_VALUE"""),11300.2)</f>
        <v>11300.2</v>
      </c>
      <c r="D4635" s="3">
        <f>IFERROR(__xludf.DUMMYFUNCTION("""COMPUTED_VALUE"""),11125.6)</f>
        <v>11125.6</v>
      </c>
      <c r="E4635" s="3">
        <f>IFERROR(__xludf.DUMMYFUNCTION("""COMPUTED_VALUE"""),11148.2)</f>
        <v>11148.2</v>
      </c>
      <c r="F4635" s="3">
        <f>IFERROR(__xludf.DUMMYFUNCTION("""COMPUTED_VALUE"""),0.0)</f>
        <v>0</v>
      </c>
    </row>
    <row r="4636">
      <c r="A4636" s="7">
        <f>IFERROR(__xludf.DUMMYFUNCTION("""COMPUTED_VALUE"""),43599.64583333333)</f>
        <v>43599.64583</v>
      </c>
      <c r="B4636" s="3">
        <f>IFERROR(__xludf.DUMMYFUNCTION("""COMPUTED_VALUE"""),11151.65)</f>
        <v>11151.65</v>
      </c>
      <c r="C4636" s="3">
        <f>IFERROR(__xludf.DUMMYFUNCTION("""COMPUTED_VALUE"""),11294.75)</f>
        <v>11294.75</v>
      </c>
      <c r="D4636" s="3">
        <f>IFERROR(__xludf.DUMMYFUNCTION("""COMPUTED_VALUE"""),11108.3)</f>
        <v>11108.3</v>
      </c>
      <c r="E4636" s="3">
        <f>IFERROR(__xludf.DUMMYFUNCTION("""COMPUTED_VALUE"""),11222.05)</f>
        <v>11222.05</v>
      </c>
      <c r="F4636" s="3">
        <f>IFERROR(__xludf.DUMMYFUNCTION("""COMPUTED_VALUE"""),0.0)</f>
        <v>0</v>
      </c>
    </row>
    <row r="4637">
      <c r="A4637" s="7">
        <f>IFERROR(__xludf.DUMMYFUNCTION("""COMPUTED_VALUE"""),43600.64583333333)</f>
        <v>43600.64583</v>
      </c>
      <c r="B4637" s="3">
        <f>IFERROR(__xludf.DUMMYFUNCTION("""COMPUTED_VALUE"""),11271.7)</f>
        <v>11271.7</v>
      </c>
      <c r="C4637" s="3">
        <f>IFERROR(__xludf.DUMMYFUNCTION("""COMPUTED_VALUE"""),11286.8)</f>
        <v>11286.8</v>
      </c>
      <c r="D4637" s="3">
        <f>IFERROR(__xludf.DUMMYFUNCTION("""COMPUTED_VALUE"""),11136.95)</f>
        <v>11136.95</v>
      </c>
      <c r="E4637" s="3">
        <f>IFERROR(__xludf.DUMMYFUNCTION("""COMPUTED_VALUE"""),11157.0)</f>
        <v>11157</v>
      </c>
      <c r="F4637" s="3">
        <f>IFERROR(__xludf.DUMMYFUNCTION("""COMPUTED_VALUE"""),0.0)</f>
        <v>0</v>
      </c>
    </row>
    <row r="4638">
      <c r="A4638" s="7">
        <f>IFERROR(__xludf.DUMMYFUNCTION("""COMPUTED_VALUE"""),43601.64583333333)</f>
        <v>43601.64583</v>
      </c>
      <c r="B4638" s="3">
        <f>IFERROR(__xludf.DUMMYFUNCTION("""COMPUTED_VALUE"""),11180.35)</f>
        <v>11180.35</v>
      </c>
      <c r="C4638" s="3">
        <f>IFERROR(__xludf.DUMMYFUNCTION("""COMPUTED_VALUE"""),11281.55)</f>
        <v>11281.55</v>
      </c>
      <c r="D4638" s="3">
        <f>IFERROR(__xludf.DUMMYFUNCTION("""COMPUTED_VALUE"""),11143.35)</f>
        <v>11143.35</v>
      </c>
      <c r="E4638" s="3">
        <f>IFERROR(__xludf.DUMMYFUNCTION("""COMPUTED_VALUE"""),11257.1)</f>
        <v>11257.1</v>
      </c>
      <c r="F4638" s="3">
        <f>IFERROR(__xludf.DUMMYFUNCTION("""COMPUTED_VALUE"""),0.0)</f>
        <v>0</v>
      </c>
    </row>
    <row r="4639">
      <c r="A4639" s="7">
        <f>IFERROR(__xludf.DUMMYFUNCTION("""COMPUTED_VALUE"""),43602.64583333333)</f>
        <v>43602.64583</v>
      </c>
      <c r="B4639" s="3">
        <f>IFERROR(__xludf.DUMMYFUNCTION("""COMPUTED_VALUE"""),11261.9)</f>
        <v>11261.9</v>
      </c>
      <c r="C4639" s="3">
        <f>IFERROR(__xludf.DUMMYFUNCTION("""COMPUTED_VALUE"""),11426.15)</f>
        <v>11426.15</v>
      </c>
      <c r="D4639" s="3">
        <f>IFERROR(__xludf.DUMMYFUNCTION("""COMPUTED_VALUE"""),11259.85)</f>
        <v>11259.85</v>
      </c>
      <c r="E4639" s="3">
        <f>IFERROR(__xludf.DUMMYFUNCTION("""COMPUTED_VALUE"""),11407.15)</f>
        <v>11407.15</v>
      </c>
      <c r="F4639" s="3">
        <f>IFERROR(__xludf.DUMMYFUNCTION("""COMPUTED_VALUE"""),0.0)</f>
        <v>0</v>
      </c>
    </row>
    <row r="4640">
      <c r="A4640" s="7">
        <f>IFERROR(__xludf.DUMMYFUNCTION("""COMPUTED_VALUE"""),43605.64583333333)</f>
        <v>43605.64583</v>
      </c>
      <c r="B4640" s="3">
        <f>IFERROR(__xludf.DUMMYFUNCTION("""COMPUTED_VALUE"""),11651.9)</f>
        <v>11651.9</v>
      </c>
      <c r="C4640" s="3">
        <f>IFERROR(__xludf.DUMMYFUNCTION("""COMPUTED_VALUE"""),11845.2)</f>
        <v>11845.2</v>
      </c>
      <c r="D4640" s="3">
        <f>IFERROR(__xludf.DUMMYFUNCTION("""COMPUTED_VALUE"""),11591.7)</f>
        <v>11591.7</v>
      </c>
      <c r="E4640" s="3">
        <f>IFERROR(__xludf.DUMMYFUNCTION("""COMPUTED_VALUE"""),11828.25)</f>
        <v>11828.25</v>
      </c>
      <c r="F4640" s="3">
        <f>IFERROR(__xludf.DUMMYFUNCTION("""COMPUTED_VALUE"""),0.0)</f>
        <v>0</v>
      </c>
    </row>
    <row r="4641">
      <c r="A4641" s="7">
        <f>IFERROR(__xludf.DUMMYFUNCTION("""COMPUTED_VALUE"""),43606.64583333333)</f>
        <v>43606.64583</v>
      </c>
      <c r="B4641" s="3">
        <f>IFERROR(__xludf.DUMMYFUNCTION("""COMPUTED_VALUE"""),11863.65)</f>
        <v>11863.65</v>
      </c>
      <c r="C4641" s="3">
        <f>IFERROR(__xludf.DUMMYFUNCTION("""COMPUTED_VALUE"""),11883.55)</f>
        <v>11883.55</v>
      </c>
      <c r="D4641" s="3">
        <f>IFERROR(__xludf.DUMMYFUNCTION("""COMPUTED_VALUE"""),11682.8)</f>
        <v>11682.8</v>
      </c>
      <c r="E4641" s="3">
        <f>IFERROR(__xludf.DUMMYFUNCTION("""COMPUTED_VALUE"""),11709.1)</f>
        <v>11709.1</v>
      </c>
      <c r="F4641" s="3">
        <f>IFERROR(__xludf.DUMMYFUNCTION("""COMPUTED_VALUE"""),0.0)</f>
        <v>0</v>
      </c>
    </row>
    <row r="4642">
      <c r="A4642" s="7">
        <f>IFERROR(__xludf.DUMMYFUNCTION("""COMPUTED_VALUE"""),43607.64583333333)</f>
        <v>43607.64583</v>
      </c>
      <c r="B4642" s="3">
        <f>IFERROR(__xludf.DUMMYFUNCTION("""COMPUTED_VALUE"""),11727.95)</f>
        <v>11727.95</v>
      </c>
      <c r="C4642" s="3">
        <f>IFERROR(__xludf.DUMMYFUNCTION("""COMPUTED_VALUE"""),11784.8)</f>
        <v>11784.8</v>
      </c>
      <c r="D4642" s="3">
        <f>IFERROR(__xludf.DUMMYFUNCTION("""COMPUTED_VALUE"""),11682.4)</f>
        <v>11682.4</v>
      </c>
      <c r="E4642" s="3">
        <f>IFERROR(__xludf.DUMMYFUNCTION("""COMPUTED_VALUE"""),11737.9)</f>
        <v>11737.9</v>
      </c>
      <c r="F4642" s="3">
        <f>IFERROR(__xludf.DUMMYFUNCTION("""COMPUTED_VALUE"""),0.0)</f>
        <v>0</v>
      </c>
    </row>
    <row r="4643">
      <c r="A4643" s="7">
        <f>IFERROR(__xludf.DUMMYFUNCTION("""COMPUTED_VALUE"""),43608.64583333333)</f>
        <v>43608.64583</v>
      </c>
      <c r="B4643" s="3">
        <f>IFERROR(__xludf.DUMMYFUNCTION("""COMPUTED_VALUE"""),11901.3)</f>
        <v>11901.3</v>
      </c>
      <c r="C4643" s="3">
        <f>IFERROR(__xludf.DUMMYFUNCTION("""COMPUTED_VALUE"""),12041.15)</f>
        <v>12041.15</v>
      </c>
      <c r="D4643" s="3">
        <f>IFERROR(__xludf.DUMMYFUNCTION("""COMPUTED_VALUE"""),11614.5)</f>
        <v>11614.5</v>
      </c>
      <c r="E4643" s="3">
        <f>IFERROR(__xludf.DUMMYFUNCTION("""COMPUTED_VALUE"""),11657.05)</f>
        <v>11657.05</v>
      </c>
      <c r="F4643" s="3">
        <f>IFERROR(__xludf.DUMMYFUNCTION("""COMPUTED_VALUE"""),0.0)</f>
        <v>0</v>
      </c>
    </row>
    <row r="4644">
      <c r="A4644" s="7">
        <f>IFERROR(__xludf.DUMMYFUNCTION("""COMPUTED_VALUE"""),43609.64583333333)</f>
        <v>43609.64583</v>
      </c>
      <c r="B4644" s="3">
        <f>IFERROR(__xludf.DUMMYFUNCTION("""COMPUTED_VALUE"""),11748.0)</f>
        <v>11748</v>
      </c>
      <c r="C4644" s="3">
        <f>IFERROR(__xludf.DUMMYFUNCTION("""COMPUTED_VALUE"""),11859.0)</f>
        <v>11859</v>
      </c>
      <c r="D4644" s="3">
        <f>IFERROR(__xludf.DUMMYFUNCTION("""COMPUTED_VALUE"""),11658.1)</f>
        <v>11658.1</v>
      </c>
      <c r="E4644" s="3">
        <f>IFERROR(__xludf.DUMMYFUNCTION("""COMPUTED_VALUE"""),11844.1)</f>
        <v>11844.1</v>
      </c>
      <c r="F4644" s="3">
        <f>IFERROR(__xludf.DUMMYFUNCTION("""COMPUTED_VALUE"""),0.0)</f>
        <v>0</v>
      </c>
    </row>
    <row r="4645">
      <c r="A4645" s="7">
        <f>IFERROR(__xludf.DUMMYFUNCTION("""COMPUTED_VALUE"""),43612.64583333333)</f>
        <v>43612.64583</v>
      </c>
      <c r="B4645" s="3">
        <f>IFERROR(__xludf.DUMMYFUNCTION("""COMPUTED_VALUE"""),11855.5)</f>
        <v>11855.5</v>
      </c>
      <c r="C4645" s="3">
        <f>IFERROR(__xludf.DUMMYFUNCTION("""COMPUTED_VALUE"""),11957.15)</f>
        <v>11957.15</v>
      </c>
      <c r="D4645" s="3">
        <f>IFERROR(__xludf.DUMMYFUNCTION("""COMPUTED_VALUE"""),11812.4)</f>
        <v>11812.4</v>
      </c>
      <c r="E4645" s="3">
        <f>IFERROR(__xludf.DUMMYFUNCTION("""COMPUTED_VALUE"""),11924.75)</f>
        <v>11924.75</v>
      </c>
      <c r="F4645" s="3">
        <f>IFERROR(__xludf.DUMMYFUNCTION("""COMPUTED_VALUE"""),0.0)</f>
        <v>0</v>
      </c>
    </row>
    <row r="4646">
      <c r="A4646" s="7">
        <f>IFERROR(__xludf.DUMMYFUNCTION("""COMPUTED_VALUE"""),43613.64583333333)</f>
        <v>43613.64583</v>
      </c>
      <c r="B4646" s="3">
        <f>IFERROR(__xludf.DUMMYFUNCTION("""COMPUTED_VALUE"""),11958.35)</f>
        <v>11958.35</v>
      </c>
      <c r="C4646" s="3">
        <f>IFERROR(__xludf.DUMMYFUNCTION("""COMPUTED_VALUE"""),11958.55)</f>
        <v>11958.55</v>
      </c>
      <c r="D4646" s="3">
        <f>IFERROR(__xludf.DUMMYFUNCTION("""COMPUTED_VALUE"""),11864.9)</f>
        <v>11864.9</v>
      </c>
      <c r="E4646" s="3">
        <f>IFERROR(__xludf.DUMMYFUNCTION("""COMPUTED_VALUE"""),11928.75)</f>
        <v>11928.75</v>
      </c>
      <c r="F4646" s="3">
        <f>IFERROR(__xludf.DUMMYFUNCTION("""COMPUTED_VALUE"""),0.0)</f>
        <v>0</v>
      </c>
    </row>
    <row r="4647">
      <c r="A4647" s="7">
        <f>IFERROR(__xludf.DUMMYFUNCTION("""COMPUTED_VALUE"""),43614.64583333333)</f>
        <v>43614.64583</v>
      </c>
      <c r="B4647" s="3">
        <f>IFERROR(__xludf.DUMMYFUNCTION("""COMPUTED_VALUE"""),11905.8)</f>
        <v>11905.8</v>
      </c>
      <c r="C4647" s="3">
        <f>IFERROR(__xludf.DUMMYFUNCTION("""COMPUTED_VALUE"""),11931.9)</f>
        <v>11931.9</v>
      </c>
      <c r="D4647" s="3">
        <f>IFERROR(__xludf.DUMMYFUNCTION("""COMPUTED_VALUE"""),11836.8)</f>
        <v>11836.8</v>
      </c>
      <c r="E4647" s="3">
        <f>IFERROR(__xludf.DUMMYFUNCTION("""COMPUTED_VALUE"""),11861.1)</f>
        <v>11861.1</v>
      </c>
      <c r="F4647" s="3">
        <f>IFERROR(__xludf.DUMMYFUNCTION("""COMPUTED_VALUE"""),0.0)</f>
        <v>0</v>
      </c>
    </row>
    <row r="4648">
      <c r="A4648" s="7">
        <f>IFERROR(__xludf.DUMMYFUNCTION("""COMPUTED_VALUE"""),43615.64583333333)</f>
        <v>43615.64583</v>
      </c>
      <c r="B4648" s="3">
        <f>IFERROR(__xludf.DUMMYFUNCTION("""COMPUTED_VALUE"""),11865.3)</f>
        <v>11865.3</v>
      </c>
      <c r="C4648" s="3">
        <f>IFERROR(__xludf.DUMMYFUNCTION("""COMPUTED_VALUE"""),11968.55)</f>
        <v>11968.55</v>
      </c>
      <c r="D4648" s="3">
        <f>IFERROR(__xludf.DUMMYFUNCTION("""COMPUTED_VALUE"""),11859.4)</f>
        <v>11859.4</v>
      </c>
      <c r="E4648" s="3">
        <f>IFERROR(__xludf.DUMMYFUNCTION("""COMPUTED_VALUE"""),11945.9)</f>
        <v>11945.9</v>
      </c>
      <c r="F4648" s="3">
        <f>IFERROR(__xludf.DUMMYFUNCTION("""COMPUTED_VALUE"""),0.0)</f>
        <v>0</v>
      </c>
    </row>
    <row r="4649">
      <c r="A4649" s="7">
        <f>IFERROR(__xludf.DUMMYFUNCTION("""COMPUTED_VALUE"""),43616.64583333333)</f>
        <v>43616.64583</v>
      </c>
      <c r="B4649" s="3">
        <f>IFERROR(__xludf.DUMMYFUNCTION("""COMPUTED_VALUE"""),11999.8)</f>
        <v>11999.8</v>
      </c>
      <c r="C4649" s="3">
        <f>IFERROR(__xludf.DUMMYFUNCTION("""COMPUTED_VALUE"""),12039.25)</f>
        <v>12039.25</v>
      </c>
      <c r="D4649" s="3">
        <f>IFERROR(__xludf.DUMMYFUNCTION("""COMPUTED_VALUE"""),11829.45)</f>
        <v>11829.45</v>
      </c>
      <c r="E4649" s="3">
        <f>IFERROR(__xludf.DUMMYFUNCTION("""COMPUTED_VALUE"""),11922.8)</f>
        <v>11922.8</v>
      </c>
      <c r="F4649" s="3">
        <f>IFERROR(__xludf.DUMMYFUNCTION("""COMPUTED_VALUE"""),0.0)</f>
        <v>0</v>
      </c>
    </row>
    <row r="4650">
      <c r="A4650" s="7">
        <f>IFERROR(__xludf.DUMMYFUNCTION("""COMPUTED_VALUE"""),43619.64583333333)</f>
        <v>43619.64583</v>
      </c>
      <c r="B4650" s="3">
        <f>IFERROR(__xludf.DUMMYFUNCTION("""COMPUTED_VALUE"""),11953.75)</f>
        <v>11953.75</v>
      </c>
      <c r="C4650" s="3">
        <f>IFERROR(__xludf.DUMMYFUNCTION("""COMPUTED_VALUE"""),12103.05)</f>
        <v>12103.05</v>
      </c>
      <c r="D4650" s="3">
        <f>IFERROR(__xludf.DUMMYFUNCTION("""COMPUTED_VALUE"""),11920.1)</f>
        <v>11920.1</v>
      </c>
      <c r="E4650" s="3">
        <f>IFERROR(__xludf.DUMMYFUNCTION("""COMPUTED_VALUE"""),12088.55)</f>
        <v>12088.55</v>
      </c>
      <c r="F4650" s="3">
        <f>IFERROR(__xludf.DUMMYFUNCTION("""COMPUTED_VALUE"""),0.0)</f>
        <v>0</v>
      </c>
    </row>
    <row r="4651">
      <c r="A4651" s="7">
        <f>IFERROR(__xludf.DUMMYFUNCTION("""COMPUTED_VALUE"""),43620.64583333333)</f>
        <v>43620.64583</v>
      </c>
      <c r="B4651" s="3">
        <f>IFERROR(__xludf.DUMMYFUNCTION("""COMPUTED_VALUE"""),12052.65)</f>
        <v>12052.65</v>
      </c>
      <c r="C4651" s="3">
        <f>IFERROR(__xludf.DUMMYFUNCTION("""COMPUTED_VALUE"""),12095.2)</f>
        <v>12095.2</v>
      </c>
      <c r="D4651" s="3">
        <f>IFERROR(__xludf.DUMMYFUNCTION("""COMPUTED_VALUE"""),12005.85)</f>
        <v>12005.85</v>
      </c>
      <c r="E4651" s="3">
        <f>IFERROR(__xludf.DUMMYFUNCTION("""COMPUTED_VALUE"""),12021.65)</f>
        <v>12021.65</v>
      </c>
      <c r="F4651" s="3">
        <f>IFERROR(__xludf.DUMMYFUNCTION("""COMPUTED_VALUE"""),0.0)</f>
        <v>0</v>
      </c>
    </row>
    <row r="4652">
      <c r="A4652" s="7">
        <f>IFERROR(__xludf.DUMMYFUNCTION("""COMPUTED_VALUE"""),43622.64583333333)</f>
        <v>43622.64583</v>
      </c>
      <c r="B4652" s="3">
        <f>IFERROR(__xludf.DUMMYFUNCTION("""COMPUTED_VALUE"""),12039.8)</f>
        <v>12039.8</v>
      </c>
      <c r="C4652" s="3">
        <f>IFERROR(__xludf.DUMMYFUNCTION("""COMPUTED_VALUE"""),12039.8)</f>
        <v>12039.8</v>
      </c>
      <c r="D4652" s="3">
        <f>IFERROR(__xludf.DUMMYFUNCTION("""COMPUTED_VALUE"""),11830.25)</f>
        <v>11830.25</v>
      </c>
      <c r="E4652" s="3">
        <f>IFERROR(__xludf.DUMMYFUNCTION("""COMPUTED_VALUE"""),11843.75)</f>
        <v>11843.75</v>
      </c>
      <c r="F4652" s="3">
        <f>IFERROR(__xludf.DUMMYFUNCTION("""COMPUTED_VALUE"""),0.0)</f>
        <v>0</v>
      </c>
    </row>
    <row r="4653">
      <c r="A4653" s="7">
        <f>IFERROR(__xludf.DUMMYFUNCTION("""COMPUTED_VALUE"""),43623.64583333333)</f>
        <v>43623.64583</v>
      </c>
      <c r="B4653" s="3">
        <f>IFERROR(__xludf.DUMMYFUNCTION("""COMPUTED_VALUE"""),11865.2)</f>
        <v>11865.2</v>
      </c>
      <c r="C4653" s="3">
        <f>IFERROR(__xludf.DUMMYFUNCTION("""COMPUTED_VALUE"""),11897.5)</f>
        <v>11897.5</v>
      </c>
      <c r="D4653" s="3">
        <f>IFERROR(__xludf.DUMMYFUNCTION("""COMPUTED_VALUE"""),11769.5)</f>
        <v>11769.5</v>
      </c>
      <c r="E4653" s="3">
        <f>IFERROR(__xludf.DUMMYFUNCTION("""COMPUTED_VALUE"""),11870.65)</f>
        <v>11870.65</v>
      </c>
      <c r="F4653" s="3">
        <f>IFERROR(__xludf.DUMMYFUNCTION("""COMPUTED_VALUE"""),0.0)</f>
        <v>0</v>
      </c>
    </row>
    <row r="4654">
      <c r="A4654" s="7">
        <f>IFERROR(__xludf.DUMMYFUNCTION("""COMPUTED_VALUE"""),43626.64583333333)</f>
        <v>43626.64583</v>
      </c>
      <c r="B4654" s="3">
        <f>IFERROR(__xludf.DUMMYFUNCTION("""COMPUTED_VALUE"""),11934.9)</f>
        <v>11934.9</v>
      </c>
      <c r="C4654" s="3">
        <f>IFERROR(__xludf.DUMMYFUNCTION("""COMPUTED_VALUE"""),11975.05)</f>
        <v>11975.05</v>
      </c>
      <c r="D4654" s="3">
        <f>IFERROR(__xludf.DUMMYFUNCTION("""COMPUTED_VALUE"""),11871.75)</f>
        <v>11871.75</v>
      </c>
      <c r="E4654" s="3">
        <f>IFERROR(__xludf.DUMMYFUNCTION("""COMPUTED_VALUE"""),11922.7)</f>
        <v>11922.7</v>
      </c>
      <c r="F4654" s="3">
        <f>IFERROR(__xludf.DUMMYFUNCTION("""COMPUTED_VALUE"""),0.0)</f>
        <v>0</v>
      </c>
    </row>
    <row r="4655">
      <c r="A4655" s="7">
        <f>IFERROR(__xludf.DUMMYFUNCTION("""COMPUTED_VALUE"""),43627.64583333333)</f>
        <v>43627.64583</v>
      </c>
      <c r="B4655" s="3">
        <f>IFERROR(__xludf.DUMMYFUNCTION("""COMPUTED_VALUE"""),11959.85)</f>
        <v>11959.85</v>
      </c>
      <c r="C4655" s="3">
        <f>IFERROR(__xludf.DUMMYFUNCTION("""COMPUTED_VALUE"""),12000.35)</f>
        <v>12000.35</v>
      </c>
      <c r="D4655" s="3">
        <f>IFERROR(__xludf.DUMMYFUNCTION("""COMPUTED_VALUE"""),11904.35)</f>
        <v>11904.35</v>
      </c>
      <c r="E4655" s="3">
        <f>IFERROR(__xludf.DUMMYFUNCTION("""COMPUTED_VALUE"""),11965.6)</f>
        <v>11965.6</v>
      </c>
      <c r="F4655" s="3">
        <f>IFERROR(__xludf.DUMMYFUNCTION("""COMPUTED_VALUE"""),0.0)</f>
        <v>0</v>
      </c>
    </row>
    <row r="4656">
      <c r="A4656" s="7">
        <f>IFERROR(__xludf.DUMMYFUNCTION("""COMPUTED_VALUE"""),43628.64583333333)</f>
        <v>43628.64583</v>
      </c>
      <c r="B4656" s="3">
        <f>IFERROR(__xludf.DUMMYFUNCTION("""COMPUTED_VALUE"""),11962.45)</f>
        <v>11962.45</v>
      </c>
      <c r="C4656" s="3">
        <f>IFERROR(__xludf.DUMMYFUNCTION("""COMPUTED_VALUE"""),11962.45)</f>
        <v>11962.45</v>
      </c>
      <c r="D4656" s="3">
        <f>IFERROR(__xludf.DUMMYFUNCTION("""COMPUTED_VALUE"""),11866.35)</f>
        <v>11866.35</v>
      </c>
      <c r="E4656" s="3">
        <f>IFERROR(__xludf.DUMMYFUNCTION("""COMPUTED_VALUE"""),11906.2)</f>
        <v>11906.2</v>
      </c>
      <c r="F4656" s="3">
        <f>IFERROR(__xludf.DUMMYFUNCTION("""COMPUTED_VALUE"""),0.0)</f>
        <v>0</v>
      </c>
    </row>
    <row r="4657">
      <c r="A4657" s="7">
        <f>IFERROR(__xludf.DUMMYFUNCTION("""COMPUTED_VALUE"""),43629.64583333333)</f>
        <v>43629.64583</v>
      </c>
      <c r="B4657" s="3">
        <f>IFERROR(__xludf.DUMMYFUNCTION("""COMPUTED_VALUE"""),11873.9)</f>
        <v>11873.9</v>
      </c>
      <c r="C4657" s="3">
        <f>IFERROR(__xludf.DUMMYFUNCTION("""COMPUTED_VALUE"""),11931.35)</f>
        <v>11931.35</v>
      </c>
      <c r="D4657" s="3">
        <f>IFERROR(__xludf.DUMMYFUNCTION("""COMPUTED_VALUE"""),11817.05)</f>
        <v>11817.05</v>
      </c>
      <c r="E4657" s="3">
        <f>IFERROR(__xludf.DUMMYFUNCTION("""COMPUTED_VALUE"""),11914.05)</f>
        <v>11914.05</v>
      </c>
      <c r="F4657" s="3">
        <f>IFERROR(__xludf.DUMMYFUNCTION("""COMPUTED_VALUE"""),0.0)</f>
        <v>0</v>
      </c>
    </row>
    <row r="4658">
      <c r="A4658" s="7">
        <f>IFERROR(__xludf.DUMMYFUNCTION("""COMPUTED_VALUE"""),43630.64583333333)</f>
        <v>43630.64583</v>
      </c>
      <c r="B4658" s="3">
        <f>IFERROR(__xludf.DUMMYFUNCTION("""COMPUTED_VALUE"""),11910.1)</f>
        <v>11910.1</v>
      </c>
      <c r="C4658" s="3">
        <f>IFERROR(__xludf.DUMMYFUNCTION("""COMPUTED_VALUE"""),11911.85)</f>
        <v>11911.85</v>
      </c>
      <c r="D4658" s="3">
        <f>IFERROR(__xludf.DUMMYFUNCTION("""COMPUTED_VALUE"""),11797.7)</f>
        <v>11797.7</v>
      </c>
      <c r="E4658" s="3">
        <f>IFERROR(__xludf.DUMMYFUNCTION("""COMPUTED_VALUE"""),11823.3)</f>
        <v>11823.3</v>
      </c>
      <c r="F4658" s="3">
        <f>IFERROR(__xludf.DUMMYFUNCTION("""COMPUTED_VALUE"""),0.0)</f>
        <v>0</v>
      </c>
    </row>
    <row r="4659">
      <c r="A4659" s="7">
        <f>IFERROR(__xludf.DUMMYFUNCTION("""COMPUTED_VALUE"""),43633.64583333333)</f>
        <v>43633.64583</v>
      </c>
      <c r="B4659" s="3">
        <f>IFERROR(__xludf.DUMMYFUNCTION("""COMPUTED_VALUE"""),11844.0)</f>
        <v>11844</v>
      </c>
      <c r="C4659" s="3">
        <f>IFERROR(__xludf.DUMMYFUNCTION("""COMPUTED_VALUE"""),11844.05)</f>
        <v>11844.05</v>
      </c>
      <c r="D4659" s="3">
        <f>IFERROR(__xludf.DUMMYFUNCTION("""COMPUTED_VALUE"""),11657.75)</f>
        <v>11657.75</v>
      </c>
      <c r="E4659" s="3">
        <f>IFERROR(__xludf.DUMMYFUNCTION("""COMPUTED_VALUE"""),11672.15)</f>
        <v>11672.15</v>
      </c>
      <c r="F4659" s="3">
        <f>IFERROR(__xludf.DUMMYFUNCTION("""COMPUTED_VALUE"""),0.0)</f>
        <v>0</v>
      </c>
    </row>
    <row r="4660">
      <c r="A4660" s="7">
        <f>IFERROR(__xludf.DUMMYFUNCTION("""COMPUTED_VALUE"""),43634.64583333333)</f>
        <v>43634.64583</v>
      </c>
      <c r="B4660" s="3">
        <f>IFERROR(__xludf.DUMMYFUNCTION("""COMPUTED_VALUE"""),11677.05)</f>
        <v>11677.05</v>
      </c>
      <c r="C4660" s="3">
        <f>IFERROR(__xludf.DUMMYFUNCTION("""COMPUTED_VALUE"""),11727.2)</f>
        <v>11727.2</v>
      </c>
      <c r="D4660" s="3">
        <f>IFERROR(__xludf.DUMMYFUNCTION("""COMPUTED_VALUE"""),11641.15)</f>
        <v>11641.15</v>
      </c>
      <c r="E4660" s="3">
        <f>IFERROR(__xludf.DUMMYFUNCTION("""COMPUTED_VALUE"""),11691.5)</f>
        <v>11691.5</v>
      </c>
      <c r="F4660" s="3">
        <f>IFERROR(__xludf.DUMMYFUNCTION("""COMPUTED_VALUE"""),0.0)</f>
        <v>0</v>
      </c>
    </row>
    <row r="4661">
      <c r="A4661" s="7">
        <f>IFERROR(__xludf.DUMMYFUNCTION("""COMPUTED_VALUE"""),43635.64583333333)</f>
        <v>43635.64583</v>
      </c>
      <c r="B4661" s="3">
        <f>IFERROR(__xludf.DUMMYFUNCTION("""COMPUTED_VALUE"""),11744.45)</f>
        <v>11744.45</v>
      </c>
      <c r="C4661" s="3">
        <f>IFERROR(__xludf.DUMMYFUNCTION("""COMPUTED_VALUE"""),11802.5)</f>
        <v>11802.5</v>
      </c>
      <c r="D4661" s="3">
        <f>IFERROR(__xludf.DUMMYFUNCTION("""COMPUTED_VALUE"""),11625.1)</f>
        <v>11625.1</v>
      </c>
      <c r="E4661" s="3">
        <f>IFERROR(__xludf.DUMMYFUNCTION("""COMPUTED_VALUE"""),11691.45)</f>
        <v>11691.45</v>
      </c>
      <c r="F4661" s="3">
        <f>IFERROR(__xludf.DUMMYFUNCTION("""COMPUTED_VALUE"""),0.0)</f>
        <v>0</v>
      </c>
    </row>
    <row r="4662">
      <c r="A4662" s="7">
        <f>IFERROR(__xludf.DUMMYFUNCTION("""COMPUTED_VALUE"""),43636.64583333333)</f>
        <v>43636.64583</v>
      </c>
      <c r="B4662" s="3">
        <f>IFERROR(__xludf.DUMMYFUNCTION("""COMPUTED_VALUE"""),11653.65)</f>
        <v>11653.65</v>
      </c>
      <c r="C4662" s="3">
        <f>IFERROR(__xludf.DUMMYFUNCTION("""COMPUTED_VALUE"""),11843.5)</f>
        <v>11843.5</v>
      </c>
      <c r="D4662" s="3">
        <f>IFERROR(__xludf.DUMMYFUNCTION("""COMPUTED_VALUE"""),11635.05)</f>
        <v>11635.05</v>
      </c>
      <c r="E4662" s="3">
        <f>IFERROR(__xludf.DUMMYFUNCTION("""COMPUTED_VALUE"""),11831.75)</f>
        <v>11831.75</v>
      </c>
      <c r="F4662" s="3">
        <f>IFERROR(__xludf.DUMMYFUNCTION("""COMPUTED_VALUE"""),0.0)</f>
        <v>0</v>
      </c>
    </row>
    <row r="4663">
      <c r="A4663" s="7">
        <f>IFERROR(__xludf.DUMMYFUNCTION("""COMPUTED_VALUE"""),43637.64583333333)</f>
        <v>43637.64583</v>
      </c>
      <c r="B4663" s="3">
        <f>IFERROR(__xludf.DUMMYFUNCTION("""COMPUTED_VALUE"""),11827.6)</f>
        <v>11827.6</v>
      </c>
      <c r="C4663" s="3">
        <f>IFERROR(__xludf.DUMMYFUNCTION("""COMPUTED_VALUE"""),11827.95)</f>
        <v>11827.95</v>
      </c>
      <c r="D4663" s="3">
        <f>IFERROR(__xludf.DUMMYFUNCTION("""COMPUTED_VALUE"""),11705.1)</f>
        <v>11705.1</v>
      </c>
      <c r="E4663" s="3">
        <f>IFERROR(__xludf.DUMMYFUNCTION("""COMPUTED_VALUE"""),11724.1)</f>
        <v>11724.1</v>
      </c>
      <c r="F4663" s="3">
        <f>IFERROR(__xludf.DUMMYFUNCTION("""COMPUTED_VALUE"""),0.0)</f>
        <v>0</v>
      </c>
    </row>
    <row r="4664">
      <c r="A4664" s="7">
        <f>IFERROR(__xludf.DUMMYFUNCTION("""COMPUTED_VALUE"""),43640.64583333333)</f>
        <v>43640.64583</v>
      </c>
      <c r="B4664" s="3">
        <f>IFERROR(__xludf.DUMMYFUNCTION("""COMPUTED_VALUE"""),11725.8)</f>
        <v>11725.8</v>
      </c>
      <c r="C4664" s="3">
        <f>IFERROR(__xludf.DUMMYFUNCTION("""COMPUTED_VALUE"""),11754.0)</f>
        <v>11754</v>
      </c>
      <c r="D4664" s="3">
        <f>IFERROR(__xludf.DUMMYFUNCTION("""COMPUTED_VALUE"""),11670.2)</f>
        <v>11670.2</v>
      </c>
      <c r="E4664" s="3">
        <f>IFERROR(__xludf.DUMMYFUNCTION("""COMPUTED_VALUE"""),11699.65)</f>
        <v>11699.65</v>
      </c>
      <c r="F4664" s="3">
        <f>IFERROR(__xludf.DUMMYFUNCTION("""COMPUTED_VALUE"""),0.0)</f>
        <v>0</v>
      </c>
    </row>
    <row r="4665">
      <c r="A4665" s="7">
        <f>IFERROR(__xludf.DUMMYFUNCTION("""COMPUTED_VALUE"""),43641.64583333333)</f>
        <v>43641.64583</v>
      </c>
      <c r="B4665" s="3">
        <f>IFERROR(__xludf.DUMMYFUNCTION("""COMPUTED_VALUE"""),11681.0)</f>
        <v>11681</v>
      </c>
      <c r="C4665" s="3">
        <f>IFERROR(__xludf.DUMMYFUNCTION("""COMPUTED_VALUE"""),11814.4)</f>
        <v>11814.4</v>
      </c>
      <c r="D4665" s="3">
        <f>IFERROR(__xludf.DUMMYFUNCTION("""COMPUTED_VALUE"""),11651.0)</f>
        <v>11651</v>
      </c>
      <c r="E4665" s="3">
        <f>IFERROR(__xludf.DUMMYFUNCTION("""COMPUTED_VALUE"""),11796.45)</f>
        <v>11796.45</v>
      </c>
      <c r="F4665" s="3">
        <f>IFERROR(__xludf.DUMMYFUNCTION("""COMPUTED_VALUE"""),0.0)</f>
        <v>0</v>
      </c>
    </row>
    <row r="4666">
      <c r="A4666" s="7">
        <f>IFERROR(__xludf.DUMMYFUNCTION("""COMPUTED_VALUE"""),43642.64583333333)</f>
        <v>43642.64583</v>
      </c>
      <c r="B4666" s="3">
        <f>IFERROR(__xludf.DUMMYFUNCTION("""COMPUTED_VALUE"""),11768.15)</f>
        <v>11768.15</v>
      </c>
      <c r="C4666" s="3">
        <f>IFERROR(__xludf.DUMMYFUNCTION("""COMPUTED_VALUE"""),11871.85)</f>
        <v>11871.85</v>
      </c>
      <c r="D4666" s="3">
        <f>IFERROR(__xludf.DUMMYFUNCTION("""COMPUTED_VALUE"""),11757.55)</f>
        <v>11757.55</v>
      </c>
      <c r="E4666" s="3">
        <f>IFERROR(__xludf.DUMMYFUNCTION("""COMPUTED_VALUE"""),11847.55)</f>
        <v>11847.55</v>
      </c>
      <c r="F4666" s="3">
        <f>IFERROR(__xludf.DUMMYFUNCTION("""COMPUTED_VALUE"""),0.0)</f>
        <v>0</v>
      </c>
    </row>
    <row r="4667">
      <c r="A4667" s="7">
        <f>IFERROR(__xludf.DUMMYFUNCTION("""COMPUTED_VALUE"""),43643.64583333333)</f>
        <v>43643.64583</v>
      </c>
      <c r="B4667" s="3">
        <f>IFERROR(__xludf.DUMMYFUNCTION("""COMPUTED_VALUE"""),11860.85)</f>
        <v>11860.85</v>
      </c>
      <c r="C4667" s="3">
        <f>IFERROR(__xludf.DUMMYFUNCTION("""COMPUTED_VALUE"""),11911.15)</f>
        <v>11911.15</v>
      </c>
      <c r="D4667" s="3">
        <f>IFERROR(__xludf.DUMMYFUNCTION("""COMPUTED_VALUE"""),11821.05)</f>
        <v>11821.05</v>
      </c>
      <c r="E4667" s="3">
        <f>IFERROR(__xludf.DUMMYFUNCTION("""COMPUTED_VALUE"""),11841.55)</f>
        <v>11841.55</v>
      </c>
      <c r="F4667" s="3">
        <f>IFERROR(__xludf.DUMMYFUNCTION("""COMPUTED_VALUE"""),0.0)</f>
        <v>0</v>
      </c>
    </row>
    <row r="4668">
      <c r="A4668" s="7">
        <f>IFERROR(__xludf.DUMMYFUNCTION("""COMPUTED_VALUE"""),43644.64583333333)</f>
        <v>43644.64583</v>
      </c>
      <c r="B4668" s="3">
        <f>IFERROR(__xludf.DUMMYFUNCTION("""COMPUTED_VALUE"""),11861.15)</f>
        <v>11861.15</v>
      </c>
      <c r="C4668" s="3">
        <f>IFERROR(__xludf.DUMMYFUNCTION("""COMPUTED_VALUE"""),11871.7)</f>
        <v>11871.7</v>
      </c>
      <c r="D4668" s="3">
        <f>IFERROR(__xludf.DUMMYFUNCTION("""COMPUTED_VALUE"""),11775.5)</f>
        <v>11775.5</v>
      </c>
      <c r="E4668" s="3">
        <f>IFERROR(__xludf.DUMMYFUNCTION("""COMPUTED_VALUE"""),11788.85)</f>
        <v>11788.85</v>
      </c>
      <c r="F4668" s="3">
        <f>IFERROR(__xludf.DUMMYFUNCTION("""COMPUTED_VALUE"""),0.0)</f>
        <v>0</v>
      </c>
    </row>
    <row r="4669">
      <c r="A4669" s="7">
        <f>IFERROR(__xludf.DUMMYFUNCTION("""COMPUTED_VALUE"""),43647.64583333333)</f>
        <v>43647.64583</v>
      </c>
      <c r="B4669" s="3">
        <f>IFERROR(__xludf.DUMMYFUNCTION("""COMPUTED_VALUE"""),11839.9)</f>
        <v>11839.9</v>
      </c>
      <c r="C4669" s="3">
        <f>IFERROR(__xludf.DUMMYFUNCTION("""COMPUTED_VALUE"""),11884.65)</f>
        <v>11884.65</v>
      </c>
      <c r="D4669" s="3">
        <f>IFERROR(__xludf.DUMMYFUNCTION("""COMPUTED_VALUE"""),11830.8)</f>
        <v>11830.8</v>
      </c>
      <c r="E4669" s="3">
        <f>IFERROR(__xludf.DUMMYFUNCTION("""COMPUTED_VALUE"""),11865.6)</f>
        <v>11865.6</v>
      </c>
      <c r="F4669" s="3">
        <f>IFERROR(__xludf.DUMMYFUNCTION("""COMPUTED_VALUE"""),0.0)</f>
        <v>0</v>
      </c>
    </row>
    <row r="4670">
      <c r="A4670" s="7">
        <f>IFERROR(__xludf.DUMMYFUNCTION("""COMPUTED_VALUE"""),43648.64583333333)</f>
        <v>43648.64583</v>
      </c>
      <c r="B4670" s="3">
        <f>IFERROR(__xludf.DUMMYFUNCTION("""COMPUTED_VALUE"""),11890.3)</f>
        <v>11890.3</v>
      </c>
      <c r="C4670" s="3">
        <f>IFERROR(__xludf.DUMMYFUNCTION("""COMPUTED_VALUE"""),11917.45)</f>
        <v>11917.45</v>
      </c>
      <c r="D4670" s="3">
        <f>IFERROR(__xludf.DUMMYFUNCTION("""COMPUTED_VALUE"""),11814.7)</f>
        <v>11814.7</v>
      </c>
      <c r="E4670" s="3">
        <f>IFERROR(__xludf.DUMMYFUNCTION("""COMPUTED_VALUE"""),11910.3)</f>
        <v>11910.3</v>
      </c>
      <c r="F4670" s="3">
        <f>IFERROR(__xludf.DUMMYFUNCTION("""COMPUTED_VALUE"""),0.0)</f>
        <v>0</v>
      </c>
    </row>
    <row r="4671">
      <c r="A4671" s="7">
        <f>IFERROR(__xludf.DUMMYFUNCTION("""COMPUTED_VALUE"""),43649.64583333333)</f>
        <v>43649.64583</v>
      </c>
      <c r="B4671" s="3">
        <f>IFERROR(__xludf.DUMMYFUNCTION("""COMPUTED_VALUE"""),11932.15)</f>
        <v>11932.15</v>
      </c>
      <c r="C4671" s="3">
        <f>IFERROR(__xludf.DUMMYFUNCTION("""COMPUTED_VALUE"""),11945.2)</f>
        <v>11945.2</v>
      </c>
      <c r="D4671" s="3">
        <f>IFERROR(__xludf.DUMMYFUNCTION("""COMPUTED_VALUE"""),11887.05)</f>
        <v>11887.05</v>
      </c>
      <c r="E4671" s="3">
        <f>IFERROR(__xludf.DUMMYFUNCTION("""COMPUTED_VALUE"""),11916.75)</f>
        <v>11916.75</v>
      </c>
      <c r="F4671" s="3">
        <f>IFERROR(__xludf.DUMMYFUNCTION("""COMPUTED_VALUE"""),0.0)</f>
        <v>0</v>
      </c>
    </row>
    <row r="4672">
      <c r="A4672" s="7">
        <f>IFERROR(__xludf.DUMMYFUNCTION("""COMPUTED_VALUE"""),43650.64583333333)</f>
        <v>43650.64583</v>
      </c>
      <c r="B4672" s="3">
        <f>IFERROR(__xludf.DUMMYFUNCTION("""COMPUTED_VALUE"""),11928.8)</f>
        <v>11928.8</v>
      </c>
      <c r="C4672" s="3">
        <f>IFERROR(__xludf.DUMMYFUNCTION("""COMPUTED_VALUE"""),11969.25)</f>
        <v>11969.25</v>
      </c>
      <c r="D4672" s="3">
        <f>IFERROR(__xludf.DUMMYFUNCTION("""COMPUTED_VALUE"""),11923.65)</f>
        <v>11923.65</v>
      </c>
      <c r="E4672" s="3">
        <f>IFERROR(__xludf.DUMMYFUNCTION("""COMPUTED_VALUE"""),11946.75)</f>
        <v>11946.75</v>
      </c>
      <c r="F4672" s="3">
        <f>IFERROR(__xludf.DUMMYFUNCTION("""COMPUTED_VALUE"""),0.0)</f>
        <v>0</v>
      </c>
    </row>
    <row r="4673">
      <c r="A4673" s="7">
        <f>IFERROR(__xludf.DUMMYFUNCTION("""COMPUTED_VALUE"""),43651.64583333333)</f>
        <v>43651.64583</v>
      </c>
      <c r="B4673" s="3">
        <f>IFERROR(__xludf.DUMMYFUNCTION("""COMPUTED_VALUE"""),11964.75)</f>
        <v>11964.75</v>
      </c>
      <c r="C4673" s="3">
        <f>IFERROR(__xludf.DUMMYFUNCTION("""COMPUTED_VALUE"""),11981.75)</f>
        <v>11981.75</v>
      </c>
      <c r="D4673" s="3">
        <f>IFERROR(__xludf.DUMMYFUNCTION("""COMPUTED_VALUE"""),11797.9)</f>
        <v>11797.9</v>
      </c>
      <c r="E4673" s="3">
        <f>IFERROR(__xludf.DUMMYFUNCTION("""COMPUTED_VALUE"""),11811.15)</f>
        <v>11811.15</v>
      </c>
      <c r="F4673" s="3">
        <f>IFERROR(__xludf.DUMMYFUNCTION("""COMPUTED_VALUE"""),0.0)</f>
        <v>0</v>
      </c>
    </row>
    <row r="4674">
      <c r="A4674" s="7">
        <f>IFERROR(__xludf.DUMMYFUNCTION("""COMPUTED_VALUE"""),43654.64583333333)</f>
        <v>43654.64583</v>
      </c>
      <c r="B4674" s="3">
        <f>IFERROR(__xludf.DUMMYFUNCTION("""COMPUTED_VALUE"""),11770.4)</f>
        <v>11770.4</v>
      </c>
      <c r="C4674" s="3">
        <f>IFERROR(__xludf.DUMMYFUNCTION("""COMPUTED_VALUE"""),11771.9)</f>
        <v>11771.9</v>
      </c>
      <c r="D4674" s="3">
        <f>IFERROR(__xludf.DUMMYFUNCTION("""COMPUTED_VALUE"""),11523.3)</f>
        <v>11523.3</v>
      </c>
      <c r="E4674" s="3">
        <f>IFERROR(__xludf.DUMMYFUNCTION("""COMPUTED_VALUE"""),11558.6)</f>
        <v>11558.6</v>
      </c>
      <c r="F4674" s="3">
        <f>IFERROR(__xludf.DUMMYFUNCTION("""COMPUTED_VALUE"""),0.0)</f>
        <v>0</v>
      </c>
    </row>
    <row r="4675">
      <c r="A4675" s="7">
        <f>IFERROR(__xludf.DUMMYFUNCTION("""COMPUTED_VALUE"""),43655.64583333333)</f>
        <v>43655.64583</v>
      </c>
      <c r="B4675" s="3">
        <f>IFERROR(__xludf.DUMMYFUNCTION("""COMPUTED_VALUE"""),11531.6)</f>
        <v>11531.6</v>
      </c>
      <c r="C4675" s="3">
        <f>IFERROR(__xludf.DUMMYFUNCTION("""COMPUTED_VALUE"""),11582.55)</f>
        <v>11582.55</v>
      </c>
      <c r="D4675" s="3">
        <f>IFERROR(__xludf.DUMMYFUNCTION("""COMPUTED_VALUE"""),11461.0)</f>
        <v>11461</v>
      </c>
      <c r="E4675" s="3">
        <f>IFERROR(__xludf.DUMMYFUNCTION("""COMPUTED_VALUE"""),11555.9)</f>
        <v>11555.9</v>
      </c>
      <c r="F4675" s="3">
        <f>IFERROR(__xludf.DUMMYFUNCTION("""COMPUTED_VALUE"""),0.0)</f>
        <v>0</v>
      </c>
    </row>
    <row r="4676">
      <c r="A4676" s="7">
        <f>IFERROR(__xludf.DUMMYFUNCTION("""COMPUTED_VALUE"""),43656.64583333333)</f>
        <v>43656.64583</v>
      </c>
      <c r="B4676" s="3">
        <f>IFERROR(__xludf.DUMMYFUNCTION("""COMPUTED_VALUE"""),11536.15)</f>
        <v>11536.15</v>
      </c>
      <c r="C4676" s="3">
        <f>IFERROR(__xludf.DUMMYFUNCTION("""COMPUTED_VALUE"""),11593.7)</f>
        <v>11593.7</v>
      </c>
      <c r="D4676" s="3">
        <f>IFERROR(__xludf.DUMMYFUNCTION("""COMPUTED_VALUE"""),11475.65)</f>
        <v>11475.65</v>
      </c>
      <c r="E4676" s="3">
        <f>IFERROR(__xludf.DUMMYFUNCTION("""COMPUTED_VALUE"""),11498.9)</f>
        <v>11498.9</v>
      </c>
      <c r="F4676" s="3">
        <f>IFERROR(__xludf.DUMMYFUNCTION("""COMPUTED_VALUE"""),0.0)</f>
        <v>0</v>
      </c>
    </row>
    <row r="4677">
      <c r="A4677" s="7">
        <f>IFERROR(__xludf.DUMMYFUNCTION("""COMPUTED_VALUE"""),43657.64583333333)</f>
        <v>43657.64583</v>
      </c>
      <c r="B4677" s="3">
        <f>IFERROR(__xludf.DUMMYFUNCTION("""COMPUTED_VALUE"""),11561.45)</f>
        <v>11561.45</v>
      </c>
      <c r="C4677" s="3">
        <f>IFERROR(__xludf.DUMMYFUNCTION("""COMPUTED_VALUE"""),11599.0)</f>
        <v>11599</v>
      </c>
      <c r="D4677" s="3">
        <f>IFERROR(__xludf.DUMMYFUNCTION("""COMPUTED_VALUE"""),11519.5)</f>
        <v>11519.5</v>
      </c>
      <c r="E4677" s="3">
        <f>IFERROR(__xludf.DUMMYFUNCTION("""COMPUTED_VALUE"""),11582.9)</f>
        <v>11582.9</v>
      </c>
      <c r="F4677" s="3">
        <f>IFERROR(__xludf.DUMMYFUNCTION("""COMPUTED_VALUE"""),0.0)</f>
        <v>0</v>
      </c>
    </row>
    <row r="4678">
      <c r="A4678" s="7">
        <f>IFERROR(__xludf.DUMMYFUNCTION("""COMPUTED_VALUE"""),43658.64583333333)</f>
        <v>43658.64583</v>
      </c>
      <c r="B4678" s="3">
        <f>IFERROR(__xludf.DUMMYFUNCTION("""COMPUTED_VALUE"""),11601.15)</f>
        <v>11601.15</v>
      </c>
      <c r="C4678" s="3">
        <f>IFERROR(__xludf.DUMMYFUNCTION("""COMPUTED_VALUE"""),11639.55)</f>
        <v>11639.55</v>
      </c>
      <c r="D4678" s="3">
        <f>IFERROR(__xludf.DUMMYFUNCTION("""COMPUTED_VALUE"""),11538.6)</f>
        <v>11538.6</v>
      </c>
      <c r="E4678" s="3">
        <f>IFERROR(__xludf.DUMMYFUNCTION("""COMPUTED_VALUE"""),11552.5)</f>
        <v>11552.5</v>
      </c>
      <c r="F4678" s="3">
        <f>IFERROR(__xludf.DUMMYFUNCTION("""COMPUTED_VALUE"""),0.0)</f>
        <v>0</v>
      </c>
    </row>
    <row r="4679">
      <c r="A4679" s="7">
        <f>IFERROR(__xludf.DUMMYFUNCTION("""COMPUTED_VALUE"""),43661.64583333333)</f>
        <v>43661.64583</v>
      </c>
      <c r="B4679" s="3">
        <f>IFERROR(__xludf.DUMMYFUNCTION("""COMPUTED_VALUE"""),11614.75)</f>
        <v>11614.75</v>
      </c>
      <c r="C4679" s="3">
        <f>IFERROR(__xludf.DUMMYFUNCTION("""COMPUTED_VALUE"""),11618.4)</f>
        <v>11618.4</v>
      </c>
      <c r="D4679" s="3">
        <f>IFERROR(__xludf.DUMMYFUNCTION("""COMPUTED_VALUE"""),11532.3)</f>
        <v>11532.3</v>
      </c>
      <c r="E4679" s="3">
        <f>IFERROR(__xludf.DUMMYFUNCTION("""COMPUTED_VALUE"""),11588.35)</f>
        <v>11588.35</v>
      </c>
      <c r="F4679" s="3">
        <f>IFERROR(__xludf.DUMMYFUNCTION("""COMPUTED_VALUE"""),0.0)</f>
        <v>0</v>
      </c>
    </row>
    <row r="4680">
      <c r="A4680" s="7">
        <f>IFERROR(__xludf.DUMMYFUNCTION("""COMPUTED_VALUE"""),43662.64583333333)</f>
        <v>43662.64583</v>
      </c>
      <c r="B4680" s="3">
        <f>IFERROR(__xludf.DUMMYFUNCTION("""COMPUTED_VALUE"""),11596.65)</f>
        <v>11596.65</v>
      </c>
      <c r="C4680" s="3">
        <f>IFERROR(__xludf.DUMMYFUNCTION("""COMPUTED_VALUE"""),11670.05)</f>
        <v>11670.05</v>
      </c>
      <c r="D4680" s="3">
        <f>IFERROR(__xludf.DUMMYFUNCTION("""COMPUTED_VALUE"""),11573.95)</f>
        <v>11573.95</v>
      </c>
      <c r="E4680" s="3">
        <f>IFERROR(__xludf.DUMMYFUNCTION("""COMPUTED_VALUE"""),11662.6)</f>
        <v>11662.6</v>
      </c>
      <c r="F4680" s="3">
        <f>IFERROR(__xludf.DUMMYFUNCTION("""COMPUTED_VALUE"""),0.0)</f>
        <v>0</v>
      </c>
    </row>
    <row r="4681">
      <c r="A4681" s="7">
        <f>IFERROR(__xludf.DUMMYFUNCTION("""COMPUTED_VALUE"""),43663.64583333333)</f>
        <v>43663.64583</v>
      </c>
      <c r="B4681" s="3">
        <f>IFERROR(__xludf.DUMMYFUNCTION("""COMPUTED_VALUE"""),11670.75)</f>
        <v>11670.75</v>
      </c>
      <c r="C4681" s="3">
        <f>IFERROR(__xludf.DUMMYFUNCTION("""COMPUTED_VALUE"""),11706.65)</f>
        <v>11706.65</v>
      </c>
      <c r="D4681" s="3">
        <f>IFERROR(__xludf.DUMMYFUNCTION("""COMPUTED_VALUE"""),11651.15)</f>
        <v>11651.15</v>
      </c>
      <c r="E4681" s="3">
        <f>IFERROR(__xludf.DUMMYFUNCTION("""COMPUTED_VALUE"""),11687.5)</f>
        <v>11687.5</v>
      </c>
      <c r="F4681" s="3">
        <f>IFERROR(__xludf.DUMMYFUNCTION("""COMPUTED_VALUE"""),0.0)</f>
        <v>0</v>
      </c>
    </row>
    <row r="4682">
      <c r="A4682" s="7">
        <f>IFERROR(__xludf.DUMMYFUNCTION("""COMPUTED_VALUE"""),43664.64583333333)</f>
        <v>43664.64583</v>
      </c>
      <c r="B4682" s="3">
        <f>IFERROR(__xludf.DUMMYFUNCTION("""COMPUTED_VALUE"""),11675.6)</f>
        <v>11675.6</v>
      </c>
      <c r="C4682" s="3">
        <f>IFERROR(__xludf.DUMMYFUNCTION("""COMPUTED_VALUE"""),11677.15)</f>
        <v>11677.15</v>
      </c>
      <c r="D4682" s="3">
        <f>IFERROR(__xludf.DUMMYFUNCTION("""COMPUTED_VALUE"""),11582.4)</f>
        <v>11582.4</v>
      </c>
      <c r="E4682" s="3">
        <f>IFERROR(__xludf.DUMMYFUNCTION("""COMPUTED_VALUE"""),11596.9)</f>
        <v>11596.9</v>
      </c>
      <c r="F4682" s="3">
        <f>IFERROR(__xludf.DUMMYFUNCTION("""COMPUTED_VALUE"""),0.0)</f>
        <v>0</v>
      </c>
    </row>
    <row r="4683">
      <c r="A4683" s="7">
        <f>IFERROR(__xludf.DUMMYFUNCTION("""COMPUTED_VALUE"""),43665.64583333333)</f>
        <v>43665.64583</v>
      </c>
      <c r="B4683" s="3">
        <f>IFERROR(__xludf.DUMMYFUNCTION("""COMPUTED_VALUE"""),11627.95)</f>
        <v>11627.95</v>
      </c>
      <c r="C4683" s="3">
        <f>IFERROR(__xludf.DUMMYFUNCTION("""COMPUTED_VALUE"""),11640.35)</f>
        <v>11640.35</v>
      </c>
      <c r="D4683" s="3">
        <f>IFERROR(__xludf.DUMMYFUNCTION("""COMPUTED_VALUE"""),11399.3)</f>
        <v>11399.3</v>
      </c>
      <c r="E4683" s="3">
        <f>IFERROR(__xludf.DUMMYFUNCTION("""COMPUTED_VALUE"""),11419.25)</f>
        <v>11419.25</v>
      </c>
      <c r="F4683" s="3">
        <f>IFERROR(__xludf.DUMMYFUNCTION("""COMPUTED_VALUE"""),0.0)</f>
        <v>0</v>
      </c>
    </row>
    <row r="4684">
      <c r="A4684" s="7">
        <f>IFERROR(__xludf.DUMMYFUNCTION("""COMPUTED_VALUE"""),43668.64583333333)</f>
        <v>43668.64583</v>
      </c>
      <c r="B4684" s="3">
        <f>IFERROR(__xludf.DUMMYFUNCTION("""COMPUTED_VALUE"""),11392.85)</f>
        <v>11392.85</v>
      </c>
      <c r="C4684" s="3">
        <f>IFERROR(__xludf.DUMMYFUNCTION("""COMPUTED_VALUE"""),11398.15)</f>
        <v>11398.15</v>
      </c>
      <c r="D4684" s="3">
        <f>IFERROR(__xludf.DUMMYFUNCTION("""COMPUTED_VALUE"""),11301.25)</f>
        <v>11301.25</v>
      </c>
      <c r="E4684" s="3">
        <f>IFERROR(__xludf.DUMMYFUNCTION("""COMPUTED_VALUE"""),11346.2)</f>
        <v>11346.2</v>
      </c>
      <c r="F4684" s="3">
        <f>IFERROR(__xludf.DUMMYFUNCTION("""COMPUTED_VALUE"""),0.0)</f>
        <v>0</v>
      </c>
    </row>
    <row r="4685">
      <c r="A4685" s="7">
        <f>IFERROR(__xludf.DUMMYFUNCTION("""COMPUTED_VALUE"""),43669.64583333333)</f>
        <v>43669.64583</v>
      </c>
      <c r="B4685" s="3">
        <f>IFERROR(__xludf.DUMMYFUNCTION("""COMPUTED_VALUE"""),11372.25)</f>
        <v>11372.25</v>
      </c>
      <c r="C4685" s="3">
        <f>IFERROR(__xludf.DUMMYFUNCTION("""COMPUTED_VALUE"""),11398.15)</f>
        <v>11398.15</v>
      </c>
      <c r="D4685" s="3">
        <f>IFERROR(__xludf.DUMMYFUNCTION("""COMPUTED_VALUE"""),11302.8)</f>
        <v>11302.8</v>
      </c>
      <c r="E4685" s="3">
        <f>IFERROR(__xludf.DUMMYFUNCTION("""COMPUTED_VALUE"""),11331.05)</f>
        <v>11331.05</v>
      </c>
      <c r="F4685" s="3">
        <f>IFERROR(__xludf.DUMMYFUNCTION("""COMPUTED_VALUE"""),0.0)</f>
        <v>0</v>
      </c>
    </row>
    <row r="4686">
      <c r="A4686" s="7">
        <f>IFERROR(__xludf.DUMMYFUNCTION("""COMPUTED_VALUE"""),43670.64583333333)</f>
        <v>43670.64583</v>
      </c>
      <c r="B4686" s="3">
        <f>IFERROR(__xludf.DUMMYFUNCTION("""COMPUTED_VALUE"""),11322.45)</f>
        <v>11322.45</v>
      </c>
      <c r="C4686" s="3">
        <f>IFERROR(__xludf.DUMMYFUNCTION("""COMPUTED_VALUE"""),11359.75)</f>
        <v>11359.75</v>
      </c>
      <c r="D4686" s="3">
        <f>IFERROR(__xludf.DUMMYFUNCTION("""COMPUTED_VALUE"""),11229.8)</f>
        <v>11229.8</v>
      </c>
      <c r="E4686" s="3">
        <f>IFERROR(__xludf.DUMMYFUNCTION("""COMPUTED_VALUE"""),11271.3)</f>
        <v>11271.3</v>
      </c>
      <c r="F4686" s="3">
        <f>IFERROR(__xludf.DUMMYFUNCTION("""COMPUTED_VALUE"""),0.0)</f>
        <v>0</v>
      </c>
    </row>
    <row r="4687">
      <c r="A4687" s="7">
        <f>IFERROR(__xludf.DUMMYFUNCTION("""COMPUTED_VALUE"""),43671.64583333333)</f>
        <v>43671.64583</v>
      </c>
      <c r="B4687" s="3">
        <f>IFERROR(__xludf.DUMMYFUNCTION("""COMPUTED_VALUE"""),11290.4)</f>
        <v>11290.4</v>
      </c>
      <c r="C4687" s="3">
        <f>IFERROR(__xludf.DUMMYFUNCTION("""COMPUTED_VALUE"""),11361.4)</f>
        <v>11361.4</v>
      </c>
      <c r="D4687" s="3">
        <f>IFERROR(__xludf.DUMMYFUNCTION("""COMPUTED_VALUE"""),11239.35)</f>
        <v>11239.35</v>
      </c>
      <c r="E4687" s="3">
        <f>IFERROR(__xludf.DUMMYFUNCTION("""COMPUTED_VALUE"""),11252.15)</f>
        <v>11252.15</v>
      </c>
      <c r="F4687" s="3">
        <f>IFERROR(__xludf.DUMMYFUNCTION("""COMPUTED_VALUE"""),0.0)</f>
        <v>0</v>
      </c>
    </row>
    <row r="4688">
      <c r="A4688" s="7">
        <f>IFERROR(__xludf.DUMMYFUNCTION("""COMPUTED_VALUE"""),43672.64583333333)</f>
        <v>43672.64583</v>
      </c>
      <c r="B4688" s="3">
        <f>IFERROR(__xludf.DUMMYFUNCTION("""COMPUTED_VALUE"""),11247.45)</f>
        <v>11247.45</v>
      </c>
      <c r="C4688" s="3">
        <f>IFERROR(__xludf.DUMMYFUNCTION("""COMPUTED_VALUE"""),11307.6)</f>
        <v>11307.6</v>
      </c>
      <c r="D4688" s="3">
        <f>IFERROR(__xludf.DUMMYFUNCTION("""COMPUTED_VALUE"""),11210.05)</f>
        <v>11210.05</v>
      </c>
      <c r="E4688" s="3">
        <f>IFERROR(__xludf.DUMMYFUNCTION("""COMPUTED_VALUE"""),11284.3)</f>
        <v>11284.3</v>
      </c>
      <c r="F4688" s="3">
        <f>IFERROR(__xludf.DUMMYFUNCTION("""COMPUTED_VALUE"""),0.0)</f>
        <v>0</v>
      </c>
    </row>
    <row r="4689">
      <c r="A4689" s="7">
        <f>IFERROR(__xludf.DUMMYFUNCTION("""COMPUTED_VALUE"""),43675.64583333333)</f>
        <v>43675.64583</v>
      </c>
      <c r="B4689" s="3">
        <f>IFERROR(__xludf.DUMMYFUNCTION("""COMPUTED_VALUE"""),11307.5)</f>
        <v>11307.5</v>
      </c>
      <c r="C4689" s="3">
        <f>IFERROR(__xludf.DUMMYFUNCTION("""COMPUTED_VALUE"""),11310.95)</f>
        <v>11310.95</v>
      </c>
      <c r="D4689" s="3">
        <f>IFERROR(__xludf.DUMMYFUNCTION("""COMPUTED_VALUE"""),11152.4)</f>
        <v>11152.4</v>
      </c>
      <c r="E4689" s="3">
        <f>IFERROR(__xludf.DUMMYFUNCTION("""COMPUTED_VALUE"""),11189.2)</f>
        <v>11189.2</v>
      </c>
      <c r="F4689" s="3">
        <f>IFERROR(__xludf.DUMMYFUNCTION("""COMPUTED_VALUE"""),0.0)</f>
        <v>0</v>
      </c>
    </row>
    <row r="4690">
      <c r="A4690" s="7">
        <f>IFERROR(__xludf.DUMMYFUNCTION("""COMPUTED_VALUE"""),43676.64583333333)</f>
        <v>43676.64583</v>
      </c>
      <c r="B4690" s="3">
        <f>IFERROR(__xludf.DUMMYFUNCTION("""COMPUTED_VALUE"""),11213.7)</f>
        <v>11213.7</v>
      </c>
      <c r="C4690" s="3">
        <f>IFERROR(__xludf.DUMMYFUNCTION("""COMPUTED_VALUE"""),11267.45)</f>
        <v>11267.45</v>
      </c>
      <c r="D4690" s="3">
        <f>IFERROR(__xludf.DUMMYFUNCTION("""COMPUTED_VALUE"""),11072.65)</f>
        <v>11072.65</v>
      </c>
      <c r="E4690" s="3">
        <f>IFERROR(__xludf.DUMMYFUNCTION("""COMPUTED_VALUE"""),11085.4)</f>
        <v>11085.4</v>
      </c>
      <c r="F4690" s="3">
        <f>IFERROR(__xludf.DUMMYFUNCTION("""COMPUTED_VALUE"""),0.0)</f>
        <v>0</v>
      </c>
    </row>
    <row r="4691">
      <c r="A4691" s="7">
        <f>IFERROR(__xludf.DUMMYFUNCTION("""COMPUTED_VALUE"""),43677.64583333333)</f>
        <v>43677.64583</v>
      </c>
      <c r="B4691" s="3">
        <f>IFERROR(__xludf.DUMMYFUNCTION("""COMPUTED_VALUE"""),11034.05)</f>
        <v>11034.05</v>
      </c>
      <c r="C4691" s="3">
        <f>IFERROR(__xludf.DUMMYFUNCTION("""COMPUTED_VALUE"""),11145.3)</f>
        <v>11145.3</v>
      </c>
      <c r="D4691" s="3">
        <f>IFERROR(__xludf.DUMMYFUNCTION("""COMPUTED_VALUE"""),10999.4)</f>
        <v>10999.4</v>
      </c>
      <c r="E4691" s="3">
        <f>IFERROR(__xludf.DUMMYFUNCTION("""COMPUTED_VALUE"""),11118.0)</f>
        <v>11118</v>
      </c>
      <c r="F4691" s="3">
        <f>IFERROR(__xludf.DUMMYFUNCTION("""COMPUTED_VALUE"""),0.0)</f>
        <v>0</v>
      </c>
    </row>
    <row r="4692">
      <c r="A4692" s="7">
        <f>IFERROR(__xludf.DUMMYFUNCTION("""COMPUTED_VALUE"""),43678.64583333333)</f>
        <v>43678.64583</v>
      </c>
      <c r="B4692" s="3">
        <f>IFERROR(__xludf.DUMMYFUNCTION("""COMPUTED_VALUE"""),11060.2)</f>
        <v>11060.2</v>
      </c>
      <c r="C4692" s="3">
        <f>IFERROR(__xludf.DUMMYFUNCTION("""COMPUTED_VALUE"""),11076.75)</f>
        <v>11076.75</v>
      </c>
      <c r="D4692" s="3">
        <f>IFERROR(__xludf.DUMMYFUNCTION("""COMPUTED_VALUE"""),10881.0)</f>
        <v>10881</v>
      </c>
      <c r="E4692" s="3">
        <f>IFERROR(__xludf.DUMMYFUNCTION("""COMPUTED_VALUE"""),10980.0)</f>
        <v>10980</v>
      </c>
      <c r="F4692" s="3">
        <f>IFERROR(__xludf.DUMMYFUNCTION("""COMPUTED_VALUE"""),0.0)</f>
        <v>0</v>
      </c>
    </row>
    <row r="4693">
      <c r="A4693" s="7">
        <f>IFERROR(__xludf.DUMMYFUNCTION("""COMPUTED_VALUE"""),43679.64583333333)</f>
        <v>43679.64583</v>
      </c>
      <c r="B4693" s="3">
        <f>IFERROR(__xludf.DUMMYFUNCTION("""COMPUTED_VALUE"""),10930.3)</f>
        <v>10930.3</v>
      </c>
      <c r="C4693" s="3">
        <f>IFERROR(__xludf.DUMMYFUNCTION("""COMPUTED_VALUE"""),11080.15)</f>
        <v>11080.15</v>
      </c>
      <c r="D4693" s="3">
        <f>IFERROR(__xludf.DUMMYFUNCTION("""COMPUTED_VALUE"""),10848.95)</f>
        <v>10848.95</v>
      </c>
      <c r="E4693" s="3">
        <f>IFERROR(__xludf.DUMMYFUNCTION("""COMPUTED_VALUE"""),10997.35)</f>
        <v>10997.35</v>
      </c>
      <c r="F4693" s="3">
        <f>IFERROR(__xludf.DUMMYFUNCTION("""COMPUTED_VALUE"""),0.0)</f>
        <v>0</v>
      </c>
    </row>
    <row r="4694">
      <c r="A4694" s="7">
        <f>IFERROR(__xludf.DUMMYFUNCTION("""COMPUTED_VALUE"""),43682.64583333333)</f>
        <v>43682.64583</v>
      </c>
      <c r="B4694" s="3">
        <f>IFERROR(__xludf.DUMMYFUNCTION("""COMPUTED_VALUE"""),10895.8)</f>
        <v>10895.8</v>
      </c>
      <c r="C4694" s="3">
        <f>IFERROR(__xludf.DUMMYFUNCTION("""COMPUTED_VALUE"""),10895.8)</f>
        <v>10895.8</v>
      </c>
      <c r="D4694" s="3">
        <f>IFERROR(__xludf.DUMMYFUNCTION("""COMPUTED_VALUE"""),10782.6)</f>
        <v>10782.6</v>
      </c>
      <c r="E4694" s="3">
        <f>IFERROR(__xludf.DUMMYFUNCTION("""COMPUTED_VALUE"""),10862.6)</f>
        <v>10862.6</v>
      </c>
      <c r="F4694" s="3">
        <f>IFERROR(__xludf.DUMMYFUNCTION("""COMPUTED_VALUE"""),0.0)</f>
        <v>0</v>
      </c>
    </row>
    <row r="4695">
      <c r="A4695" s="7">
        <f>IFERROR(__xludf.DUMMYFUNCTION("""COMPUTED_VALUE"""),43683.64583333333)</f>
        <v>43683.64583</v>
      </c>
      <c r="B4695" s="3">
        <f>IFERROR(__xludf.DUMMYFUNCTION("""COMPUTED_VALUE"""),10815.4)</f>
        <v>10815.4</v>
      </c>
      <c r="C4695" s="3">
        <f>IFERROR(__xludf.DUMMYFUNCTION("""COMPUTED_VALUE"""),11018.55)</f>
        <v>11018.55</v>
      </c>
      <c r="D4695" s="3">
        <f>IFERROR(__xludf.DUMMYFUNCTION("""COMPUTED_VALUE"""),10813.8)</f>
        <v>10813.8</v>
      </c>
      <c r="E4695" s="3">
        <f>IFERROR(__xludf.DUMMYFUNCTION("""COMPUTED_VALUE"""),10948.25)</f>
        <v>10948.25</v>
      </c>
      <c r="F4695" s="3">
        <f>IFERROR(__xludf.DUMMYFUNCTION("""COMPUTED_VALUE"""),0.0)</f>
        <v>0</v>
      </c>
    </row>
    <row r="4696">
      <c r="A4696" s="7">
        <f>IFERROR(__xludf.DUMMYFUNCTION("""COMPUTED_VALUE"""),43684.64583333333)</f>
        <v>43684.64583</v>
      </c>
      <c r="B4696" s="3">
        <f>IFERROR(__xludf.DUMMYFUNCTION("""COMPUTED_VALUE"""),10958.1)</f>
        <v>10958.1</v>
      </c>
      <c r="C4696" s="3">
        <f>IFERROR(__xludf.DUMMYFUNCTION("""COMPUTED_VALUE"""),10975.65)</f>
        <v>10975.65</v>
      </c>
      <c r="D4696" s="3">
        <f>IFERROR(__xludf.DUMMYFUNCTION("""COMPUTED_VALUE"""),10835.9)</f>
        <v>10835.9</v>
      </c>
      <c r="E4696" s="3">
        <f>IFERROR(__xludf.DUMMYFUNCTION("""COMPUTED_VALUE"""),10855.5)</f>
        <v>10855.5</v>
      </c>
      <c r="F4696" s="3">
        <f>IFERROR(__xludf.DUMMYFUNCTION("""COMPUTED_VALUE"""),0.0)</f>
        <v>0</v>
      </c>
    </row>
    <row r="4697">
      <c r="A4697" s="7">
        <f>IFERROR(__xludf.DUMMYFUNCTION("""COMPUTED_VALUE"""),43685.64583333333)</f>
        <v>43685.64583</v>
      </c>
      <c r="B4697" s="3">
        <f>IFERROR(__xludf.DUMMYFUNCTION("""COMPUTED_VALUE"""),10899.2)</f>
        <v>10899.2</v>
      </c>
      <c r="C4697" s="3">
        <f>IFERROR(__xludf.DUMMYFUNCTION("""COMPUTED_VALUE"""),11058.05)</f>
        <v>11058.05</v>
      </c>
      <c r="D4697" s="3">
        <f>IFERROR(__xludf.DUMMYFUNCTION("""COMPUTED_VALUE"""),10842.95)</f>
        <v>10842.95</v>
      </c>
      <c r="E4697" s="3">
        <f>IFERROR(__xludf.DUMMYFUNCTION("""COMPUTED_VALUE"""),11032.45)</f>
        <v>11032.45</v>
      </c>
      <c r="F4697" s="3">
        <f>IFERROR(__xludf.DUMMYFUNCTION("""COMPUTED_VALUE"""),0.0)</f>
        <v>0</v>
      </c>
    </row>
    <row r="4698">
      <c r="A4698" s="7">
        <f>IFERROR(__xludf.DUMMYFUNCTION("""COMPUTED_VALUE"""),43686.64583333333)</f>
        <v>43686.64583</v>
      </c>
      <c r="B4698" s="3">
        <f>IFERROR(__xludf.DUMMYFUNCTION("""COMPUTED_VALUE"""),11087.9)</f>
        <v>11087.9</v>
      </c>
      <c r="C4698" s="3">
        <f>IFERROR(__xludf.DUMMYFUNCTION("""COMPUTED_VALUE"""),11181.45)</f>
        <v>11181.45</v>
      </c>
      <c r="D4698" s="3">
        <f>IFERROR(__xludf.DUMMYFUNCTION("""COMPUTED_VALUE"""),11062.8)</f>
        <v>11062.8</v>
      </c>
      <c r="E4698" s="3">
        <f>IFERROR(__xludf.DUMMYFUNCTION("""COMPUTED_VALUE"""),11109.65)</f>
        <v>11109.65</v>
      </c>
      <c r="F4698" s="3">
        <f>IFERROR(__xludf.DUMMYFUNCTION("""COMPUTED_VALUE"""),0.0)</f>
        <v>0</v>
      </c>
    </row>
    <row r="4699">
      <c r="A4699" s="7">
        <f>IFERROR(__xludf.DUMMYFUNCTION("""COMPUTED_VALUE"""),43690.64583333333)</f>
        <v>43690.64583</v>
      </c>
      <c r="B4699" s="3">
        <f>IFERROR(__xludf.DUMMYFUNCTION("""COMPUTED_VALUE"""),11139.4)</f>
        <v>11139.4</v>
      </c>
      <c r="C4699" s="3">
        <f>IFERROR(__xludf.DUMMYFUNCTION("""COMPUTED_VALUE"""),11145.9)</f>
        <v>11145.9</v>
      </c>
      <c r="D4699" s="3">
        <f>IFERROR(__xludf.DUMMYFUNCTION("""COMPUTED_VALUE"""),10901.6)</f>
        <v>10901.6</v>
      </c>
      <c r="E4699" s="3">
        <f>IFERROR(__xludf.DUMMYFUNCTION("""COMPUTED_VALUE"""),10925.85)</f>
        <v>10925.85</v>
      </c>
      <c r="F4699" s="3">
        <f>IFERROR(__xludf.DUMMYFUNCTION("""COMPUTED_VALUE"""),0.0)</f>
        <v>0</v>
      </c>
    </row>
    <row r="4700">
      <c r="A4700" s="7">
        <f>IFERROR(__xludf.DUMMYFUNCTION("""COMPUTED_VALUE"""),43691.64583333333)</f>
        <v>43691.64583</v>
      </c>
      <c r="B4700" s="3">
        <f>IFERROR(__xludf.DUMMYFUNCTION("""COMPUTED_VALUE"""),11003.25)</f>
        <v>11003.25</v>
      </c>
      <c r="C4700" s="3">
        <f>IFERROR(__xludf.DUMMYFUNCTION("""COMPUTED_VALUE"""),11078.15)</f>
        <v>11078.15</v>
      </c>
      <c r="D4700" s="3">
        <f>IFERROR(__xludf.DUMMYFUNCTION("""COMPUTED_VALUE"""),10935.6)</f>
        <v>10935.6</v>
      </c>
      <c r="E4700" s="3">
        <f>IFERROR(__xludf.DUMMYFUNCTION("""COMPUTED_VALUE"""),11029.4)</f>
        <v>11029.4</v>
      </c>
      <c r="F4700" s="3">
        <f>IFERROR(__xludf.DUMMYFUNCTION("""COMPUTED_VALUE"""),0.0)</f>
        <v>0</v>
      </c>
    </row>
    <row r="4701">
      <c r="A4701" s="7">
        <f>IFERROR(__xludf.DUMMYFUNCTION("""COMPUTED_VALUE"""),43693.64583333333)</f>
        <v>43693.64583</v>
      </c>
      <c r="B4701" s="3">
        <f>IFERROR(__xludf.DUMMYFUNCTION("""COMPUTED_VALUE"""),11043.65)</f>
        <v>11043.65</v>
      </c>
      <c r="C4701" s="3">
        <f>IFERROR(__xludf.DUMMYFUNCTION("""COMPUTED_VALUE"""),11068.65)</f>
        <v>11068.65</v>
      </c>
      <c r="D4701" s="3">
        <f>IFERROR(__xludf.DUMMYFUNCTION("""COMPUTED_VALUE"""),10924.3)</f>
        <v>10924.3</v>
      </c>
      <c r="E4701" s="3">
        <f>IFERROR(__xludf.DUMMYFUNCTION("""COMPUTED_VALUE"""),11047.8)</f>
        <v>11047.8</v>
      </c>
      <c r="F4701" s="3">
        <f>IFERROR(__xludf.DUMMYFUNCTION("""COMPUTED_VALUE"""),0.0)</f>
        <v>0</v>
      </c>
    </row>
    <row r="4702">
      <c r="A4702" s="7">
        <f>IFERROR(__xludf.DUMMYFUNCTION("""COMPUTED_VALUE"""),43696.64583333333)</f>
        <v>43696.64583</v>
      </c>
      <c r="B4702" s="3">
        <f>IFERROR(__xludf.DUMMYFUNCTION("""COMPUTED_VALUE"""),11094.8)</f>
        <v>11094.8</v>
      </c>
      <c r="C4702" s="3">
        <f>IFERROR(__xludf.DUMMYFUNCTION("""COMPUTED_VALUE"""),11146.9)</f>
        <v>11146.9</v>
      </c>
      <c r="D4702" s="3">
        <f>IFERROR(__xludf.DUMMYFUNCTION("""COMPUTED_VALUE"""),11037.85)</f>
        <v>11037.85</v>
      </c>
      <c r="E4702" s="3">
        <f>IFERROR(__xludf.DUMMYFUNCTION("""COMPUTED_VALUE"""),11053.9)</f>
        <v>11053.9</v>
      </c>
      <c r="F4702" s="3">
        <f>IFERROR(__xludf.DUMMYFUNCTION("""COMPUTED_VALUE"""),0.0)</f>
        <v>0</v>
      </c>
    </row>
    <row r="4703">
      <c r="A4703" s="7">
        <f>IFERROR(__xludf.DUMMYFUNCTION("""COMPUTED_VALUE"""),43697.64583333333)</f>
        <v>43697.64583</v>
      </c>
      <c r="B4703" s="3">
        <f>IFERROR(__xludf.DUMMYFUNCTION("""COMPUTED_VALUE"""),11063.9)</f>
        <v>11063.9</v>
      </c>
      <c r="C4703" s="3">
        <f>IFERROR(__xludf.DUMMYFUNCTION("""COMPUTED_VALUE"""),11076.3)</f>
        <v>11076.3</v>
      </c>
      <c r="D4703" s="3">
        <f>IFERROR(__xludf.DUMMYFUNCTION("""COMPUTED_VALUE"""),10985.3)</f>
        <v>10985.3</v>
      </c>
      <c r="E4703" s="3">
        <f>IFERROR(__xludf.DUMMYFUNCTION("""COMPUTED_VALUE"""),11017.0)</f>
        <v>11017</v>
      </c>
      <c r="F4703" s="3">
        <f>IFERROR(__xludf.DUMMYFUNCTION("""COMPUTED_VALUE"""),0.0)</f>
        <v>0</v>
      </c>
    </row>
    <row r="4704">
      <c r="A4704" s="7">
        <f>IFERROR(__xludf.DUMMYFUNCTION("""COMPUTED_VALUE"""),43698.64583333333)</f>
        <v>43698.64583</v>
      </c>
      <c r="B4704" s="3">
        <f>IFERROR(__xludf.DUMMYFUNCTION("""COMPUTED_VALUE"""),11018.15)</f>
        <v>11018.15</v>
      </c>
      <c r="C4704" s="3">
        <f>IFERROR(__xludf.DUMMYFUNCTION("""COMPUTED_VALUE"""),11034.2)</f>
        <v>11034.2</v>
      </c>
      <c r="D4704" s="3">
        <f>IFERROR(__xludf.DUMMYFUNCTION("""COMPUTED_VALUE"""),10906.65)</f>
        <v>10906.65</v>
      </c>
      <c r="E4704" s="3">
        <f>IFERROR(__xludf.DUMMYFUNCTION("""COMPUTED_VALUE"""),10918.7)</f>
        <v>10918.7</v>
      </c>
      <c r="F4704" s="3">
        <f>IFERROR(__xludf.DUMMYFUNCTION("""COMPUTED_VALUE"""),0.0)</f>
        <v>0</v>
      </c>
    </row>
    <row r="4705">
      <c r="A4705" s="7">
        <f>IFERROR(__xludf.DUMMYFUNCTION("""COMPUTED_VALUE"""),43699.64583333333)</f>
        <v>43699.64583</v>
      </c>
      <c r="B4705" s="3">
        <f>IFERROR(__xludf.DUMMYFUNCTION("""COMPUTED_VALUE"""),10905.3)</f>
        <v>10905.3</v>
      </c>
      <c r="C4705" s="3">
        <f>IFERROR(__xludf.DUMMYFUNCTION("""COMPUTED_VALUE"""),10908.25)</f>
        <v>10908.25</v>
      </c>
      <c r="D4705" s="3">
        <f>IFERROR(__xludf.DUMMYFUNCTION("""COMPUTED_VALUE"""),10718.3)</f>
        <v>10718.3</v>
      </c>
      <c r="E4705" s="3">
        <f>IFERROR(__xludf.DUMMYFUNCTION("""COMPUTED_VALUE"""),10741.35)</f>
        <v>10741.35</v>
      </c>
      <c r="F4705" s="3">
        <f>IFERROR(__xludf.DUMMYFUNCTION("""COMPUTED_VALUE"""),0.0)</f>
        <v>0</v>
      </c>
    </row>
    <row r="4706">
      <c r="A4706" s="7">
        <f>IFERROR(__xludf.DUMMYFUNCTION("""COMPUTED_VALUE"""),43700.64583333333)</f>
        <v>43700.64583</v>
      </c>
      <c r="B4706" s="3">
        <f>IFERROR(__xludf.DUMMYFUNCTION("""COMPUTED_VALUE"""),10699.6)</f>
        <v>10699.6</v>
      </c>
      <c r="C4706" s="3">
        <f>IFERROR(__xludf.DUMMYFUNCTION("""COMPUTED_VALUE"""),10862.55)</f>
        <v>10862.55</v>
      </c>
      <c r="D4706" s="3">
        <f>IFERROR(__xludf.DUMMYFUNCTION("""COMPUTED_VALUE"""),10637.15)</f>
        <v>10637.15</v>
      </c>
      <c r="E4706" s="3">
        <f>IFERROR(__xludf.DUMMYFUNCTION("""COMPUTED_VALUE"""),10829.35)</f>
        <v>10829.35</v>
      </c>
      <c r="F4706" s="3">
        <f>IFERROR(__xludf.DUMMYFUNCTION("""COMPUTED_VALUE"""),0.0)</f>
        <v>0</v>
      </c>
    </row>
    <row r="4707">
      <c r="A4707" s="7">
        <f>IFERROR(__xludf.DUMMYFUNCTION("""COMPUTED_VALUE"""),43703.64583333333)</f>
        <v>43703.64583</v>
      </c>
      <c r="B4707" s="3">
        <f>IFERROR(__xludf.DUMMYFUNCTION("""COMPUTED_VALUE"""),11000.3)</f>
        <v>11000.3</v>
      </c>
      <c r="C4707" s="3">
        <f>IFERROR(__xludf.DUMMYFUNCTION("""COMPUTED_VALUE"""),11070.3)</f>
        <v>11070.3</v>
      </c>
      <c r="D4707" s="3">
        <f>IFERROR(__xludf.DUMMYFUNCTION("""COMPUTED_VALUE"""),10756.55)</f>
        <v>10756.55</v>
      </c>
      <c r="E4707" s="3">
        <f>IFERROR(__xludf.DUMMYFUNCTION("""COMPUTED_VALUE"""),11057.85)</f>
        <v>11057.85</v>
      </c>
      <c r="F4707" s="3">
        <f>IFERROR(__xludf.DUMMYFUNCTION("""COMPUTED_VALUE"""),0.0)</f>
        <v>0</v>
      </c>
    </row>
    <row r="4708">
      <c r="A4708" s="7">
        <f>IFERROR(__xludf.DUMMYFUNCTION("""COMPUTED_VALUE"""),43704.64583333333)</f>
        <v>43704.64583</v>
      </c>
      <c r="B4708" s="3">
        <f>IFERROR(__xludf.DUMMYFUNCTION("""COMPUTED_VALUE"""),11106.55)</f>
        <v>11106.55</v>
      </c>
      <c r="C4708" s="3">
        <f>IFERROR(__xludf.DUMMYFUNCTION("""COMPUTED_VALUE"""),11141.75)</f>
        <v>11141.75</v>
      </c>
      <c r="D4708" s="3">
        <f>IFERROR(__xludf.DUMMYFUNCTION("""COMPUTED_VALUE"""),11049.5)</f>
        <v>11049.5</v>
      </c>
      <c r="E4708" s="3">
        <f>IFERROR(__xludf.DUMMYFUNCTION("""COMPUTED_VALUE"""),11105.35)</f>
        <v>11105.35</v>
      </c>
      <c r="F4708" s="3">
        <f>IFERROR(__xludf.DUMMYFUNCTION("""COMPUTED_VALUE"""),0.0)</f>
        <v>0</v>
      </c>
    </row>
    <row r="4709">
      <c r="A4709" s="7">
        <f>IFERROR(__xludf.DUMMYFUNCTION("""COMPUTED_VALUE"""),43705.64583333333)</f>
        <v>43705.64583</v>
      </c>
      <c r="B4709" s="3">
        <f>IFERROR(__xludf.DUMMYFUNCTION("""COMPUTED_VALUE"""),11101.3)</f>
        <v>11101.3</v>
      </c>
      <c r="C4709" s="3">
        <f>IFERROR(__xludf.DUMMYFUNCTION("""COMPUTED_VALUE"""),11129.65)</f>
        <v>11129.65</v>
      </c>
      <c r="D4709" s="3">
        <f>IFERROR(__xludf.DUMMYFUNCTION("""COMPUTED_VALUE"""),10987.65)</f>
        <v>10987.65</v>
      </c>
      <c r="E4709" s="3">
        <f>IFERROR(__xludf.DUMMYFUNCTION("""COMPUTED_VALUE"""),11046.1)</f>
        <v>11046.1</v>
      </c>
      <c r="F4709" s="3">
        <f>IFERROR(__xludf.DUMMYFUNCTION("""COMPUTED_VALUE"""),0.0)</f>
        <v>0</v>
      </c>
    </row>
    <row r="4710">
      <c r="A4710" s="7">
        <f>IFERROR(__xludf.DUMMYFUNCTION("""COMPUTED_VALUE"""),43706.64583333333)</f>
        <v>43706.64583</v>
      </c>
      <c r="B4710" s="3">
        <f>IFERROR(__xludf.DUMMYFUNCTION("""COMPUTED_VALUE"""),10996.05)</f>
        <v>10996.05</v>
      </c>
      <c r="C4710" s="3">
        <f>IFERROR(__xludf.DUMMYFUNCTION("""COMPUTED_VALUE"""),11021.1)</f>
        <v>11021.1</v>
      </c>
      <c r="D4710" s="3">
        <f>IFERROR(__xludf.DUMMYFUNCTION("""COMPUTED_VALUE"""),10922.4)</f>
        <v>10922.4</v>
      </c>
      <c r="E4710" s="3">
        <f>IFERROR(__xludf.DUMMYFUNCTION("""COMPUTED_VALUE"""),10948.3)</f>
        <v>10948.3</v>
      </c>
      <c r="F4710" s="3">
        <f>IFERROR(__xludf.DUMMYFUNCTION("""COMPUTED_VALUE"""),0.0)</f>
        <v>0</v>
      </c>
    </row>
    <row r="4711">
      <c r="A4711" s="7">
        <f>IFERROR(__xludf.DUMMYFUNCTION("""COMPUTED_VALUE"""),43707.64583333333)</f>
        <v>43707.64583</v>
      </c>
      <c r="B4711" s="3">
        <f>IFERROR(__xludf.DUMMYFUNCTION("""COMPUTED_VALUE"""),10987.8)</f>
        <v>10987.8</v>
      </c>
      <c r="C4711" s="3">
        <f>IFERROR(__xludf.DUMMYFUNCTION("""COMPUTED_VALUE"""),11042.6)</f>
        <v>11042.6</v>
      </c>
      <c r="D4711" s="3">
        <f>IFERROR(__xludf.DUMMYFUNCTION("""COMPUTED_VALUE"""),10874.8)</f>
        <v>10874.8</v>
      </c>
      <c r="E4711" s="3">
        <f>IFERROR(__xludf.DUMMYFUNCTION("""COMPUTED_VALUE"""),11023.25)</f>
        <v>11023.25</v>
      </c>
      <c r="F4711" s="3">
        <f>IFERROR(__xludf.DUMMYFUNCTION("""COMPUTED_VALUE"""),0.0)</f>
        <v>0</v>
      </c>
    </row>
    <row r="4712">
      <c r="A4712" s="7">
        <f>IFERROR(__xludf.DUMMYFUNCTION("""COMPUTED_VALUE"""),43711.64583333333)</f>
        <v>43711.64583</v>
      </c>
      <c r="B4712" s="3">
        <f>IFERROR(__xludf.DUMMYFUNCTION("""COMPUTED_VALUE"""),10960.95)</f>
        <v>10960.95</v>
      </c>
      <c r="C4712" s="3">
        <f>IFERROR(__xludf.DUMMYFUNCTION("""COMPUTED_VALUE"""),10967.5)</f>
        <v>10967.5</v>
      </c>
      <c r="D4712" s="3">
        <f>IFERROR(__xludf.DUMMYFUNCTION("""COMPUTED_VALUE"""),10772.7)</f>
        <v>10772.7</v>
      </c>
      <c r="E4712" s="3">
        <f>IFERROR(__xludf.DUMMYFUNCTION("""COMPUTED_VALUE"""),10797.9)</f>
        <v>10797.9</v>
      </c>
      <c r="F4712" s="3">
        <f>IFERROR(__xludf.DUMMYFUNCTION("""COMPUTED_VALUE"""),0.0)</f>
        <v>0</v>
      </c>
    </row>
    <row r="4713">
      <c r="A4713" s="7">
        <f>IFERROR(__xludf.DUMMYFUNCTION("""COMPUTED_VALUE"""),43712.64583333333)</f>
        <v>43712.64583</v>
      </c>
      <c r="B4713" s="3">
        <f>IFERROR(__xludf.DUMMYFUNCTION("""COMPUTED_VALUE"""),10790.4)</f>
        <v>10790.4</v>
      </c>
      <c r="C4713" s="3">
        <f>IFERROR(__xludf.DUMMYFUNCTION("""COMPUTED_VALUE"""),10858.75)</f>
        <v>10858.75</v>
      </c>
      <c r="D4713" s="3">
        <f>IFERROR(__xludf.DUMMYFUNCTION("""COMPUTED_VALUE"""),10746.35)</f>
        <v>10746.35</v>
      </c>
      <c r="E4713" s="3">
        <f>IFERROR(__xludf.DUMMYFUNCTION("""COMPUTED_VALUE"""),10844.65)</f>
        <v>10844.65</v>
      </c>
      <c r="F4713" s="3">
        <f>IFERROR(__xludf.DUMMYFUNCTION("""COMPUTED_VALUE"""),0.0)</f>
        <v>0</v>
      </c>
    </row>
    <row r="4714">
      <c r="A4714" s="7">
        <f>IFERROR(__xludf.DUMMYFUNCTION("""COMPUTED_VALUE"""),43713.64583333333)</f>
        <v>43713.64583</v>
      </c>
      <c r="B4714" s="3">
        <f>IFERROR(__xludf.DUMMYFUNCTION("""COMPUTED_VALUE"""),10860.95)</f>
        <v>10860.95</v>
      </c>
      <c r="C4714" s="3">
        <f>IFERROR(__xludf.DUMMYFUNCTION("""COMPUTED_VALUE"""),10920.1)</f>
        <v>10920.1</v>
      </c>
      <c r="D4714" s="3">
        <f>IFERROR(__xludf.DUMMYFUNCTION("""COMPUTED_VALUE"""),10816.0)</f>
        <v>10816</v>
      </c>
      <c r="E4714" s="3">
        <f>IFERROR(__xludf.DUMMYFUNCTION("""COMPUTED_VALUE"""),10847.9)</f>
        <v>10847.9</v>
      </c>
      <c r="F4714" s="3">
        <f>IFERROR(__xludf.DUMMYFUNCTION("""COMPUTED_VALUE"""),0.0)</f>
        <v>0</v>
      </c>
    </row>
    <row r="4715">
      <c r="A4715" s="7">
        <f>IFERROR(__xludf.DUMMYFUNCTION("""COMPUTED_VALUE"""),43714.64583333333)</f>
        <v>43714.64583</v>
      </c>
      <c r="B4715" s="3">
        <f>IFERROR(__xludf.DUMMYFUNCTION("""COMPUTED_VALUE"""),10883.8)</f>
        <v>10883.8</v>
      </c>
      <c r="C4715" s="3">
        <f>IFERROR(__xludf.DUMMYFUNCTION("""COMPUTED_VALUE"""),10957.05)</f>
        <v>10957.05</v>
      </c>
      <c r="D4715" s="3">
        <f>IFERROR(__xludf.DUMMYFUNCTION("""COMPUTED_VALUE"""),10867.45)</f>
        <v>10867.45</v>
      </c>
      <c r="E4715" s="3">
        <f>IFERROR(__xludf.DUMMYFUNCTION("""COMPUTED_VALUE"""),10946.2)</f>
        <v>10946.2</v>
      </c>
      <c r="F4715" s="3">
        <f>IFERROR(__xludf.DUMMYFUNCTION("""COMPUTED_VALUE"""),0.0)</f>
        <v>0</v>
      </c>
    </row>
    <row r="4716">
      <c r="A4716" s="7">
        <f>IFERROR(__xludf.DUMMYFUNCTION("""COMPUTED_VALUE"""),43717.64583333333)</f>
        <v>43717.64583</v>
      </c>
      <c r="B4716" s="3">
        <f>IFERROR(__xludf.DUMMYFUNCTION("""COMPUTED_VALUE"""),10936.7)</f>
        <v>10936.7</v>
      </c>
      <c r="C4716" s="3">
        <f>IFERROR(__xludf.DUMMYFUNCTION("""COMPUTED_VALUE"""),11028.85)</f>
        <v>11028.85</v>
      </c>
      <c r="D4716" s="3">
        <f>IFERROR(__xludf.DUMMYFUNCTION("""COMPUTED_VALUE"""),10889.8)</f>
        <v>10889.8</v>
      </c>
      <c r="E4716" s="3">
        <f>IFERROR(__xludf.DUMMYFUNCTION("""COMPUTED_VALUE"""),11003.05)</f>
        <v>11003.05</v>
      </c>
      <c r="F4716" s="3">
        <f>IFERROR(__xludf.DUMMYFUNCTION("""COMPUTED_VALUE"""),0.0)</f>
        <v>0</v>
      </c>
    </row>
    <row r="4717">
      <c r="A4717" s="7">
        <f>IFERROR(__xludf.DUMMYFUNCTION("""COMPUTED_VALUE"""),43719.64583333333)</f>
        <v>43719.64583</v>
      </c>
      <c r="B4717" s="3">
        <f>IFERROR(__xludf.DUMMYFUNCTION("""COMPUTED_VALUE"""),11028.5)</f>
        <v>11028.5</v>
      </c>
      <c r="C4717" s="3">
        <f>IFERROR(__xludf.DUMMYFUNCTION("""COMPUTED_VALUE"""),11054.8)</f>
        <v>11054.8</v>
      </c>
      <c r="D4717" s="3">
        <f>IFERROR(__xludf.DUMMYFUNCTION("""COMPUTED_VALUE"""),11011.65)</f>
        <v>11011.65</v>
      </c>
      <c r="E4717" s="3">
        <f>IFERROR(__xludf.DUMMYFUNCTION("""COMPUTED_VALUE"""),11035.7)</f>
        <v>11035.7</v>
      </c>
      <c r="F4717" s="3">
        <f>IFERROR(__xludf.DUMMYFUNCTION("""COMPUTED_VALUE"""),0.0)</f>
        <v>0</v>
      </c>
    </row>
    <row r="4718">
      <c r="A4718" s="7">
        <f>IFERROR(__xludf.DUMMYFUNCTION("""COMPUTED_VALUE"""),43720.64583333333)</f>
        <v>43720.64583</v>
      </c>
      <c r="B4718" s="3">
        <f>IFERROR(__xludf.DUMMYFUNCTION("""COMPUTED_VALUE"""),11058.3)</f>
        <v>11058.3</v>
      </c>
      <c r="C4718" s="3">
        <f>IFERROR(__xludf.DUMMYFUNCTION("""COMPUTED_VALUE"""),11081.75)</f>
        <v>11081.75</v>
      </c>
      <c r="D4718" s="3">
        <f>IFERROR(__xludf.DUMMYFUNCTION("""COMPUTED_VALUE"""),10964.95)</f>
        <v>10964.95</v>
      </c>
      <c r="E4718" s="3">
        <f>IFERROR(__xludf.DUMMYFUNCTION("""COMPUTED_VALUE"""),10982.8)</f>
        <v>10982.8</v>
      </c>
      <c r="F4718" s="3">
        <f>IFERROR(__xludf.DUMMYFUNCTION("""COMPUTED_VALUE"""),0.0)</f>
        <v>0</v>
      </c>
    </row>
    <row r="4719">
      <c r="A4719" s="7">
        <f>IFERROR(__xludf.DUMMYFUNCTION("""COMPUTED_VALUE"""),43721.64583333333)</f>
        <v>43721.64583</v>
      </c>
      <c r="B4719" s="3">
        <f>IFERROR(__xludf.DUMMYFUNCTION("""COMPUTED_VALUE"""),10986.8)</f>
        <v>10986.8</v>
      </c>
      <c r="C4719" s="3">
        <f>IFERROR(__xludf.DUMMYFUNCTION("""COMPUTED_VALUE"""),11084.45)</f>
        <v>11084.45</v>
      </c>
      <c r="D4719" s="3">
        <f>IFERROR(__xludf.DUMMYFUNCTION("""COMPUTED_VALUE"""),10945.75)</f>
        <v>10945.75</v>
      </c>
      <c r="E4719" s="3">
        <f>IFERROR(__xludf.DUMMYFUNCTION("""COMPUTED_VALUE"""),11075.9)</f>
        <v>11075.9</v>
      </c>
      <c r="F4719" s="3">
        <f>IFERROR(__xludf.DUMMYFUNCTION("""COMPUTED_VALUE"""),0.0)</f>
        <v>0</v>
      </c>
    </row>
    <row r="4720">
      <c r="A4720" s="7">
        <f>IFERROR(__xludf.DUMMYFUNCTION("""COMPUTED_VALUE"""),43724.64583333333)</f>
        <v>43724.64583</v>
      </c>
      <c r="B4720" s="3">
        <f>IFERROR(__xludf.DUMMYFUNCTION("""COMPUTED_VALUE"""),10994.85)</f>
        <v>10994.85</v>
      </c>
      <c r="C4720" s="3">
        <f>IFERROR(__xludf.DUMMYFUNCTION("""COMPUTED_VALUE"""),11052.7)</f>
        <v>11052.7</v>
      </c>
      <c r="D4720" s="3">
        <f>IFERROR(__xludf.DUMMYFUNCTION("""COMPUTED_VALUE"""),10968.2)</f>
        <v>10968.2</v>
      </c>
      <c r="E4720" s="3">
        <f>IFERROR(__xludf.DUMMYFUNCTION("""COMPUTED_VALUE"""),11003.5)</f>
        <v>11003.5</v>
      </c>
      <c r="F4720" s="3">
        <f>IFERROR(__xludf.DUMMYFUNCTION("""COMPUTED_VALUE"""),0.0)</f>
        <v>0</v>
      </c>
    </row>
    <row r="4721">
      <c r="A4721" s="7">
        <f>IFERROR(__xludf.DUMMYFUNCTION("""COMPUTED_VALUE"""),43725.64583333333)</f>
        <v>43725.64583</v>
      </c>
      <c r="B4721" s="3">
        <f>IFERROR(__xludf.DUMMYFUNCTION("""COMPUTED_VALUE"""),11000.1)</f>
        <v>11000.1</v>
      </c>
      <c r="C4721" s="3">
        <f>IFERROR(__xludf.DUMMYFUNCTION("""COMPUTED_VALUE"""),11000.1)</f>
        <v>11000.1</v>
      </c>
      <c r="D4721" s="3">
        <f>IFERROR(__xludf.DUMMYFUNCTION("""COMPUTED_VALUE"""),10796.5)</f>
        <v>10796.5</v>
      </c>
      <c r="E4721" s="3">
        <f>IFERROR(__xludf.DUMMYFUNCTION("""COMPUTED_VALUE"""),10817.6)</f>
        <v>10817.6</v>
      </c>
      <c r="F4721" s="3">
        <f>IFERROR(__xludf.DUMMYFUNCTION("""COMPUTED_VALUE"""),0.0)</f>
        <v>0</v>
      </c>
    </row>
    <row r="4722">
      <c r="A4722" s="7">
        <f>IFERROR(__xludf.DUMMYFUNCTION("""COMPUTED_VALUE"""),43726.64583333333)</f>
        <v>43726.64583</v>
      </c>
      <c r="B4722" s="3">
        <f>IFERROR(__xludf.DUMMYFUNCTION("""COMPUTED_VALUE"""),10872.8)</f>
        <v>10872.8</v>
      </c>
      <c r="C4722" s="3">
        <f>IFERROR(__xludf.DUMMYFUNCTION("""COMPUTED_VALUE"""),10885.15)</f>
        <v>10885.15</v>
      </c>
      <c r="D4722" s="3">
        <f>IFERROR(__xludf.DUMMYFUNCTION("""COMPUTED_VALUE"""),10804.85)</f>
        <v>10804.85</v>
      </c>
      <c r="E4722" s="3">
        <f>IFERROR(__xludf.DUMMYFUNCTION("""COMPUTED_VALUE"""),10840.65)</f>
        <v>10840.65</v>
      </c>
      <c r="F4722" s="3">
        <f>IFERROR(__xludf.DUMMYFUNCTION("""COMPUTED_VALUE"""),0.0)</f>
        <v>0</v>
      </c>
    </row>
    <row r="4723">
      <c r="A4723" s="7">
        <f>IFERROR(__xludf.DUMMYFUNCTION("""COMPUTED_VALUE"""),43727.64583333333)</f>
        <v>43727.64583</v>
      </c>
      <c r="B4723" s="3">
        <f>IFERROR(__xludf.DUMMYFUNCTION("""COMPUTED_VALUE"""),10845.2)</f>
        <v>10845.2</v>
      </c>
      <c r="C4723" s="3">
        <f>IFERROR(__xludf.DUMMYFUNCTION("""COMPUTED_VALUE"""),10845.2)</f>
        <v>10845.2</v>
      </c>
      <c r="D4723" s="3">
        <f>IFERROR(__xludf.DUMMYFUNCTION("""COMPUTED_VALUE"""),10670.25)</f>
        <v>10670.25</v>
      </c>
      <c r="E4723" s="3">
        <f>IFERROR(__xludf.DUMMYFUNCTION("""COMPUTED_VALUE"""),10704.8)</f>
        <v>10704.8</v>
      </c>
      <c r="F4723" s="3">
        <f>IFERROR(__xludf.DUMMYFUNCTION("""COMPUTED_VALUE"""),0.0)</f>
        <v>0</v>
      </c>
    </row>
    <row r="4724">
      <c r="A4724" s="7">
        <f>IFERROR(__xludf.DUMMYFUNCTION("""COMPUTED_VALUE"""),43728.64583333333)</f>
        <v>43728.64583</v>
      </c>
      <c r="B4724" s="3">
        <f>IFERROR(__xludf.DUMMYFUNCTION("""COMPUTED_VALUE"""),10746.8)</f>
        <v>10746.8</v>
      </c>
      <c r="C4724" s="3">
        <f>IFERROR(__xludf.DUMMYFUNCTION("""COMPUTED_VALUE"""),11381.9)</f>
        <v>11381.9</v>
      </c>
      <c r="D4724" s="3">
        <f>IFERROR(__xludf.DUMMYFUNCTION("""COMPUTED_VALUE"""),10691.0)</f>
        <v>10691</v>
      </c>
      <c r="E4724" s="3">
        <f>IFERROR(__xludf.DUMMYFUNCTION("""COMPUTED_VALUE"""),11274.2)</f>
        <v>11274.2</v>
      </c>
      <c r="F4724" s="3">
        <f>IFERROR(__xludf.DUMMYFUNCTION("""COMPUTED_VALUE"""),0.0)</f>
        <v>0</v>
      </c>
    </row>
    <row r="4725">
      <c r="A4725" s="7">
        <f>IFERROR(__xludf.DUMMYFUNCTION("""COMPUTED_VALUE"""),43731.64583333333)</f>
        <v>43731.64583</v>
      </c>
      <c r="B4725" s="3">
        <f>IFERROR(__xludf.DUMMYFUNCTION("""COMPUTED_VALUE"""),11542.7)</f>
        <v>11542.7</v>
      </c>
      <c r="C4725" s="3">
        <f>IFERROR(__xludf.DUMMYFUNCTION("""COMPUTED_VALUE"""),11694.85)</f>
        <v>11694.85</v>
      </c>
      <c r="D4725" s="3">
        <f>IFERROR(__xludf.DUMMYFUNCTION("""COMPUTED_VALUE"""),11471.35)</f>
        <v>11471.35</v>
      </c>
      <c r="E4725" s="3">
        <f>IFERROR(__xludf.DUMMYFUNCTION("""COMPUTED_VALUE"""),11600.2)</f>
        <v>11600.2</v>
      </c>
      <c r="F4725" s="3">
        <f>IFERROR(__xludf.DUMMYFUNCTION("""COMPUTED_VALUE"""),0.0)</f>
        <v>0</v>
      </c>
    </row>
    <row r="4726">
      <c r="A4726" s="7">
        <f>IFERROR(__xludf.DUMMYFUNCTION("""COMPUTED_VALUE"""),43732.64583333333)</f>
        <v>43732.64583</v>
      </c>
      <c r="B4726" s="3">
        <f>IFERROR(__xludf.DUMMYFUNCTION("""COMPUTED_VALUE"""),11590.7)</f>
        <v>11590.7</v>
      </c>
      <c r="C4726" s="3">
        <f>IFERROR(__xludf.DUMMYFUNCTION("""COMPUTED_VALUE"""),11655.05)</f>
        <v>11655.05</v>
      </c>
      <c r="D4726" s="3">
        <f>IFERROR(__xludf.DUMMYFUNCTION("""COMPUTED_VALUE"""),11539.2)</f>
        <v>11539.2</v>
      </c>
      <c r="E4726" s="3">
        <f>IFERROR(__xludf.DUMMYFUNCTION("""COMPUTED_VALUE"""),11588.2)</f>
        <v>11588.2</v>
      </c>
      <c r="F4726" s="3">
        <f>IFERROR(__xludf.DUMMYFUNCTION("""COMPUTED_VALUE"""),0.0)</f>
        <v>0</v>
      </c>
    </row>
    <row r="4727">
      <c r="A4727" s="7">
        <f>IFERROR(__xludf.DUMMYFUNCTION("""COMPUTED_VALUE"""),43733.64583333333)</f>
        <v>43733.64583</v>
      </c>
      <c r="B4727" s="3">
        <f>IFERROR(__xludf.DUMMYFUNCTION("""COMPUTED_VALUE"""),11564.85)</f>
        <v>11564.85</v>
      </c>
      <c r="C4727" s="3">
        <f>IFERROR(__xludf.DUMMYFUNCTION("""COMPUTED_VALUE"""),11564.95)</f>
        <v>11564.95</v>
      </c>
      <c r="D4727" s="3">
        <f>IFERROR(__xludf.DUMMYFUNCTION("""COMPUTED_VALUE"""),11416.1)</f>
        <v>11416.1</v>
      </c>
      <c r="E4727" s="3">
        <f>IFERROR(__xludf.DUMMYFUNCTION("""COMPUTED_VALUE"""),11440.2)</f>
        <v>11440.2</v>
      </c>
      <c r="F4727" s="3">
        <f>IFERROR(__xludf.DUMMYFUNCTION("""COMPUTED_VALUE"""),0.0)</f>
        <v>0</v>
      </c>
    </row>
    <row r="4728">
      <c r="A4728" s="7">
        <f>IFERROR(__xludf.DUMMYFUNCTION("""COMPUTED_VALUE"""),43734.64583333333)</f>
        <v>43734.64583</v>
      </c>
      <c r="B4728" s="3">
        <f>IFERROR(__xludf.DUMMYFUNCTION("""COMPUTED_VALUE"""),11469.85)</f>
        <v>11469.85</v>
      </c>
      <c r="C4728" s="3">
        <f>IFERROR(__xludf.DUMMYFUNCTION("""COMPUTED_VALUE"""),11610.85)</f>
        <v>11610.85</v>
      </c>
      <c r="D4728" s="3">
        <f>IFERROR(__xludf.DUMMYFUNCTION("""COMPUTED_VALUE"""),11466.35)</f>
        <v>11466.35</v>
      </c>
      <c r="E4728" s="3">
        <f>IFERROR(__xludf.DUMMYFUNCTION("""COMPUTED_VALUE"""),11571.2)</f>
        <v>11571.2</v>
      </c>
      <c r="F4728" s="3">
        <f>IFERROR(__xludf.DUMMYFUNCTION("""COMPUTED_VALUE"""),0.0)</f>
        <v>0</v>
      </c>
    </row>
    <row r="4729">
      <c r="A4729" s="7">
        <f>IFERROR(__xludf.DUMMYFUNCTION("""COMPUTED_VALUE"""),43735.64583333333)</f>
        <v>43735.64583</v>
      </c>
      <c r="B4729" s="3">
        <f>IFERROR(__xludf.DUMMYFUNCTION("""COMPUTED_VALUE"""),11556.35)</f>
        <v>11556.35</v>
      </c>
      <c r="C4729" s="3">
        <f>IFERROR(__xludf.DUMMYFUNCTION("""COMPUTED_VALUE"""),11593.6)</f>
        <v>11593.6</v>
      </c>
      <c r="D4729" s="3">
        <f>IFERROR(__xludf.DUMMYFUNCTION("""COMPUTED_VALUE"""),11499.75)</f>
        <v>11499.75</v>
      </c>
      <c r="E4729" s="3">
        <f>IFERROR(__xludf.DUMMYFUNCTION("""COMPUTED_VALUE"""),11512.4)</f>
        <v>11512.4</v>
      </c>
      <c r="F4729" s="3">
        <f>IFERROR(__xludf.DUMMYFUNCTION("""COMPUTED_VALUE"""),0.0)</f>
        <v>0</v>
      </c>
    </row>
    <row r="4730">
      <c r="A4730" s="7">
        <f>IFERROR(__xludf.DUMMYFUNCTION("""COMPUTED_VALUE"""),43738.64583333333)</f>
        <v>43738.64583</v>
      </c>
      <c r="B4730" s="3">
        <f>IFERROR(__xludf.DUMMYFUNCTION("""COMPUTED_VALUE"""),11491.15)</f>
        <v>11491.15</v>
      </c>
      <c r="C4730" s="3">
        <f>IFERROR(__xludf.DUMMYFUNCTION("""COMPUTED_VALUE"""),11508.25)</f>
        <v>11508.25</v>
      </c>
      <c r="D4730" s="3">
        <f>IFERROR(__xludf.DUMMYFUNCTION("""COMPUTED_VALUE"""),11390.8)</f>
        <v>11390.8</v>
      </c>
      <c r="E4730" s="3">
        <f>IFERROR(__xludf.DUMMYFUNCTION("""COMPUTED_VALUE"""),11474.45)</f>
        <v>11474.45</v>
      </c>
      <c r="F4730" s="3">
        <f>IFERROR(__xludf.DUMMYFUNCTION("""COMPUTED_VALUE"""),0.0)</f>
        <v>0</v>
      </c>
    </row>
    <row r="4731">
      <c r="A4731" s="7">
        <f>IFERROR(__xludf.DUMMYFUNCTION("""COMPUTED_VALUE"""),43739.64583333333)</f>
        <v>43739.64583</v>
      </c>
      <c r="B4731" s="3">
        <f>IFERROR(__xludf.DUMMYFUNCTION("""COMPUTED_VALUE"""),11515.4)</f>
        <v>11515.4</v>
      </c>
      <c r="C4731" s="3">
        <f>IFERROR(__xludf.DUMMYFUNCTION("""COMPUTED_VALUE"""),11554.2)</f>
        <v>11554.2</v>
      </c>
      <c r="D4731" s="3">
        <f>IFERROR(__xludf.DUMMYFUNCTION("""COMPUTED_VALUE"""),11247.9)</f>
        <v>11247.9</v>
      </c>
      <c r="E4731" s="3">
        <f>IFERROR(__xludf.DUMMYFUNCTION("""COMPUTED_VALUE"""),11359.9)</f>
        <v>11359.9</v>
      </c>
      <c r="F4731" s="3">
        <f>IFERROR(__xludf.DUMMYFUNCTION("""COMPUTED_VALUE"""),0.0)</f>
        <v>0</v>
      </c>
    </row>
    <row r="4732">
      <c r="A4732" s="7">
        <f>IFERROR(__xludf.DUMMYFUNCTION("""COMPUTED_VALUE"""),43741.64583333333)</f>
        <v>43741.64583</v>
      </c>
      <c r="B4732" s="3">
        <f>IFERROR(__xludf.DUMMYFUNCTION("""COMPUTED_VALUE"""),11322.25)</f>
        <v>11322.25</v>
      </c>
      <c r="C4732" s="3">
        <f>IFERROR(__xludf.DUMMYFUNCTION("""COMPUTED_VALUE"""),11370.4)</f>
        <v>11370.4</v>
      </c>
      <c r="D4732" s="3">
        <f>IFERROR(__xludf.DUMMYFUNCTION("""COMPUTED_VALUE"""),11257.35)</f>
        <v>11257.35</v>
      </c>
      <c r="E4732" s="3">
        <f>IFERROR(__xludf.DUMMYFUNCTION("""COMPUTED_VALUE"""),11314.0)</f>
        <v>11314</v>
      </c>
      <c r="F4732" s="3">
        <f>IFERROR(__xludf.DUMMYFUNCTION("""COMPUTED_VALUE"""),0.0)</f>
        <v>0</v>
      </c>
    </row>
    <row r="4733">
      <c r="A4733" s="7">
        <f>IFERROR(__xludf.DUMMYFUNCTION("""COMPUTED_VALUE"""),43742.64583333333)</f>
        <v>43742.64583</v>
      </c>
      <c r="B4733" s="3">
        <f>IFERROR(__xludf.DUMMYFUNCTION("""COMPUTED_VALUE"""),11388.45)</f>
        <v>11388.45</v>
      </c>
      <c r="C4733" s="3">
        <f>IFERROR(__xludf.DUMMYFUNCTION("""COMPUTED_VALUE"""),11400.3)</f>
        <v>11400.3</v>
      </c>
      <c r="D4733" s="3">
        <f>IFERROR(__xludf.DUMMYFUNCTION("""COMPUTED_VALUE"""),11158.35)</f>
        <v>11158.35</v>
      </c>
      <c r="E4733" s="3">
        <f>IFERROR(__xludf.DUMMYFUNCTION("""COMPUTED_VALUE"""),11174.75)</f>
        <v>11174.75</v>
      </c>
      <c r="F4733" s="3">
        <f>IFERROR(__xludf.DUMMYFUNCTION("""COMPUTED_VALUE"""),0.0)</f>
        <v>0</v>
      </c>
    </row>
    <row r="4734">
      <c r="A4734" s="7">
        <f>IFERROR(__xludf.DUMMYFUNCTION("""COMPUTED_VALUE"""),43745.64583333333)</f>
        <v>43745.64583</v>
      </c>
      <c r="B4734" s="3">
        <f>IFERROR(__xludf.DUMMYFUNCTION("""COMPUTED_VALUE"""),11196.2)</f>
        <v>11196.2</v>
      </c>
      <c r="C4734" s="3">
        <f>IFERROR(__xludf.DUMMYFUNCTION("""COMPUTED_VALUE"""),11233.85)</f>
        <v>11233.85</v>
      </c>
      <c r="D4734" s="3">
        <f>IFERROR(__xludf.DUMMYFUNCTION("""COMPUTED_VALUE"""),11112.65)</f>
        <v>11112.65</v>
      </c>
      <c r="E4734" s="3">
        <f>IFERROR(__xludf.DUMMYFUNCTION("""COMPUTED_VALUE"""),11126.4)</f>
        <v>11126.4</v>
      </c>
      <c r="F4734" s="3">
        <f>IFERROR(__xludf.DUMMYFUNCTION("""COMPUTED_VALUE"""),0.0)</f>
        <v>0</v>
      </c>
    </row>
    <row r="4735">
      <c r="A4735" s="7">
        <f>IFERROR(__xludf.DUMMYFUNCTION("""COMPUTED_VALUE"""),43747.64583333333)</f>
        <v>43747.64583</v>
      </c>
      <c r="B4735" s="3">
        <f>IFERROR(__xludf.DUMMYFUNCTION("""COMPUTED_VALUE"""),11152.95)</f>
        <v>11152.95</v>
      </c>
      <c r="C4735" s="3">
        <f>IFERROR(__xludf.DUMMYFUNCTION("""COMPUTED_VALUE"""),11321.6)</f>
        <v>11321.6</v>
      </c>
      <c r="D4735" s="3">
        <f>IFERROR(__xludf.DUMMYFUNCTION("""COMPUTED_VALUE"""),11090.15)</f>
        <v>11090.15</v>
      </c>
      <c r="E4735" s="3">
        <f>IFERROR(__xludf.DUMMYFUNCTION("""COMPUTED_VALUE"""),11313.3)</f>
        <v>11313.3</v>
      </c>
      <c r="F4735" s="3">
        <f>IFERROR(__xludf.DUMMYFUNCTION("""COMPUTED_VALUE"""),0.0)</f>
        <v>0</v>
      </c>
    </row>
    <row r="4736">
      <c r="A4736" s="7">
        <f>IFERROR(__xludf.DUMMYFUNCTION("""COMPUTED_VALUE"""),43748.64583333333)</f>
        <v>43748.64583</v>
      </c>
      <c r="B4736" s="3">
        <f>IFERROR(__xludf.DUMMYFUNCTION("""COMPUTED_VALUE"""),11280.5)</f>
        <v>11280.5</v>
      </c>
      <c r="C4736" s="3">
        <f>IFERROR(__xludf.DUMMYFUNCTION("""COMPUTED_VALUE"""),11293.35)</f>
        <v>11293.35</v>
      </c>
      <c r="D4736" s="3">
        <f>IFERROR(__xludf.DUMMYFUNCTION("""COMPUTED_VALUE"""),11208.55)</f>
        <v>11208.55</v>
      </c>
      <c r="E4736" s="3">
        <f>IFERROR(__xludf.DUMMYFUNCTION("""COMPUTED_VALUE"""),11234.55)</f>
        <v>11234.55</v>
      </c>
      <c r="F4736" s="3">
        <f>IFERROR(__xludf.DUMMYFUNCTION("""COMPUTED_VALUE"""),0.0)</f>
        <v>0</v>
      </c>
    </row>
    <row r="4737">
      <c r="A4737" s="7">
        <f>IFERROR(__xludf.DUMMYFUNCTION("""COMPUTED_VALUE"""),43749.64583333333)</f>
        <v>43749.64583</v>
      </c>
      <c r="B4737" s="3">
        <f>IFERROR(__xludf.DUMMYFUNCTION("""COMPUTED_VALUE"""),11257.7)</f>
        <v>11257.7</v>
      </c>
      <c r="C4737" s="3">
        <f>IFERROR(__xludf.DUMMYFUNCTION("""COMPUTED_VALUE"""),11362.9)</f>
        <v>11362.9</v>
      </c>
      <c r="D4737" s="3">
        <f>IFERROR(__xludf.DUMMYFUNCTION("""COMPUTED_VALUE"""),11189.4)</f>
        <v>11189.4</v>
      </c>
      <c r="E4737" s="3">
        <f>IFERROR(__xludf.DUMMYFUNCTION("""COMPUTED_VALUE"""),11305.05)</f>
        <v>11305.05</v>
      </c>
      <c r="F4737" s="3">
        <f>IFERROR(__xludf.DUMMYFUNCTION("""COMPUTED_VALUE"""),0.0)</f>
        <v>0</v>
      </c>
    </row>
    <row r="4738">
      <c r="A4738" s="7">
        <f>IFERROR(__xludf.DUMMYFUNCTION("""COMPUTED_VALUE"""),43752.64583333333)</f>
        <v>43752.64583</v>
      </c>
      <c r="B4738" s="3">
        <f>IFERROR(__xludf.DUMMYFUNCTION("""COMPUTED_VALUE"""),11335.9)</f>
        <v>11335.9</v>
      </c>
      <c r="C4738" s="3">
        <f>IFERROR(__xludf.DUMMYFUNCTION("""COMPUTED_VALUE"""),11420.45)</f>
        <v>11420.45</v>
      </c>
      <c r="D4738" s="3">
        <f>IFERROR(__xludf.DUMMYFUNCTION("""COMPUTED_VALUE"""),11290.05)</f>
        <v>11290.05</v>
      </c>
      <c r="E4738" s="3">
        <f>IFERROR(__xludf.DUMMYFUNCTION("""COMPUTED_VALUE"""),11341.15)</f>
        <v>11341.15</v>
      </c>
      <c r="F4738" s="3">
        <f>IFERROR(__xludf.DUMMYFUNCTION("""COMPUTED_VALUE"""),0.0)</f>
        <v>0</v>
      </c>
    </row>
    <row r="4739">
      <c r="A4739" s="7">
        <f>IFERROR(__xludf.DUMMYFUNCTION("""COMPUTED_VALUE"""),43753.64583333333)</f>
        <v>43753.64583</v>
      </c>
      <c r="B4739" s="3">
        <f>IFERROR(__xludf.DUMMYFUNCTION("""COMPUTED_VALUE"""),11360.85)</f>
        <v>11360.85</v>
      </c>
      <c r="C4739" s="3">
        <f>IFERROR(__xludf.DUMMYFUNCTION("""COMPUTED_VALUE"""),11462.35)</f>
        <v>11462.35</v>
      </c>
      <c r="D4739" s="3">
        <f>IFERROR(__xludf.DUMMYFUNCTION("""COMPUTED_VALUE"""),11342.1)</f>
        <v>11342.1</v>
      </c>
      <c r="E4739" s="3">
        <f>IFERROR(__xludf.DUMMYFUNCTION("""COMPUTED_VALUE"""),11428.3)</f>
        <v>11428.3</v>
      </c>
      <c r="F4739" s="3">
        <f>IFERROR(__xludf.DUMMYFUNCTION("""COMPUTED_VALUE"""),0.0)</f>
        <v>0</v>
      </c>
    </row>
    <row r="4740">
      <c r="A4740" s="7">
        <f>IFERROR(__xludf.DUMMYFUNCTION("""COMPUTED_VALUE"""),43754.64583333333)</f>
        <v>43754.64583</v>
      </c>
      <c r="B4740" s="3">
        <f>IFERROR(__xludf.DUMMYFUNCTION("""COMPUTED_VALUE"""),11464.95)</f>
        <v>11464.95</v>
      </c>
      <c r="C4740" s="3">
        <f>IFERROR(__xludf.DUMMYFUNCTION("""COMPUTED_VALUE"""),11481.05)</f>
        <v>11481.05</v>
      </c>
      <c r="D4740" s="3">
        <f>IFERROR(__xludf.DUMMYFUNCTION("""COMPUTED_VALUE"""),11411.1)</f>
        <v>11411.1</v>
      </c>
      <c r="E4740" s="3">
        <f>IFERROR(__xludf.DUMMYFUNCTION("""COMPUTED_VALUE"""),11464.0)</f>
        <v>11464</v>
      </c>
      <c r="F4740" s="3">
        <f>IFERROR(__xludf.DUMMYFUNCTION("""COMPUTED_VALUE"""),0.0)</f>
        <v>0</v>
      </c>
    </row>
    <row r="4741">
      <c r="A4741" s="7">
        <f>IFERROR(__xludf.DUMMYFUNCTION("""COMPUTED_VALUE"""),43755.64583333333)</f>
        <v>43755.64583</v>
      </c>
      <c r="B4741" s="3">
        <f>IFERROR(__xludf.DUMMYFUNCTION("""COMPUTED_VALUE"""),11466.3)</f>
        <v>11466.3</v>
      </c>
      <c r="C4741" s="3">
        <f>IFERROR(__xludf.DUMMYFUNCTION("""COMPUTED_VALUE"""),11599.1)</f>
        <v>11599.1</v>
      </c>
      <c r="D4741" s="3">
        <f>IFERROR(__xludf.DUMMYFUNCTION("""COMPUTED_VALUE"""),11439.65)</f>
        <v>11439.65</v>
      </c>
      <c r="E4741" s="3">
        <f>IFERROR(__xludf.DUMMYFUNCTION("""COMPUTED_VALUE"""),11586.35)</f>
        <v>11586.35</v>
      </c>
      <c r="F4741" s="3">
        <f>IFERROR(__xludf.DUMMYFUNCTION("""COMPUTED_VALUE"""),0.0)</f>
        <v>0</v>
      </c>
    </row>
    <row r="4742">
      <c r="A4742" s="7">
        <f>IFERROR(__xludf.DUMMYFUNCTION("""COMPUTED_VALUE"""),43756.64583333333)</f>
        <v>43756.64583</v>
      </c>
      <c r="B4742" s="3">
        <f>IFERROR(__xludf.DUMMYFUNCTION("""COMPUTED_VALUE"""),11580.3)</f>
        <v>11580.3</v>
      </c>
      <c r="C4742" s="3">
        <f>IFERROR(__xludf.DUMMYFUNCTION("""COMPUTED_VALUE"""),11684.7)</f>
        <v>11684.7</v>
      </c>
      <c r="D4742" s="3">
        <f>IFERROR(__xludf.DUMMYFUNCTION("""COMPUTED_VALUE"""),11553.15)</f>
        <v>11553.15</v>
      </c>
      <c r="E4742" s="3">
        <f>IFERROR(__xludf.DUMMYFUNCTION("""COMPUTED_VALUE"""),11661.85)</f>
        <v>11661.85</v>
      </c>
      <c r="F4742" s="3">
        <f>IFERROR(__xludf.DUMMYFUNCTION("""COMPUTED_VALUE"""),0.0)</f>
        <v>0</v>
      </c>
    </row>
    <row r="4743">
      <c r="A4743" s="7">
        <f>IFERROR(__xludf.DUMMYFUNCTION("""COMPUTED_VALUE"""),43760.64583333333)</f>
        <v>43760.64583</v>
      </c>
      <c r="B4743" s="3">
        <f>IFERROR(__xludf.DUMMYFUNCTION("""COMPUTED_VALUE"""),11657.15)</f>
        <v>11657.15</v>
      </c>
      <c r="C4743" s="3">
        <f>IFERROR(__xludf.DUMMYFUNCTION("""COMPUTED_VALUE"""),11714.35)</f>
        <v>11714.35</v>
      </c>
      <c r="D4743" s="3">
        <f>IFERROR(__xludf.DUMMYFUNCTION("""COMPUTED_VALUE"""),11573.65)</f>
        <v>11573.65</v>
      </c>
      <c r="E4743" s="3">
        <f>IFERROR(__xludf.DUMMYFUNCTION("""COMPUTED_VALUE"""),11588.35)</f>
        <v>11588.35</v>
      </c>
      <c r="F4743" s="3">
        <f>IFERROR(__xludf.DUMMYFUNCTION("""COMPUTED_VALUE"""),0.0)</f>
        <v>0</v>
      </c>
    </row>
    <row r="4744">
      <c r="A4744" s="7">
        <f>IFERROR(__xludf.DUMMYFUNCTION("""COMPUTED_VALUE"""),43761.64583333333)</f>
        <v>43761.64583</v>
      </c>
      <c r="B4744" s="3">
        <f>IFERROR(__xludf.DUMMYFUNCTION("""COMPUTED_VALUE"""),11596.2)</f>
        <v>11596.2</v>
      </c>
      <c r="C4744" s="3">
        <f>IFERROR(__xludf.DUMMYFUNCTION("""COMPUTED_VALUE"""),11651.6)</f>
        <v>11651.6</v>
      </c>
      <c r="D4744" s="3">
        <f>IFERROR(__xludf.DUMMYFUNCTION("""COMPUTED_VALUE"""),11554.4)</f>
        <v>11554.4</v>
      </c>
      <c r="E4744" s="3">
        <f>IFERROR(__xludf.DUMMYFUNCTION("""COMPUTED_VALUE"""),11604.1)</f>
        <v>11604.1</v>
      </c>
      <c r="F4744" s="3">
        <f>IFERROR(__xludf.DUMMYFUNCTION("""COMPUTED_VALUE"""),0.0)</f>
        <v>0</v>
      </c>
    </row>
    <row r="4745">
      <c r="A4745" s="7">
        <f>IFERROR(__xludf.DUMMYFUNCTION("""COMPUTED_VALUE"""),43762.64583333333)</f>
        <v>43762.64583</v>
      </c>
      <c r="B4745" s="3">
        <f>IFERROR(__xludf.DUMMYFUNCTION("""COMPUTED_VALUE"""),11661.65)</f>
        <v>11661.65</v>
      </c>
      <c r="C4745" s="3">
        <f>IFERROR(__xludf.DUMMYFUNCTION("""COMPUTED_VALUE"""),11679.6)</f>
        <v>11679.6</v>
      </c>
      <c r="D4745" s="3">
        <f>IFERROR(__xludf.DUMMYFUNCTION("""COMPUTED_VALUE"""),11534.65)</f>
        <v>11534.65</v>
      </c>
      <c r="E4745" s="3">
        <f>IFERROR(__xludf.DUMMYFUNCTION("""COMPUTED_VALUE"""),11582.6)</f>
        <v>11582.6</v>
      </c>
      <c r="F4745" s="3">
        <f>IFERROR(__xludf.DUMMYFUNCTION("""COMPUTED_VALUE"""),0.0)</f>
        <v>0</v>
      </c>
    </row>
    <row r="4746">
      <c r="A4746" s="7">
        <f>IFERROR(__xludf.DUMMYFUNCTION("""COMPUTED_VALUE"""),43763.79166666667)</f>
        <v>43763.79167</v>
      </c>
      <c r="B4746" s="3">
        <f>IFERROR(__xludf.DUMMYFUNCTION("""COMPUTED_VALUE"""),11646.15)</f>
        <v>11646.15</v>
      </c>
      <c r="C4746" s="3">
        <f>IFERROR(__xludf.DUMMYFUNCTION("""COMPUTED_VALUE"""),11646.9)</f>
        <v>11646.9</v>
      </c>
      <c r="D4746" s="3">
        <f>IFERROR(__xludf.DUMMYFUNCTION("""COMPUTED_VALUE"""),11490.75)</f>
        <v>11490.75</v>
      </c>
      <c r="E4746" s="3">
        <f>IFERROR(__xludf.DUMMYFUNCTION("""COMPUTED_VALUE"""),11583.9)</f>
        <v>11583.9</v>
      </c>
      <c r="F4746" s="3">
        <f>IFERROR(__xludf.DUMMYFUNCTION("""COMPUTED_VALUE"""),0.0)</f>
        <v>0</v>
      </c>
    </row>
    <row r="4747">
      <c r="A4747" s="7">
        <f>IFERROR(__xludf.DUMMYFUNCTION("""COMPUTED_VALUE"""),43765.80902777778)</f>
        <v>43765.80903</v>
      </c>
      <c r="B4747" s="3">
        <f>IFERROR(__xludf.DUMMYFUNCTION("""COMPUTED_VALUE"""),11662.25)</f>
        <v>11662.25</v>
      </c>
      <c r="C4747" s="3">
        <f>IFERROR(__xludf.DUMMYFUNCTION("""COMPUTED_VALUE"""),11672.4)</f>
        <v>11672.4</v>
      </c>
      <c r="D4747" s="3">
        <f>IFERROR(__xludf.DUMMYFUNCTION("""COMPUTED_VALUE"""),11604.6)</f>
        <v>11604.6</v>
      </c>
      <c r="E4747" s="3">
        <f>IFERROR(__xludf.DUMMYFUNCTION("""COMPUTED_VALUE"""),11627.15)</f>
        <v>11627.15</v>
      </c>
      <c r="F4747" s="3">
        <f>IFERROR(__xludf.DUMMYFUNCTION("""COMPUTED_VALUE"""),0.0)</f>
        <v>0</v>
      </c>
    </row>
    <row r="4748">
      <c r="A4748" s="7">
        <f>IFERROR(__xludf.DUMMYFUNCTION("""COMPUTED_VALUE"""),43767.64583333333)</f>
        <v>43767.64583</v>
      </c>
      <c r="B4748" s="3">
        <f>IFERROR(__xludf.DUMMYFUNCTION("""COMPUTED_VALUE"""),11643.95)</f>
        <v>11643.95</v>
      </c>
      <c r="C4748" s="3">
        <f>IFERROR(__xludf.DUMMYFUNCTION("""COMPUTED_VALUE"""),11809.4)</f>
        <v>11809.4</v>
      </c>
      <c r="D4748" s="3">
        <f>IFERROR(__xludf.DUMMYFUNCTION("""COMPUTED_VALUE"""),11627.35)</f>
        <v>11627.35</v>
      </c>
      <c r="E4748" s="3">
        <f>IFERROR(__xludf.DUMMYFUNCTION("""COMPUTED_VALUE"""),11786.85)</f>
        <v>11786.85</v>
      </c>
      <c r="F4748" s="3">
        <f>IFERROR(__xludf.DUMMYFUNCTION("""COMPUTED_VALUE"""),0.0)</f>
        <v>0</v>
      </c>
    </row>
    <row r="4749">
      <c r="A4749" s="7">
        <f>IFERROR(__xludf.DUMMYFUNCTION("""COMPUTED_VALUE"""),43768.64583333333)</f>
        <v>43768.64583</v>
      </c>
      <c r="B4749" s="3">
        <f>IFERROR(__xludf.DUMMYFUNCTION("""COMPUTED_VALUE"""),11883.9)</f>
        <v>11883.9</v>
      </c>
      <c r="C4749" s="3">
        <f>IFERROR(__xludf.DUMMYFUNCTION("""COMPUTED_VALUE"""),11883.95)</f>
        <v>11883.95</v>
      </c>
      <c r="D4749" s="3">
        <f>IFERROR(__xludf.DUMMYFUNCTION("""COMPUTED_VALUE"""),11784.45)</f>
        <v>11784.45</v>
      </c>
      <c r="E4749" s="3">
        <f>IFERROR(__xludf.DUMMYFUNCTION("""COMPUTED_VALUE"""),11844.1)</f>
        <v>11844.1</v>
      </c>
      <c r="F4749" s="3">
        <f>IFERROR(__xludf.DUMMYFUNCTION("""COMPUTED_VALUE"""),0.0)</f>
        <v>0</v>
      </c>
    </row>
    <row r="4750">
      <c r="A4750" s="7">
        <f>IFERROR(__xludf.DUMMYFUNCTION("""COMPUTED_VALUE"""),43769.64583333333)</f>
        <v>43769.64583</v>
      </c>
      <c r="B4750" s="3">
        <f>IFERROR(__xludf.DUMMYFUNCTION("""COMPUTED_VALUE"""),11890.45)</f>
        <v>11890.45</v>
      </c>
      <c r="C4750" s="3">
        <f>IFERROR(__xludf.DUMMYFUNCTION("""COMPUTED_VALUE"""),11945.0)</f>
        <v>11945</v>
      </c>
      <c r="D4750" s="3">
        <f>IFERROR(__xludf.DUMMYFUNCTION("""COMPUTED_VALUE"""),11855.1)</f>
        <v>11855.1</v>
      </c>
      <c r="E4750" s="3">
        <f>IFERROR(__xludf.DUMMYFUNCTION("""COMPUTED_VALUE"""),11877.45)</f>
        <v>11877.45</v>
      </c>
      <c r="F4750" s="3">
        <f>IFERROR(__xludf.DUMMYFUNCTION("""COMPUTED_VALUE"""),0.0)</f>
        <v>0</v>
      </c>
    </row>
    <row r="4751">
      <c r="A4751" s="7">
        <f>IFERROR(__xludf.DUMMYFUNCTION("""COMPUTED_VALUE"""),43770.64583333333)</f>
        <v>43770.64583</v>
      </c>
      <c r="B4751" s="3">
        <f>IFERROR(__xludf.DUMMYFUNCTION("""COMPUTED_VALUE"""),11886.6)</f>
        <v>11886.6</v>
      </c>
      <c r="C4751" s="3">
        <f>IFERROR(__xludf.DUMMYFUNCTION("""COMPUTED_VALUE"""),11918.3)</f>
        <v>11918.3</v>
      </c>
      <c r="D4751" s="3">
        <f>IFERROR(__xludf.DUMMYFUNCTION("""COMPUTED_VALUE"""),11843.35)</f>
        <v>11843.35</v>
      </c>
      <c r="E4751" s="3">
        <f>IFERROR(__xludf.DUMMYFUNCTION("""COMPUTED_VALUE"""),11890.6)</f>
        <v>11890.6</v>
      </c>
      <c r="F4751" s="3">
        <f>IFERROR(__xludf.DUMMYFUNCTION("""COMPUTED_VALUE"""),0.0)</f>
        <v>0</v>
      </c>
    </row>
    <row r="4752">
      <c r="A4752" s="7">
        <f>IFERROR(__xludf.DUMMYFUNCTION("""COMPUTED_VALUE"""),43773.64583333333)</f>
        <v>43773.64583</v>
      </c>
      <c r="B4752" s="3">
        <f>IFERROR(__xludf.DUMMYFUNCTION("""COMPUTED_VALUE"""),11928.9)</f>
        <v>11928.9</v>
      </c>
      <c r="C4752" s="3">
        <f>IFERROR(__xludf.DUMMYFUNCTION("""COMPUTED_VALUE"""),11989.15)</f>
        <v>11989.15</v>
      </c>
      <c r="D4752" s="3">
        <f>IFERROR(__xludf.DUMMYFUNCTION("""COMPUTED_VALUE"""),11905.35)</f>
        <v>11905.35</v>
      </c>
      <c r="E4752" s="3">
        <f>IFERROR(__xludf.DUMMYFUNCTION("""COMPUTED_VALUE"""),11941.3)</f>
        <v>11941.3</v>
      </c>
      <c r="F4752" s="3">
        <f>IFERROR(__xludf.DUMMYFUNCTION("""COMPUTED_VALUE"""),0.0)</f>
        <v>0</v>
      </c>
    </row>
    <row r="4753">
      <c r="A4753" s="7">
        <f>IFERROR(__xludf.DUMMYFUNCTION("""COMPUTED_VALUE"""),43774.64583333333)</f>
        <v>43774.64583</v>
      </c>
      <c r="B4753" s="3">
        <f>IFERROR(__xludf.DUMMYFUNCTION("""COMPUTED_VALUE"""),11974.6)</f>
        <v>11974.6</v>
      </c>
      <c r="C4753" s="3">
        <f>IFERROR(__xludf.DUMMYFUNCTION("""COMPUTED_VALUE"""),11978.95)</f>
        <v>11978.95</v>
      </c>
      <c r="D4753" s="3">
        <f>IFERROR(__xludf.DUMMYFUNCTION("""COMPUTED_VALUE"""),11861.9)</f>
        <v>11861.9</v>
      </c>
      <c r="E4753" s="3">
        <f>IFERROR(__xludf.DUMMYFUNCTION("""COMPUTED_VALUE"""),11917.2)</f>
        <v>11917.2</v>
      </c>
      <c r="F4753" s="3">
        <f>IFERROR(__xludf.DUMMYFUNCTION("""COMPUTED_VALUE"""),0.0)</f>
        <v>0</v>
      </c>
    </row>
    <row r="4754">
      <c r="A4754" s="7">
        <f>IFERROR(__xludf.DUMMYFUNCTION("""COMPUTED_VALUE"""),43775.64583333333)</f>
        <v>43775.64583</v>
      </c>
      <c r="B4754" s="3">
        <f>IFERROR(__xludf.DUMMYFUNCTION("""COMPUTED_VALUE"""),11911.5)</f>
        <v>11911.5</v>
      </c>
      <c r="C4754" s="3">
        <f>IFERROR(__xludf.DUMMYFUNCTION("""COMPUTED_VALUE"""),12002.9)</f>
        <v>12002.9</v>
      </c>
      <c r="D4754" s="3">
        <f>IFERROR(__xludf.DUMMYFUNCTION("""COMPUTED_VALUE"""),11850.25)</f>
        <v>11850.25</v>
      </c>
      <c r="E4754" s="3">
        <f>IFERROR(__xludf.DUMMYFUNCTION("""COMPUTED_VALUE"""),11966.05)</f>
        <v>11966.05</v>
      </c>
      <c r="F4754" s="3">
        <f>IFERROR(__xludf.DUMMYFUNCTION("""COMPUTED_VALUE"""),0.0)</f>
        <v>0</v>
      </c>
    </row>
    <row r="4755">
      <c r="A4755" s="7">
        <f>IFERROR(__xludf.DUMMYFUNCTION("""COMPUTED_VALUE"""),43776.64583333333)</f>
        <v>43776.64583</v>
      </c>
      <c r="B4755" s="3">
        <f>IFERROR(__xludf.DUMMYFUNCTION("""COMPUTED_VALUE"""),12021.1)</f>
        <v>12021.1</v>
      </c>
      <c r="C4755" s="3">
        <f>IFERROR(__xludf.DUMMYFUNCTION("""COMPUTED_VALUE"""),12021.4)</f>
        <v>12021.4</v>
      </c>
      <c r="D4755" s="3">
        <f>IFERROR(__xludf.DUMMYFUNCTION("""COMPUTED_VALUE"""),11946.85)</f>
        <v>11946.85</v>
      </c>
      <c r="E4755" s="3">
        <f>IFERROR(__xludf.DUMMYFUNCTION("""COMPUTED_VALUE"""),12012.05)</f>
        <v>12012.05</v>
      </c>
      <c r="F4755" s="3">
        <f>IFERROR(__xludf.DUMMYFUNCTION("""COMPUTED_VALUE"""),0.0)</f>
        <v>0</v>
      </c>
    </row>
    <row r="4756">
      <c r="A4756" s="7">
        <f>IFERROR(__xludf.DUMMYFUNCTION("""COMPUTED_VALUE"""),43777.64583333333)</f>
        <v>43777.64583</v>
      </c>
      <c r="B4756" s="3">
        <f>IFERROR(__xludf.DUMMYFUNCTION("""COMPUTED_VALUE"""),11987.15)</f>
        <v>11987.15</v>
      </c>
      <c r="C4756" s="3">
        <f>IFERROR(__xludf.DUMMYFUNCTION("""COMPUTED_VALUE"""),12034.15)</f>
        <v>12034.15</v>
      </c>
      <c r="D4756" s="3">
        <f>IFERROR(__xludf.DUMMYFUNCTION("""COMPUTED_VALUE"""),11888.75)</f>
        <v>11888.75</v>
      </c>
      <c r="E4756" s="3">
        <f>IFERROR(__xludf.DUMMYFUNCTION("""COMPUTED_VALUE"""),11908.15)</f>
        <v>11908.15</v>
      </c>
      <c r="F4756" s="3">
        <f>IFERROR(__xludf.DUMMYFUNCTION("""COMPUTED_VALUE"""),0.0)</f>
        <v>0</v>
      </c>
    </row>
    <row r="4757">
      <c r="A4757" s="7">
        <f>IFERROR(__xludf.DUMMYFUNCTION("""COMPUTED_VALUE"""),43780.64583333333)</f>
        <v>43780.64583</v>
      </c>
      <c r="B4757" s="3">
        <f>IFERROR(__xludf.DUMMYFUNCTION("""COMPUTED_VALUE"""),11879.2)</f>
        <v>11879.2</v>
      </c>
      <c r="C4757" s="3">
        <f>IFERROR(__xludf.DUMMYFUNCTION("""COMPUTED_VALUE"""),11932.65)</f>
        <v>11932.65</v>
      </c>
      <c r="D4757" s="3">
        <f>IFERROR(__xludf.DUMMYFUNCTION("""COMPUTED_VALUE"""),11853.95)</f>
        <v>11853.95</v>
      </c>
      <c r="E4757" s="3">
        <f>IFERROR(__xludf.DUMMYFUNCTION("""COMPUTED_VALUE"""),11913.45)</f>
        <v>11913.45</v>
      </c>
      <c r="F4757" s="3">
        <f>IFERROR(__xludf.DUMMYFUNCTION("""COMPUTED_VALUE"""),0.0)</f>
        <v>0</v>
      </c>
    </row>
    <row r="4758">
      <c r="A4758" s="7">
        <f>IFERROR(__xludf.DUMMYFUNCTION("""COMPUTED_VALUE"""),43782.64583333333)</f>
        <v>43782.64583</v>
      </c>
      <c r="B4758" s="3">
        <f>IFERROR(__xludf.DUMMYFUNCTION("""COMPUTED_VALUE"""),11908.3)</f>
        <v>11908.3</v>
      </c>
      <c r="C4758" s="3">
        <f>IFERROR(__xludf.DUMMYFUNCTION("""COMPUTED_VALUE"""),11946.8)</f>
        <v>11946.8</v>
      </c>
      <c r="D4758" s="3">
        <f>IFERROR(__xludf.DUMMYFUNCTION("""COMPUTED_VALUE"""),11823.2)</f>
        <v>11823.2</v>
      </c>
      <c r="E4758" s="3">
        <f>IFERROR(__xludf.DUMMYFUNCTION("""COMPUTED_VALUE"""),11840.45)</f>
        <v>11840.45</v>
      </c>
      <c r="F4758" s="3">
        <f>IFERROR(__xludf.DUMMYFUNCTION("""COMPUTED_VALUE"""),0.0)</f>
        <v>0</v>
      </c>
    </row>
    <row r="4759">
      <c r="A4759" s="7">
        <f>IFERROR(__xludf.DUMMYFUNCTION("""COMPUTED_VALUE"""),43783.64583333333)</f>
        <v>43783.64583</v>
      </c>
      <c r="B4759" s="3">
        <f>IFERROR(__xludf.DUMMYFUNCTION("""COMPUTED_VALUE"""),11858.75)</f>
        <v>11858.75</v>
      </c>
      <c r="C4759" s="3">
        <f>IFERROR(__xludf.DUMMYFUNCTION("""COMPUTED_VALUE"""),11895.65)</f>
        <v>11895.65</v>
      </c>
      <c r="D4759" s="3">
        <f>IFERROR(__xludf.DUMMYFUNCTION("""COMPUTED_VALUE"""),11802.65)</f>
        <v>11802.65</v>
      </c>
      <c r="E4759" s="3">
        <f>IFERROR(__xludf.DUMMYFUNCTION("""COMPUTED_VALUE"""),11872.1)</f>
        <v>11872.1</v>
      </c>
      <c r="F4759" s="3">
        <f>IFERROR(__xludf.DUMMYFUNCTION("""COMPUTED_VALUE"""),0.0)</f>
        <v>0</v>
      </c>
    </row>
    <row r="4760">
      <c r="A4760" s="7">
        <f>IFERROR(__xludf.DUMMYFUNCTION("""COMPUTED_VALUE"""),43784.64583333333)</f>
        <v>43784.64583</v>
      </c>
      <c r="B4760" s="3">
        <f>IFERROR(__xludf.DUMMYFUNCTION("""COMPUTED_VALUE"""),11904.2)</f>
        <v>11904.2</v>
      </c>
      <c r="C4760" s="3">
        <f>IFERROR(__xludf.DUMMYFUNCTION("""COMPUTED_VALUE"""),11973.65)</f>
        <v>11973.65</v>
      </c>
      <c r="D4760" s="3">
        <f>IFERROR(__xludf.DUMMYFUNCTION("""COMPUTED_VALUE"""),11879.25)</f>
        <v>11879.25</v>
      </c>
      <c r="E4760" s="3">
        <f>IFERROR(__xludf.DUMMYFUNCTION("""COMPUTED_VALUE"""),11895.45)</f>
        <v>11895.45</v>
      </c>
      <c r="F4760" s="3">
        <f>IFERROR(__xludf.DUMMYFUNCTION("""COMPUTED_VALUE"""),0.0)</f>
        <v>0</v>
      </c>
    </row>
    <row r="4761">
      <c r="A4761" s="7">
        <f>IFERROR(__xludf.DUMMYFUNCTION("""COMPUTED_VALUE"""),43787.64583333333)</f>
        <v>43787.64583</v>
      </c>
      <c r="B4761" s="3">
        <f>IFERROR(__xludf.DUMMYFUNCTION("""COMPUTED_VALUE"""),11915.15)</f>
        <v>11915.15</v>
      </c>
      <c r="C4761" s="3">
        <f>IFERROR(__xludf.DUMMYFUNCTION("""COMPUTED_VALUE"""),11946.2)</f>
        <v>11946.2</v>
      </c>
      <c r="D4761" s="3">
        <f>IFERROR(__xludf.DUMMYFUNCTION("""COMPUTED_VALUE"""),11867.6)</f>
        <v>11867.6</v>
      </c>
      <c r="E4761" s="3">
        <f>IFERROR(__xludf.DUMMYFUNCTION("""COMPUTED_VALUE"""),11884.5)</f>
        <v>11884.5</v>
      </c>
      <c r="F4761" s="3">
        <f>IFERROR(__xludf.DUMMYFUNCTION("""COMPUTED_VALUE"""),0.0)</f>
        <v>0</v>
      </c>
    </row>
    <row r="4762">
      <c r="A4762" s="7">
        <f>IFERROR(__xludf.DUMMYFUNCTION("""COMPUTED_VALUE"""),43788.64583333333)</f>
        <v>43788.64583</v>
      </c>
      <c r="B4762" s="3">
        <f>IFERROR(__xludf.DUMMYFUNCTION("""COMPUTED_VALUE"""),11919.45)</f>
        <v>11919.45</v>
      </c>
      <c r="C4762" s="3">
        <f>IFERROR(__xludf.DUMMYFUNCTION("""COMPUTED_VALUE"""),11958.85)</f>
        <v>11958.85</v>
      </c>
      <c r="D4762" s="3">
        <f>IFERROR(__xludf.DUMMYFUNCTION("""COMPUTED_VALUE"""),11881.75)</f>
        <v>11881.75</v>
      </c>
      <c r="E4762" s="3">
        <f>IFERROR(__xludf.DUMMYFUNCTION("""COMPUTED_VALUE"""),11940.1)</f>
        <v>11940.1</v>
      </c>
      <c r="F4762" s="3">
        <f>IFERROR(__xludf.DUMMYFUNCTION("""COMPUTED_VALUE"""),0.0)</f>
        <v>0</v>
      </c>
    </row>
    <row r="4763">
      <c r="A4763" s="7">
        <f>IFERROR(__xludf.DUMMYFUNCTION("""COMPUTED_VALUE"""),43789.64583333333)</f>
        <v>43789.64583</v>
      </c>
      <c r="B4763" s="3">
        <f>IFERROR(__xludf.DUMMYFUNCTION("""COMPUTED_VALUE"""),12004.75)</f>
        <v>12004.75</v>
      </c>
      <c r="C4763" s="3">
        <f>IFERROR(__xludf.DUMMYFUNCTION("""COMPUTED_VALUE"""),12038.6)</f>
        <v>12038.6</v>
      </c>
      <c r="D4763" s="3">
        <f>IFERROR(__xludf.DUMMYFUNCTION("""COMPUTED_VALUE"""),11966.05)</f>
        <v>11966.05</v>
      </c>
      <c r="E4763" s="3">
        <f>IFERROR(__xludf.DUMMYFUNCTION("""COMPUTED_VALUE"""),11999.1)</f>
        <v>11999.1</v>
      </c>
      <c r="F4763" s="3">
        <f>IFERROR(__xludf.DUMMYFUNCTION("""COMPUTED_VALUE"""),0.0)</f>
        <v>0</v>
      </c>
    </row>
    <row r="4764">
      <c r="A4764" s="7">
        <f>IFERROR(__xludf.DUMMYFUNCTION("""COMPUTED_VALUE"""),43790.64583333333)</f>
        <v>43790.64583</v>
      </c>
      <c r="B4764" s="3">
        <f>IFERROR(__xludf.DUMMYFUNCTION("""COMPUTED_VALUE"""),12025.65)</f>
        <v>12025.65</v>
      </c>
      <c r="C4764" s="3">
        <f>IFERROR(__xludf.DUMMYFUNCTION("""COMPUTED_VALUE"""),12028.2)</f>
        <v>12028.2</v>
      </c>
      <c r="D4764" s="3">
        <f>IFERROR(__xludf.DUMMYFUNCTION("""COMPUTED_VALUE"""),11956.9)</f>
        <v>11956.9</v>
      </c>
      <c r="E4764" s="3">
        <f>IFERROR(__xludf.DUMMYFUNCTION("""COMPUTED_VALUE"""),11968.4)</f>
        <v>11968.4</v>
      </c>
      <c r="F4764" s="3">
        <f>IFERROR(__xludf.DUMMYFUNCTION("""COMPUTED_VALUE"""),0.0)</f>
        <v>0</v>
      </c>
    </row>
    <row r="4765">
      <c r="A4765" s="7">
        <f>IFERROR(__xludf.DUMMYFUNCTION("""COMPUTED_VALUE"""),43791.64583333333)</f>
        <v>43791.64583</v>
      </c>
      <c r="B4765" s="3">
        <f>IFERROR(__xludf.DUMMYFUNCTION("""COMPUTED_VALUE"""),11967.3)</f>
        <v>11967.3</v>
      </c>
      <c r="C4765" s="3">
        <f>IFERROR(__xludf.DUMMYFUNCTION("""COMPUTED_VALUE"""),11968.1)</f>
        <v>11968.1</v>
      </c>
      <c r="D4765" s="3">
        <f>IFERROR(__xludf.DUMMYFUNCTION("""COMPUTED_VALUE"""),11883.5)</f>
        <v>11883.5</v>
      </c>
      <c r="E4765" s="3">
        <f>IFERROR(__xludf.DUMMYFUNCTION("""COMPUTED_VALUE"""),11914.4)</f>
        <v>11914.4</v>
      </c>
      <c r="F4765" s="3">
        <f>IFERROR(__xludf.DUMMYFUNCTION("""COMPUTED_VALUE"""),0.0)</f>
        <v>0</v>
      </c>
    </row>
    <row r="4766">
      <c r="A4766" s="7">
        <f>IFERROR(__xludf.DUMMYFUNCTION("""COMPUTED_VALUE"""),43794.64583333333)</f>
        <v>43794.64583</v>
      </c>
      <c r="B4766" s="3">
        <f>IFERROR(__xludf.DUMMYFUNCTION("""COMPUTED_VALUE"""),11922.45)</f>
        <v>11922.45</v>
      </c>
      <c r="C4766" s="3">
        <f>IFERROR(__xludf.DUMMYFUNCTION("""COMPUTED_VALUE"""),12084.5)</f>
        <v>12084.5</v>
      </c>
      <c r="D4766" s="3">
        <f>IFERROR(__xludf.DUMMYFUNCTION("""COMPUTED_VALUE"""),11919.75)</f>
        <v>11919.75</v>
      </c>
      <c r="E4766" s="3">
        <f>IFERROR(__xludf.DUMMYFUNCTION("""COMPUTED_VALUE"""),12073.75)</f>
        <v>12073.75</v>
      </c>
      <c r="F4766" s="3">
        <f>IFERROR(__xludf.DUMMYFUNCTION("""COMPUTED_VALUE"""),0.0)</f>
        <v>0</v>
      </c>
    </row>
    <row r="4767">
      <c r="A4767" s="7">
        <f>IFERROR(__xludf.DUMMYFUNCTION("""COMPUTED_VALUE"""),43795.64583333333)</f>
        <v>43795.64583</v>
      </c>
      <c r="B4767" s="3">
        <f>IFERROR(__xludf.DUMMYFUNCTION("""COMPUTED_VALUE"""),12110.2)</f>
        <v>12110.2</v>
      </c>
      <c r="C4767" s="3">
        <f>IFERROR(__xludf.DUMMYFUNCTION("""COMPUTED_VALUE"""),12132.45)</f>
        <v>12132.45</v>
      </c>
      <c r="D4767" s="3">
        <f>IFERROR(__xludf.DUMMYFUNCTION("""COMPUTED_VALUE"""),12006.35)</f>
        <v>12006.35</v>
      </c>
      <c r="E4767" s="3">
        <f>IFERROR(__xludf.DUMMYFUNCTION("""COMPUTED_VALUE"""),12037.7)</f>
        <v>12037.7</v>
      </c>
      <c r="F4767" s="3">
        <f>IFERROR(__xludf.DUMMYFUNCTION("""COMPUTED_VALUE"""),0.0)</f>
        <v>0</v>
      </c>
    </row>
    <row r="4768">
      <c r="A4768" s="7">
        <f>IFERROR(__xludf.DUMMYFUNCTION("""COMPUTED_VALUE"""),43796.64583333333)</f>
        <v>43796.64583</v>
      </c>
      <c r="B4768" s="3">
        <f>IFERROR(__xludf.DUMMYFUNCTION("""COMPUTED_VALUE"""),12068.5)</f>
        <v>12068.5</v>
      </c>
      <c r="C4768" s="3">
        <f>IFERROR(__xludf.DUMMYFUNCTION("""COMPUTED_VALUE"""),12114.9)</f>
        <v>12114.9</v>
      </c>
      <c r="D4768" s="3">
        <f>IFERROR(__xludf.DUMMYFUNCTION("""COMPUTED_VALUE"""),12055.15)</f>
        <v>12055.15</v>
      </c>
      <c r="E4768" s="3">
        <f>IFERROR(__xludf.DUMMYFUNCTION("""COMPUTED_VALUE"""),12100.7)</f>
        <v>12100.7</v>
      </c>
      <c r="F4768" s="3">
        <f>IFERROR(__xludf.DUMMYFUNCTION("""COMPUTED_VALUE"""),0.0)</f>
        <v>0</v>
      </c>
    </row>
    <row r="4769">
      <c r="A4769" s="7">
        <f>IFERROR(__xludf.DUMMYFUNCTION("""COMPUTED_VALUE"""),43797.64583333333)</f>
        <v>43797.64583</v>
      </c>
      <c r="B4769" s="3">
        <f>IFERROR(__xludf.DUMMYFUNCTION("""COMPUTED_VALUE"""),12132.1)</f>
        <v>12132.1</v>
      </c>
      <c r="C4769" s="3">
        <f>IFERROR(__xludf.DUMMYFUNCTION("""COMPUTED_VALUE"""),12158.8)</f>
        <v>12158.8</v>
      </c>
      <c r="D4769" s="3">
        <f>IFERROR(__xludf.DUMMYFUNCTION("""COMPUTED_VALUE"""),12099.95)</f>
        <v>12099.95</v>
      </c>
      <c r="E4769" s="3">
        <f>IFERROR(__xludf.DUMMYFUNCTION("""COMPUTED_VALUE"""),12151.15)</f>
        <v>12151.15</v>
      </c>
      <c r="F4769" s="3">
        <f>IFERROR(__xludf.DUMMYFUNCTION("""COMPUTED_VALUE"""),0.0)</f>
        <v>0</v>
      </c>
    </row>
    <row r="4770">
      <c r="A4770" s="7">
        <f>IFERROR(__xludf.DUMMYFUNCTION("""COMPUTED_VALUE"""),43798.64583333333)</f>
        <v>43798.64583</v>
      </c>
      <c r="B4770" s="3">
        <f>IFERROR(__xludf.DUMMYFUNCTION("""COMPUTED_VALUE"""),12146.2)</f>
        <v>12146.2</v>
      </c>
      <c r="C4770" s="3">
        <f>IFERROR(__xludf.DUMMYFUNCTION("""COMPUTED_VALUE"""),12147.4)</f>
        <v>12147.4</v>
      </c>
      <c r="D4770" s="3">
        <f>IFERROR(__xludf.DUMMYFUNCTION("""COMPUTED_VALUE"""),12017.4)</f>
        <v>12017.4</v>
      </c>
      <c r="E4770" s="3">
        <f>IFERROR(__xludf.DUMMYFUNCTION("""COMPUTED_VALUE"""),12056.05)</f>
        <v>12056.05</v>
      </c>
      <c r="F4770" s="3">
        <f>IFERROR(__xludf.DUMMYFUNCTION("""COMPUTED_VALUE"""),0.0)</f>
        <v>0</v>
      </c>
    </row>
    <row r="4771">
      <c r="A4771" s="7">
        <f>IFERROR(__xludf.DUMMYFUNCTION("""COMPUTED_VALUE"""),43801.64583333333)</f>
        <v>43801.64583</v>
      </c>
      <c r="B4771" s="3">
        <f>IFERROR(__xludf.DUMMYFUNCTION("""COMPUTED_VALUE"""),12137.05)</f>
        <v>12137.05</v>
      </c>
      <c r="C4771" s="3">
        <f>IFERROR(__xludf.DUMMYFUNCTION("""COMPUTED_VALUE"""),12137.15)</f>
        <v>12137.15</v>
      </c>
      <c r="D4771" s="3">
        <f>IFERROR(__xludf.DUMMYFUNCTION("""COMPUTED_VALUE"""),12023.7)</f>
        <v>12023.7</v>
      </c>
      <c r="E4771" s="3">
        <f>IFERROR(__xludf.DUMMYFUNCTION("""COMPUTED_VALUE"""),12048.25)</f>
        <v>12048.25</v>
      </c>
      <c r="F4771" s="3">
        <f>IFERROR(__xludf.DUMMYFUNCTION("""COMPUTED_VALUE"""),0.0)</f>
        <v>0</v>
      </c>
    </row>
    <row r="4772">
      <c r="A4772" s="7">
        <f>IFERROR(__xludf.DUMMYFUNCTION("""COMPUTED_VALUE"""),43802.64583333333)</f>
        <v>43802.64583</v>
      </c>
      <c r="B4772" s="3">
        <f>IFERROR(__xludf.DUMMYFUNCTION("""COMPUTED_VALUE"""),12067.65)</f>
        <v>12067.65</v>
      </c>
      <c r="C4772" s="3">
        <f>IFERROR(__xludf.DUMMYFUNCTION("""COMPUTED_VALUE"""),12068.6)</f>
        <v>12068.6</v>
      </c>
      <c r="D4772" s="3">
        <f>IFERROR(__xludf.DUMMYFUNCTION("""COMPUTED_VALUE"""),11956.4)</f>
        <v>11956.4</v>
      </c>
      <c r="E4772" s="3">
        <f>IFERROR(__xludf.DUMMYFUNCTION("""COMPUTED_VALUE"""),11994.2)</f>
        <v>11994.2</v>
      </c>
      <c r="F4772" s="3">
        <f>IFERROR(__xludf.DUMMYFUNCTION("""COMPUTED_VALUE"""),0.0)</f>
        <v>0</v>
      </c>
    </row>
    <row r="4773">
      <c r="A4773" s="7">
        <f>IFERROR(__xludf.DUMMYFUNCTION("""COMPUTED_VALUE"""),43803.64583333333)</f>
        <v>43803.64583</v>
      </c>
      <c r="B4773" s="3">
        <f>IFERROR(__xludf.DUMMYFUNCTION("""COMPUTED_VALUE"""),11969.95)</f>
        <v>11969.95</v>
      </c>
      <c r="C4773" s="3">
        <f>IFERROR(__xludf.DUMMYFUNCTION("""COMPUTED_VALUE"""),12054.7)</f>
        <v>12054.7</v>
      </c>
      <c r="D4773" s="3">
        <f>IFERROR(__xludf.DUMMYFUNCTION("""COMPUTED_VALUE"""),11935.3)</f>
        <v>11935.3</v>
      </c>
      <c r="E4773" s="3">
        <f>IFERROR(__xludf.DUMMYFUNCTION("""COMPUTED_VALUE"""),12043.2)</f>
        <v>12043.2</v>
      </c>
      <c r="F4773" s="3">
        <f>IFERROR(__xludf.DUMMYFUNCTION("""COMPUTED_VALUE"""),0.0)</f>
        <v>0</v>
      </c>
    </row>
    <row r="4774">
      <c r="A4774" s="7">
        <f>IFERROR(__xludf.DUMMYFUNCTION("""COMPUTED_VALUE"""),43804.64583333333)</f>
        <v>43804.64583</v>
      </c>
      <c r="B4774" s="3">
        <f>IFERROR(__xludf.DUMMYFUNCTION("""COMPUTED_VALUE"""),12071.25)</f>
        <v>12071.25</v>
      </c>
      <c r="C4774" s="3">
        <f>IFERROR(__xludf.DUMMYFUNCTION("""COMPUTED_VALUE"""),12081.2)</f>
        <v>12081.2</v>
      </c>
      <c r="D4774" s="3">
        <f>IFERROR(__xludf.DUMMYFUNCTION("""COMPUTED_VALUE"""),11998.75)</f>
        <v>11998.75</v>
      </c>
      <c r="E4774" s="3">
        <f>IFERROR(__xludf.DUMMYFUNCTION("""COMPUTED_VALUE"""),12018.4)</f>
        <v>12018.4</v>
      </c>
      <c r="F4774" s="3">
        <f>IFERROR(__xludf.DUMMYFUNCTION("""COMPUTED_VALUE"""),0.0)</f>
        <v>0</v>
      </c>
    </row>
    <row r="4775">
      <c r="A4775" s="7">
        <f>IFERROR(__xludf.DUMMYFUNCTION("""COMPUTED_VALUE"""),43805.64583333333)</f>
        <v>43805.64583</v>
      </c>
      <c r="B4775" s="3">
        <f>IFERROR(__xludf.DUMMYFUNCTION("""COMPUTED_VALUE"""),12047.35)</f>
        <v>12047.35</v>
      </c>
      <c r="C4775" s="3">
        <f>IFERROR(__xludf.DUMMYFUNCTION("""COMPUTED_VALUE"""),12057.05)</f>
        <v>12057.05</v>
      </c>
      <c r="D4775" s="3">
        <f>IFERROR(__xludf.DUMMYFUNCTION("""COMPUTED_VALUE"""),11888.85)</f>
        <v>11888.85</v>
      </c>
      <c r="E4775" s="3">
        <f>IFERROR(__xludf.DUMMYFUNCTION("""COMPUTED_VALUE"""),11921.5)</f>
        <v>11921.5</v>
      </c>
      <c r="F4775" s="3">
        <f>IFERROR(__xludf.DUMMYFUNCTION("""COMPUTED_VALUE"""),0.0)</f>
        <v>0</v>
      </c>
    </row>
    <row r="4776">
      <c r="A4776" s="7">
        <f>IFERROR(__xludf.DUMMYFUNCTION("""COMPUTED_VALUE"""),43808.64583333333)</f>
        <v>43808.64583</v>
      </c>
      <c r="B4776" s="3">
        <f>IFERROR(__xludf.DUMMYFUNCTION("""COMPUTED_VALUE"""),11939.1)</f>
        <v>11939.1</v>
      </c>
      <c r="C4776" s="3">
        <f>IFERROR(__xludf.DUMMYFUNCTION("""COMPUTED_VALUE"""),11981.95)</f>
        <v>11981.95</v>
      </c>
      <c r="D4776" s="3">
        <f>IFERROR(__xludf.DUMMYFUNCTION("""COMPUTED_VALUE"""),11888.05)</f>
        <v>11888.05</v>
      </c>
      <c r="E4776" s="3">
        <f>IFERROR(__xludf.DUMMYFUNCTION("""COMPUTED_VALUE"""),11937.5)</f>
        <v>11937.5</v>
      </c>
      <c r="F4776" s="3">
        <f>IFERROR(__xludf.DUMMYFUNCTION("""COMPUTED_VALUE"""),0.0)</f>
        <v>0</v>
      </c>
    </row>
    <row r="4777">
      <c r="A4777" s="7">
        <f>IFERROR(__xludf.DUMMYFUNCTION("""COMPUTED_VALUE"""),43809.64583333333)</f>
        <v>43809.64583</v>
      </c>
      <c r="B4777" s="3">
        <f>IFERROR(__xludf.DUMMYFUNCTION("""COMPUTED_VALUE"""),11950.5)</f>
        <v>11950.5</v>
      </c>
      <c r="C4777" s="3">
        <f>IFERROR(__xludf.DUMMYFUNCTION("""COMPUTED_VALUE"""),11953.2)</f>
        <v>11953.2</v>
      </c>
      <c r="D4777" s="3">
        <f>IFERROR(__xludf.DUMMYFUNCTION("""COMPUTED_VALUE"""),11844.7)</f>
        <v>11844.7</v>
      </c>
      <c r="E4777" s="3">
        <f>IFERROR(__xludf.DUMMYFUNCTION("""COMPUTED_VALUE"""),11856.8)</f>
        <v>11856.8</v>
      </c>
      <c r="F4777" s="3">
        <f>IFERROR(__xludf.DUMMYFUNCTION("""COMPUTED_VALUE"""),0.0)</f>
        <v>0</v>
      </c>
    </row>
    <row r="4778">
      <c r="A4778" s="7">
        <f>IFERROR(__xludf.DUMMYFUNCTION("""COMPUTED_VALUE"""),43810.64583333333)</f>
        <v>43810.64583</v>
      </c>
      <c r="B4778" s="3">
        <f>IFERROR(__xludf.DUMMYFUNCTION("""COMPUTED_VALUE"""),11867.35)</f>
        <v>11867.35</v>
      </c>
      <c r="C4778" s="3">
        <f>IFERROR(__xludf.DUMMYFUNCTION("""COMPUTED_VALUE"""),11923.2)</f>
        <v>11923.2</v>
      </c>
      <c r="D4778" s="3">
        <f>IFERROR(__xludf.DUMMYFUNCTION("""COMPUTED_VALUE"""),11832.3)</f>
        <v>11832.3</v>
      </c>
      <c r="E4778" s="3">
        <f>IFERROR(__xludf.DUMMYFUNCTION("""COMPUTED_VALUE"""),11910.15)</f>
        <v>11910.15</v>
      </c>
      <c r="F4778" s="3">
        <f>IFERROR(__xludf.DUMMYFUNCTION("""COMPUTED_VALUE"""),0.0)</f>
        <v>0</v>
      </c>
    </row>
    <row r="4779">
      <c r="A4779" s="7">
        <f>IFERROR(__xludf.DUMMYFUNCTION("""COMPUTED_VALUE"""),43811.64583333333)</f>
        <v>43811.64583</v>
      </c>
      <c r="B4779" s="3">
        <f>IFERROR(__xludf.DUMMYFUNCTION("""COMPUTED_VALUE"""),11944.3)</f>
        <v>11944.3</v>
      </c>
      <c r="C4779" s="3">
        <f>IFERROR(__xludf.DUMMYFUNCTION("""COMPUTED_VALUE"""),12005.5)</f>
        <v>12005.5</v>
      </c>
      <c r="D4779" s="3">
        <f>IFERROR(__xludf.DUMMYFUNCTION("""COMPUTED_VALUE"""),11934.0)</f>
        <v>11934</v>
      </c>
      <c r="E4779" s="3">
        <f>IFERROR(__xludf.DUMMYFUNCTION("""COMPUTED_VALUE"""),11971.8)</f>
        <v>11971.8</v>
      </c>
      <c r="F4779" s="3">
        <f>IFERROR(__xludf.DUMMYFUNCTION("""COMPUTED_VALUE"""),0.0)</f>
        <v>0</v>
      </c>
    </row>
    <row r="4780">
      <c r="A4780" s="7">
        <f>IFERROR(__xludf.DUMMYFUNCTION("""COMPUTED_VALUE"""),43812.64583333333)</f>
        <v>43812.64583</v>
      </c>
      <c r="B4780" s="3">
        <f>IFERROR(__xludf.DUMMYFUNCTION("""COMPUTED_VALUE"""),12026.4)</f>
        <v>12026.4</v>
      </c>
      <c r="C4780" s="3">
        <f>IFERROR(__xludf.DUMMYFUNCTION("""COMPUTED_VALUE"""),12098.85)</f>
        <v>12098.85</v>
      </c>
      <c r="D4780" s="3">
        <f>IFERROR(__xludf.DUMMYFUNCTION("""COMPUTED_VALUE"""),12023.6)</f>
        <v>12023.6</v>
      </c>
      <c r="E4780" s="3">
        <f>IFERROR(__xludf.DUMMYFUNCTION("""COMPUTED_VALUE"""),12086.7)</f>
        <v>12086.7</v>
      </c>
      <c r="F4780" s="3">
        <f>IFERROR(__xludf.DUMMYFUNCTION("""COMPUTED_VALUE"""),0.0)</f>
        <v>0</v>
      </c>
    </row>
    <row r="4781">
      <c r="A4781" s="7">
        <f>IFERROR(__xludf.DUMMYFUNCTION("""COMPUTED_VALUE"""),43815.64583333333)</f>
        <v>43815.64583</v>
      </c>
      <c r="B4781" s="3">
        <f>IFERROR(__xludf.DUMMYFUNCTION("""COMPUTED_VALUE"""),12131.35)</f>
        <v>12131.35</v>
      </c>
      <c r="C4781" s="3">
        <f>IFERROR(__xludf.DUMMYFUNCTION("""COMPUTED_VALUE"""),12134.65)</f>
        <v>12134.65</v>
      </c>
      <c r="D4781" s="3">
        <f>IFERROR(__xludf.DUMMYFUNCTION("""COMPUTED_VALUE"""),12046.3)</f>
        <v>12046.3</v>
      </c>
      <c r="E4781" s="3">
        <f>IFERROR(__xludf.DUMMYFUNCTION("""COMPUTED_VALUE"""),12053.95)</f>
        <v>12053.95</v>
      </c>
      <c r="F4781" s="3">
        <f>IFERROR(__xludf.DUMMYFUNCTION("""COMPUTED_VALUE"""),0.0)</f>
        <v>0</v>
      </c>
    </row>
    <row r="4782">
      <c r="A4782" s="7">
        <f>IFERROR(__xludf.DUMMYFUNCTION("""COMPUTED_VALUE"""),43816.64583333333)</f>
        <v>43816.64583</v>
      </c>
      <c r="B4782" s="3">
        <f>IFERROR(__xludf.DUMMYFUNCTION("""COMPUTED_VALUE"""),12082.45)</f>
        <v>12082.45</v>
      </c>
      <c r="C4782" s="3">
        <f>IFERROR(__xludf.DUMMYFUNCTION("""COMPUTED_VALUE"""),12182.75)</f>
        <v>12182.75</v>
      </c>
      <c r="D4782" s="3">
        <f>IFERROR(__xludf.DUMMYFUNCTION("""COMPUTED_VALUE"""),12070.35)</f>
        <v>12070.35</v>
      </c>
      <c r="E4782" s="3">
        <f>IFERROR(__xludf.DUMMYFUNCTION("""COMPUTED_VALUE"""),12165.0)</f>
        <v>12165</v>
      </c>
      <c r="F4782" s="3">
        <f>IFERROR(__xludf.DUMMYFUNCTION("""COMPUTED_VALUE"""),0.0)</f>
        <v>0</v>
      </c>
    </row>
    <row r="4783">
      <c r="A4783" s="7">
        <f>IFERROR(__xludf.DUMMYFUNCTION("""COMPUTED_VALUE"""),43817.64583333333)</f>
        <v>43817.64583</v>
      </c>
      <c r="B4783" s="3">
        <f>IFERROR(__xludf.DUMMYFUNCTION("""COMPUTED_VALUE"""),12197.0)</f>
        <v>12197</v>
      </c>
      <c r="C4783" s="3">
        <f>IFERROR(__xludf.DUMMYFUNCTION("""COMPUTED_VALUE"""),12237.7)</f>
        <v>12237.7</v>
      </c>
      <c r="D4783" s="3">
        <f>IFERROR(__xludf.DUMMYFUNCTION("""COMPUTED_VALUE"""),12163.45)</f>
        <v>12163.45</v>
      </c>
      <c r="E4783" s="3">
        <f>IFERROR(__xludf.DUMMYFUNCTION("""COMPUTED_VALUE"""),12221.65)</f>
        <v>12221.65</v>
      </c>
      <c r="F4783" s="3">
        <f>IFERROR(__xludf.DUMMYFUNCTION("""COMPUTED_VALUE"""),0.0)</f>
        <v>0</v>
      </c>
    </row>
    <row r="4784">
      <c r="A4784" s="7">
        <f>IFERROR(__xludf.DUMMYFUNCTION("""COMPUTED_VALUE"""),43818.64583333333)</f>
        <v>43818.64583</v>
      </c>
      <c r="B4784" s="3">
        <f>IFERROR(__xludf.DUMMYFUNCTION("""COMPUTED_VALUE"""),12223.4)</f>
        <v>12223.4</v>
      </c>
      <c r="C4784" s="3">
        <f>IFERROR(__xludf.DUMMYFUNCTION("""COMPUTED_VALUE"""),12268.35)</f>
        <v>12268.35</v>
      </c>
      <c r="D4784" s="3">
        <f>IFERROR(__xludf.DUMMYFUNCTION("""COMPUTED_VALUE"""),12191.15)</f>
        <v>12191.15</v>
      </c>
      <c r="E4784" s="3">
        <f>IFERROR(__xludf.DUMMYFUNCTION("""COMPUTED_VALUE"""),12259.7)</f>
        <v>12259.7</v>
      </c>
      <c r="F4784" s="3">
        <f>IFERROR(__xludf.DUMMYFUNCTION("""COMPUTED_VALUE"""),0.0)</f>
        <v>0</v>
      </c>
    </row>
    <row r="4785">
      <c r="A4785" s="7">
        <f>IFERROR(__xludf.DUMMYFUNCTION("""COMPUTED_VALUE"""),43819.64583333333)</f>
        <v>43819.64583</v>
      </c>
      <c r="B4785" s="3">
        <f>IFERROR(__xludf.DUMMYFUNCTION("""COMPUTED_VALUE"""),12266.45)</f>
        <v>12266.45</v>
      </c>
      <c r="C4785" s="3">
        <f>IFERROR(__xludf.DUMMYFUNCTION("""COMPUTED_VALUE"""),12293.9)</f>
        <v>12293.9</v>
      </c>
      <c r="D4785" s="3">
        <f>IFERROR(__xludf.DUMMYFUNCTION("""COMPUTED_VALUE"""),12252.75)</f>
        <v>12252.75</v>
      </c>
      <c r="E4785" s="3">
        <f>IFERROR(__xludf.DUMMYFUNCTION("""COMPUTED_VALUE"""),12271.8)</f>
        <v>12271.8</v>
      </c>
      <c r="F4785" s="3">
        <f>IFERROR(__xludf.DUMMYFUNCTION("""COMPUTED_VALUE"""),0.0)</f>
        <v>0</v>
      </c>
    </row>
    <row r="4786">
      <c r="A4786" s="7">
        <f>IFERROR(__xludf.DUMMYFUNCTION("""COMPUTED_VALUE"""),43822.64583333333)</f>
        <v>43822.64583</v>
      </c>
      <c r="B4786" s="3">
        <f>IFERROR(__xludf.DUMMYFUNCTION("""COMPUTED_VALUE"""),12235.45)</f>
        <v>12235.45</v>
      </c>
      <c r="C4786" s="3">
        <f>IFERROR(__xludf.DUMMYFUNCTION("""COMPUTED_VALUE"""),12287.15)</f>
        <v>12287.15</v>
      </c>
      <c r="D4786" s="3">
        <f>IFERROR(__xludf.DUMMYFUNCTION("""COMPUTED_VALUE"""),12213.25)</f>
        <v>12213.25</v>
      </c>
      <c r="E4786" s="3">
        <f>IFERROR(__xludf.DUMMYFUNCTION("""COMPUTED_VALUE"""),12262.75)</f>
        <v>12262.75</v>
      </c>
      <c r="F4786" s="3">
        <f>IFERROR(__xludf.DUMMYFUNCTION("""COMPUTED_VALUE"""),0.0)</f>
        <v>0</v>
      </c>
    </row>
    <row r="4787">
      <c r="A4787" s="7">
        <f>IFERROR(__xludf.DUMMYFUNCTION("""COMPUTED_VALUE"""),43823.64583333333)</f>
        <v>43823.64583</v>
      </c>
      <c r="B4787" s="3">
        <f>IFERROR(__xludf.DUMMYFUNCTION("""COMPUTED_VALUE"""),12269.25)</f>
        <v>12269.25</v>
      </c>
      <c r="C4787" s="3">
        <f>IFERROR(__xludf.DUMMYFUNCTION("""COMPUTED_VALUE"""),12283.7)</f>
        <v>12283.7</v>
      </c>
      <c r="D4787" s="3">
        <f>IFERROR(__xludf.DUMMYFUNCTION("""COMPUTED_VALUE"""),12202.1)</f>
        <v>12202.1</v>
      </c>
      <c r="E4787" s="3">
        <f>IFERROR(__xludf.DUMMYFUNCTION("""COMPUTED_VALUE"""),12214.55)</f>
        <v>12214.55</v>
      </c>
      <c r="F4787" s="3">
        <f>IFERROR(__xludf.DUMMYFUNCTION("""COMPUTED_VALUE"""),0.0)</f>
        <v>0</v>
      </c>
    </row>
    <row r="4788">
      <c r="A4788" s="7">
        <f>IFERROR(__xludf.DUMMYFUNCTION("""COMPUTED_VALUE"""),43825.64583333333)</f>
        <v>43825.64583</v>
      </c>
      <c r="B4788" s="3">
        <f>IFERROR(__xludf.DUMMYFUNCTION("""COMPUTED_VALUE"""),12211.85)</f>
        <v>12211.85</v>
      </c>
      <c r="C4788" s="3">
        <f>IFERROR(__xludf.DUMMYFUNCTION("""COMPUTED_VALUE"""),12221.55)</f>
        <v>12221.55</v>
      </c>
      <c r="D4788" s="3">
        <f>IFERROR(__xludf.DUMMYFUNCTION("""COMPUTED_VALUE"""),12118.85)</f>
        <v>12118.85</v>
      </c>
      <c r="E4788" s="3">
        <f>IFERROR(__xludf.DUMMYFUNCTION("""COMPUTED_VALUE"""),12126.55)</f>
        <v>12126.55</v>
      </c>
      <c r="F4788" s="3">
        <f>IFERROR(__xludf.DUMMYFUNCTION("""COMPUTED_VALUE"""),0.0)</f>
        <v>0</v>
      </c>
    </row>
    <row r="4789">
      <c r="A4789" s="7">
        <f>IFERROR(__xludf.DUMMYFUNCTION("""COMPUTED_VALUE"""),43826.64583333333)</f>
        <v>43826.64583</v>
      </c>
      <c r="B4789" s="3">
        <f>IFERROR(__xludf.DUMMYFUNCTION("""COMPUTED_VALUE"""),12172.9)</f>
        <v>12172.9</v>
      </c>
      <c r="C4789" s="3">
        <f>IFERROR(__xludf.DUMMYFUNCTION("""COMPUTED_VALUE"""),12258.45)</f>
        <v>12258.45</v>
      </c>
      <c r="D4789" s="3">
        <f>IFERROR(__xludf.DUMMYFUNCTION("""COMPUTED_VALUE"""),12157.9)</f>
        <v>12157.9</v>
      </c>
      <c r="E4789" s="3">
        <f>IFERROR(__xludf.DUMMYFUNCTION("""COMPUTED_VALUE"""),12245.8)</f>
        <v>12245.8</v>
      </c>
      <c r="F4789" s="3">
        <f>IFERROR(__xludf.DUMMYFUNCTION("""COMPUTED_VALUE"""),0.0)</f>
        <v>0</v>
      </c>
    </row>
    <row r="4790">
      <c r="A4790" s="7">
        <f>IFERROR(__xludf.DUMMYFUNCTION("""COMPUTED_VALUE"""),43829.64583333333)</f>
        <v>43829.64583</v>
      </c>
      <c r="B4790" s="3">
        <f>IFERROR(__xludf.DUMMYFUNCTION("""COMPUTED_VALUE"""),12274.9)</f>
        <v>12274.9</v>
      </c>
      <c r="C4790" s="3">
        <f>IFERROR(__xludf.DUMMYFUNCTION("""COMPUTED_VALUE"""),12286.45)</f>
        <v>12286.45</v>
      </c>
      <c r="D4790" s="3">
        <f>IFERROR(__xludf.DUMMYFUNCTION("""COMPUTED_VALUE"""),12213.8)</f>
        <v>12213.8</v>
      </c>
      <c r="E4790" s="3">
        <f>IFERROR(__xludf.DUMMYFUNCTION("""COMPUTED_VALUE"""),12255.85)</f>
        <v>12255.85</v>
      </c>
      <c r="F4790" s="3">
        <f>IFERROR(__xludf.DUMMYFUNCTION("""COMPUTED_VALUE"""),0.0)</f>
        <v>0</v>
      </c>
    </row>
    <row r="4791">
      <c r="A4791" s="7">
        <f>IFERROR(__xludf.DUMMYFUNCTION("""COMPUTED_VALUE"""),43830.64583333333)</f>
        <v>43830.64583</v>
      </c>
      <c r="B4791" s="3">
        <f>IFERROR(__xludf.DUMMYFUNCTION("""COMPUTED_VALUE"""),12247.1)</f>
        <v>12247.1</v>
      </c>
      <c r="C4791" s="3">
        <f>IFERROR(__xludf.DUMMYFUNCTION("""COMPUTED_VALUE"""),12247.1)</f>
        <v>12247.1</v>
      </c>
      <c r="D4791" s="3">
        <f>IFERROR(__xludf.DUMMYFUNCTION("""COMPUTED_VALUE"""),12151.8)</f>
        <v>12151.8</v>
      </c>
      <c r="E4791" s="3">
        <f>IFERROR(__xludf.DUMMYFUNCTION("""COMPUTED_VALUE"""),12168.45)</f>
        <v>12168.45</v>
      </c>
      <c r="F4791" s="3">
        <f>IFERROR(__xludf.DUMMYFUNCTION("""COMPUTED_VALUE"""),0.0)</f>
        <v>0</v>
      </c>
    </row>
    <row r="4792">
      <c r="A4792" s="7">
        <f>IFERROR(__xludf.DUMMYFUNCTION("""COMPUTED_VALUE"""),43831.64583333333)</f>
        <v>43831.64583</v>
      </c>
      <c r="B4792" s="3">
        <f>IFERROR(__xludf.DUMMYFUNCTION("""COMPUTED_VALUE"""),12202.15)</f>
        <v>12202.15</v>
      </c>
      <c r="C4792" s="3">
        <f>IFERROR(__xludf.DUMMYFUNCTION("""COMPUTED_VALUE"""),12222.2)</f>
        <v>12222.2</v>
      </c>
      <c r="D4792" s="3">
        <f>IFERROR(__xludf.DUMMYFUNCTION("""COMPUTED_VALUE"""),12165.3)</f>
        <v>12165.3</v>
      </c>
      <c r="E4792" s="3">
        <f>IFERROR(__xludf.DUMMYFUNCTION("""COMPUTED_VALUE"""),12182.5)</f>
        <v>12182.5</v>
      </c>
      <c r="F4792" s="3">
        <f>IFERROR(__xludf.DUMMYFUNCTION("""COMPUTED_VALUE"""),0.0)</f>
        <v>0</v>
      </c>
    </row>
    <row r="4793">
      <c r="A4793" s="7">
        <f>IFERROR(__xludf.DUMMYFUNCTION("""COMPUTED_VALUE"""),43832.64583333333)</f>
        <v>43832.64583</v>
      </c>
      <c r="B4793" s="3">
        <f>IFERROR(__xludf.DUMMYFUNCTION("""COMPUTED_VALUE"""),12198.55)</f>
        <v>12198.55</v>
      </c>
      <c r="C4793" s="3">
        <f>IFERROR(__xludf.DUMMYFUNCTION("""COMPUTED_VALUE"""),12289.9)</f>
        <v>12289.9</v>
      </c>
      <c r="D4793" s="3">
        <f>IFERROR(__xludf.DUMMYFUNCTION("""COMPUTED_VALUE"""),12195.25)</f>
        <v>12195.25</v>
      </c>
      <c r="E4793" s="3">
        <f>IFERROR(__xludf.DUMMYFUNCTION("""COMPUTED_VALUE"""),12282.2)</f>
        <v>12282.2</v>
      </c>
      <c r="F4793" s="3">
        <f>IFERROR(__xludf.DUMMYFUNCTION("""COMPUTED_VALUE"""),0.0)</f>
        <v>0</v>
      </c>
    </row>
    <row r="4794">
      <c r="A4794" s="7">
        <f>IFERROR(__xludf.DUMMYFUNCTION("""COMPUTED_VALUE"""),43833.64583333333)</f>
        <v>43833.64583</v>
      </c>
      <c r="B4794" s="3">
        <f>IFERROR(__xludf.DUMMYFUNCTION("""COMPUTED_VALUE"""),12261.1)</f>
        <v>12261.1</v>
      </c>
      <c r="C4794" s="3">
        <f>IFERROR(__xludf.DUMMYFUNCTION("""COMPUTED_VALUE"""),12265.6)</f>
        <v>12265.6</v>
      </c>
      <c r="D4794" s="3">
        <f>IFERROR(__xludf.DUMMYFUNCTION("""COMPUTED_VALUE"""),12191.35)</f>
        <v>12191.35</v>
      </c>
      <c r="E4794" s="3">
        <f>IFERROR(__xludf.DUMMYFUNCTION("""COMPUTED_VALUE"""),12226.65)</f>
        <v>12226.65</v>
      </c>
      <c r="F4794" s="3">
        <f>IFERROR(__xludf.DUMMYFUNCTION("""COMPUTED_VALUE"""),0.0)</f>
        <v>0</v>
      </c>
    </row>
    <row r="4795">
      <c r="A4795" s="7">
        <f>IFERROR(__xludf.DUMMYFUNCTION("""COMPUTED_VALUE"""),43836.64583333333)</f>
        <v>43836.64583</v>
      </c>
      <c r="B4795" s="3">
        <f>IFERROR(__xludf.DUMMYFUNCTION("""COMPUTED_VALUE"""),12170.6)</f>
        <v>12170.6</v>
      </c>
      <c r="C4795" s="3">
        <f>IFERROR(__xludf.DUMMYFUNCTION("""COMPUTED_VALUE"""),12179.1)</f>
        <v>12179.1</v>
      </c>
      <c r="D4795" s="3">
        <f>IFERROR(__xludf.DUMMYFUNCTION("""COMPUTED_VALUE"""),11974.2)</f>
        <v>11974.2</v>
      </c>
      <c r="E4795" s="3">
        <f>IFERROR(__xludf.DUMMYFUNCTION("""COMPUTED_VALUE"""),11993.05)</f>
        <v>11993.05</v>
      </c>
      <c r="F4795" s="3">
        <f>IFERROR(__xludf.DUMMYFUNCTION("""COMPUTED_VALUE"""),0.0)</f>
        <v>0</v>
      </c>
    </row>
    <row r="4796">
      <c r="A4796" s="7">
        <f>IFERROR(__xludf.DUMMYFUNCTION("""COMPUTED_VALUE"""),43837.64583333333)</f>
        <v>43837.64583</v>
      </c>
      <c r="B4796" s="3">
        <f>IFERROR(__xludf.DUMMYFUNCTION("""COMPUTED_VALUE"""),12079.1)</f>
        <v>12079.1</v>
      </c>
      <c r="C4796" s="3">
        <f>IFERROR(__xludf.DUMMYFUNCTION("""COMPUTED_VALUE"""),12152.15)</f>
        <v>12152.15</v>
      </c>
      <c r="D4796" s="3">
        <f>IFERROR(__xludf.DUMMYFUNCTION("""COMPUTED_VALUE"""),12005.35)</f>
        <v>12005.35</v>
      </c>
      <c r="E4796" s="3">
        <f>IFERROR(__xludf.DUMMYFUNCTION("""COMPUTED_VALUE"""),12052.95)</f>
        <v>12052.95</v>
      </c>
      <c r="F4796" s="3">
        <f>IFERROR(__xludf.DUMMYFUNCTION("""COMPUTED_VALUE"""),0.0)</f>
        <v>0</v>
      </c>
    </row>
    <row r="4797">
      <c r="A4797" s="7">
        <f>IFERROR(__xludf.DUMMYFUNCTION("""COMPUTED_VALUE"""),43838.64583333333)</f>
        <v>43838.64583</v>
      </c>
      <c r="B4797" s="3">
        <f>IFERROR(__xludf.DUMMYFUNCTION("""COMPUTED_VALUE"""),11939.1)</f>
        <v>11939.1</v>
      </c>
      <c r="C4797" s="3">
        <f>IFERROR(__xludf.DUMMYFUNCTION("""COMPUTED_VALUE"""),12044.95)</f>
        <v>12044.95</v>
      </c>
      <c r="D4797" s="3">
        <f>IFERROR(__xludf.DUMMYFUNCTION("""COMPUTED_VALUE"""),11929.6)</f>
        <v>11929.6</v>
      </c>
      <c r="E4797" s="3">
        <f>IFERROR(__xludf.DUMMYFUNCTION("""COMPUTED_VALUE"""),12025.35)</f>
        <v>12025.35</v>
      </c>
      <c r="F4797" s="3">
        <f>IFERROR(__xludf.DUMMYFUNCTION("""COMPUTED_VALUE"""),0.0)</f>
        <v>0</v>
      </c>
    </row>
    <row r="4798">
      <c r="A4798" s="7">
        <f>IFERROR(__xludf.DUMMYFUNCTION("""COMPUTED_VALUE"""),43839.64583333333)</f>
        <v>43839.64583</v>
      </c>
      <c r="B4798" s="3">
        <f>IFERROR(__xludf.DUMMYFUNCTION("""COMPUTED_VALUE"""),12153.15)</f>
        <v>12153.15</v>
      </c>
      <c r="C4798" s="3">
        <f>IFERROR(__xludf.DUMMYFUNCTION("""COMPUTED_VALUE"""),12224.05)</f>
        <v>12224.05</v>
      </c>
      <c r="D4798" s="3">
        <f>IFERROR(__xludf.DUMMYFUNCTION("""COMPUTED_VALUE"""),12132.55)</f>
        <v>12132.55</v>
      </c>
      <c r="E4798" s="3">
        <f>IFERROR(__xludf.DUMMYFUNCTION("""COMPUTED_VALUE"""),12215.9)</f>
        <v>12215.9</v>
      </c>
      <c r="F4798" s="3">
        <f>IFERROR(__xludf.DUMMYFUNCTION("""COMPUTED_VALUE"""),0.0)</f>
        <v>0</v>
      </c>
    </row>
    <row r="4799">
      <c r="A4799" s="7">
        <f>IFERROR(__xludf.DUMMYFUNCTION("""COMPUTED_VALUE"""),43840.64583333333)</f>
        <v>43840.64583</v>
      </c>
      <c r="B4799" s="3">
        <f>IFERROR(__xludf.DUMMYFUNCTION("""COMPUTED_VALUE"""),12271.0)</f>
        <v>12271</v>
      </c>
      <c r="C4799" s="3">
        <f>IFERROR(__xludf.DUMMYFUNCTION("""COMPUTED_VALUE"""),12311.2)</f>
        <v>12311.2</v>
      </c>
      <c r="D4799" s="3">
        <f>IFERROR(__xludf.DUMMYFUNCTION("""COMPUTED_VALUE"""),12213.2)</f>
        <v>12213.2</v>
      </c>
      <c r="E4799" s="3">
        <f>IFERROR(__xludf.DUMMYFUNCTION("""COMPUTED_VALUE"""),12256.8)</f>
        <v>12256.8</v>
      </c>
      <c r="F4799" s="3">
        <f>IFERROR(__xludf.DUMMYFUNCTION("""COMPUTED_VALUE"""),0.0)</f>
        <v>0</v>
      </c>
    </row>
    <row r="4800">
      <c r="A4800" s="7">
        <f>IFERROR(__xludf.DUMMYFUNCTION("""COMPUTED_VALUE"""),43843.64583333333)</f>
        <v>43843.64583</v>
      </c>
      <c r="B4800" s="3">
        <f>IFERROR(__xludf.DUMMYFUNCTION("""COMPUTED_VALUE"""),12296.7)</f>
        <v>12296.7</v>
      </c>
      <c r="C4800" s="3">
        <f>IFERROR(__xludf.DUMMYFUNCTION("""COMPUTED_VALUE"""),12337.75)</f>
        <v>12337.75</v>
      </c>
      <c r="D4800" s="3">
        <f>IFERROR(__xludf.DUMMYFUNCTION("""COMPUTED_VALUE"""),12285.8)</f>
        <v>12285.8</v>
      </c>
      <c r="E4800" s="3">
        <f>IFERROR(__xludf.DUMMYFUNCTION("""COMPUTED_VALUE"""),12329.55)</f>
        <v>12329.55</v>
      </c>
      <c r="F4800" s="3">
        <f>IFERROR(__xludf.DUMMYFUNCTION("""COMPUTED_VALUE"""),0.0)</f>
        <v>0</v>
      </c>
    </row>
    <row r="4801">
      <c r="A4801" s="7">
        <f>IFERROR(__xludf.DUMMYFUNCTION("""COMPUTED_VALUE"""),43844.64583333333)</f>
        <v>43844.64583</v>
      </c>
      <c r="B4801" s="3">
        <f>IFERROR(__xludf.DUMMYFUNCTION("""COMPUTED_VALUE"""),12333.1)</f>
        <v>12333.1</v>
      </c>
      <c r="C4801" s="3">
        <f>IFERROR(__xludf.DUMMYFUNCTION("""COMPUTED_VALUE"""),12374.25)</f>
        <v>12374.25</v>
      </c>
      <c r="D4801" s="3">
        <f>IFERROR(__xludf.DUMMYFUNCTION("""COMPUTED_VALUE"""),12308.7)</f>
        <v>12308.7</v>
      </c>
      <c r="E4801" s="3">
        <f>IFERROR(__xludf.DUMMYFUNCTION("""COMPUTED_VALUE"""),12362.3)</f>
        <v>12362.3</v>
      </c>
      <c r="F4801" s="3">
        <f>IFERROR(__xludf.DUMMYFUNCTION("""COMPUTED_VALUE"""),0.0)</f>
        <v>0</v>
      </c>
    </row>
    <row r="4802">
      <c r="A4802" s="7">
        <f>IFERROR(__xludf.DUMMYFUNCTION("""COMPUTED_VALUE"""),43845.64583333333)</f>
        <v>43845.64583</v>
      </c>
      <c r="B4802" s="3">
        <f>IFERROR(__xludf.DUMMYFUNCTION("""COMPUTED_VALUE"""),12349.4)</f>
        <v>12349.4</v>
      </c>
      <c r="C4802" s="3">
        <f>IFERROR(__xludf.DUMMYFUNCTION("""COMPUTED_VALUE"""),12355.15)</f>
        <v>12355.15</v>
      </c>
      <c r="D4802" s="3">
        <f>IFERROR(__xludf.DUMMYFUNCTION("""COMPUTED_VALUE"""),12278.75)</f>
        <v>12278.75</v>
      </c>
      <c r="E4802" s="3">
        <f>IFERROR(__xludf.DUMMYFUNCTION("""COMPUTED_VALUE"""),12343.3)</f>
        <v>12343.3</v>
      </c>
      <c r="F4802" s="3">
        <f>IFERROR(__xludf.DUMMYFUNCTION("""COMPUTED_VALUE"""),0.0)</f>
        <v>0</v>
      </c>
    </row>
    <row r="4803">
      <c r="A4803" s="7">
        <f>IFERROR(__xludf.DUMMYFUNCTION("""COMPUTED_VALUE"""),43846.64583333333)</f>
        <v>43846.64583</v>
      </c>
      <c r="B4803" s="3">
        <f>IFERROR(__xludf.DUMMYFUNCTION("""COMPUTED_VALUE"""),12347.1)</f>
        <v>12347.1</v>
      </c>
      <c r="C4803" s="3">
        <f>IFERROR(__xludf.DUMMYFUNCTION("""COMPUTED_VALUE"""),12389.05)</f>
        <v>12389.05</v>
      </c>
      <c r="D4803" s="3">
        <f>IFERROR(__xludf.DUMMYFUNCTION("""COMPUTED_VALUE"""),12315.8)</f>
        <v>12315.8</v>
      </c>
      <c r="E4803" s="3">
        <f>IFERROR(__xludf.DUMMYFUNCTION("""COMPUTED_VALUE"""),12355.5)</f>
        <v>12355.5</v>
      </c>
      <c r="F4803" s="3">
        <f>IFERROR(__xludf.DUMMYFUNCTION("""COMPUTED_VALUE"""),0.0)</f>
        <v>0</v>
      </c>
    </row>
    <row r="4804">
      <c r="A4804" s="7">
        <f>IFERROR(__xludf.DUMMYFUNCTION("""COMPUTED_VALUE"""),43847.64583333333)</f>
        <v>43847.64583</v>
      </c>
      <c r="B4804" s="3">
        <f>IFERROR(__xludf.DUMMYFUNCTION("""COMPUTED_VALUE"""),12328.4)</f>
        <v>12328.4</v>
      </c>
      <c r="C4804" s="3">
        <f>IFERROR(__xludf.DUMMYFUNCTION("""COMPUTED_VALUE"""),12385.45)</f>
        <v>12385.45</v>
      </c>
      <c r="D4804" s="3">
        <f>IFERROR(__xludf.DUMMYFUNCTION("""COMPUTED_VALUE"""),12321.4)</f>
        <v>12321.4</v>
      </c>
      <c r="E4804" s="3">
        <f>IFERROR(__xludf.DUMMYFUNCTION("""COMPUTED_VALUE"""),12352.35)</f>
        <v>12352.35</v>
      </c>
      <c r="F4804" s="3">
        <f>IFERROR(__xludf.DUMMYFUNCTION("""COMPUTED_VALUE"""),0.0)</f>
        <v>0</v>
      </c>
    </row>
    <row r="4805">
      <c r="A4805" s="7">
        <f>IFERROR(__xludf.DUMMYFUNCTION("""COMPUTED_VALUE"""),43850.64583333333)</f>
        <v>43850.64583</v>
      </c>
      <c r="B4805" s="3">
        <f>IFERROR(__xludf.DUMMYFUNCTION("""COMPUTED_VALUE"""),12430.5)</f>
        <v>12430.5</v>
      </c>
      <c r="C4805" s="3">
        <f>IFERROR(__xludf.DUMMYFUNCTION("""COMPUTED_VALUE"""),12430.5)</f>
        <v>12430.5</v>
      </c>
      <c r="D4805" s="3">
        <f>IFERROR(__xludf.DUMMYFUNCTION("""COMPUTED_VALUE"""),12216.9)</f>
        <v>12216.9</v>
      </c>
      <c r="E4805" s="3">
        <f>IFERROR(__xludf.DUMMYFUNCTION("""COMPUTED_VALUE"""),12224.55)</f>
        <v>12224.55</v>
      </c>
      <c r="F4805" s="3">
        <f>IFERROR(__xludf.DUMMYFUNCTION("""COMPUTED_VALUE"""),0.0)</f>
        <v>0</v>
      </c>
    </row>
    <row r="4806">
      <c r="A4806" s="7">
        <f>IFERROR(__xludf.DUMMYFUNCTION("""COMPUTED_VALUE"""),43851.64583333333)</f>
        <v>43851.64583</v>
      </c>
      <c r="B4806" s="3">
        <f>IFERROR(__xludf.DUMMYFUNCTION("""COMPUTED_VALUE"""),12195.3)</f>
        <v>12195.3</v>
      </c>
      <c r="C4806" s="3">
        <f>IFERROR(__xludf.DUMMYFUNCTION("""COMPUTED_VALUE"""),12230.05)</f>
        <v>12230.05</v>
      </c>
      <c r="D4806" s="3">
        <f>IFERROR(__xludf.DUMMYFUNCTION("""COMPUTED_VALUE"""),12162.3)</f>
        <v>12162.3</v>
      </c>
      <c r="E4806" s="3">
        <f>IFERROR(__xludf.DUMMYFUNCTION("""COMPUTED_VALUE"""),12169.85)</f>
        <v>12169.85</v>
      </c>
      <c r="F4806" s="3">
        <f>IFERROR(__xludf.DUMMYFUNCTION("""COMPUTED_VALUE"""),0.0)</f>
        <v>0</v>
      </c>
    </row>
    <row r="4807">
      <c r="A4807" s="7">
        <f>IFERROR(__xludf.DUMMYFUNCTION("""COMPUTED_VALUE"""),43852.64583333333)</f>
        <v>43852.64583</v>
      </c>
      <c r="B4807" s="3">
        <f>IFERROR(__xludf.DUMMYFUNCTION("""COMPUTED_VALUE"""),12218.35)</f>
        <v>12218.35</v>
      </c>
      <c r="C4807" s="3">
        <f>IFERROR(__xludf.DUMMYFUNCTION("""COMPUTED_VALUE"""),12225.05)</f>
        <v>12225.05</v>
      </c>
      <c r="D4807" s="3">
        <f>IFERROR(__xludf.DUMMYFUNCTION("""COMPUTED_VALUE"""),12087.9)</f>
        <v>12087.9</v>
      </c>
      <c r="E4807" s="3">
        <f>IFERROR(__xludf.DUMMYFUNCTION("""COMPUTED_VALUE"""),12106.9)</f>
        <v>12106.9</v>
      </c>
      <c r="F4807" s="3">
        <f>IFERROR(__xludf.DUMMYFUNCTION("""COMPUTED_VALUE"""),0.0)</f>
        <v>0</v>
      </c>
    </row>
    <row r="4808">
      <c r="A4808" s="7">
        <f>IFERROR(__xludf.DUMMYFUNCTION("""COMPUTED_VALUE"""),43853.64583333333)</f>
        <v>43853.64583</v>
      </c>
      <c r="B4808" s="3">
        <f>IFERROR(__xludf.DUMMYFUNCTION("""COMPUTED_VALUE"""),12123.75)</f>
        <v>12123.75</v>
      </c>
      <c r="C4808" s="3">
        <f>IFERROR(__xludf.DUMMYFUNCTION("""COMPUTED_VALUE"""),12189.0)</f>
        <v>12189</v>
      </c>
      <c r="D4808" s="3">
        <f>IFERROR(__xludf.DUMMYFUNCTION("""COMPUTED_VALUE"""),12094.1)</f>
        <v>12094.1</v>
      </c>
      <c r="E4808" s="3">
        <f>IFERROR(__xludf.DUMMYFUNCTION("""COMPUTED_VALUE"""),12180.35)</f>
        <v>12180.35</v>
      </c>
      <c r="F4808" s="3">
        <f>IFERROR(__xludf.DUMMYFUNCTION("""COMPUTED_VALUE"""),0.0)</f>
        <v>0</v>
      </c>
    </row>
    <row r="4809">
      <c r="A4809" s="7">
        <f>IFERROR(__xludf.DUMMYFUNCTION("""COMPUTED_VALUE"""),43854.64583333333)</f>
        <v>43854.64583</v>
      </c>
      <c r="B4809" s="3">
        <f>IFERROR(__xludf.DUMMYFUNCTION("""COMPUTED_VALUE"""),12174.55)</f>
        <v>12174.55</v>
      </c>
      <c r="C4809" s="3">
        <f>IFERROR(__xludf.DUMMYFUNCTION("""COMPUTED_VALUE"""),12272.15)</f>
        <v>12272.15</v>
      </c>
      <c r="D4809" s="3">
        <f>IFERROR(__xludf.DUMMYFUNCTION("""COMPUTED_VALUE"""),12149.65)</f>
        <v>12149.65</v>
      </c>
      <c r="E4809" s="3">
        <f>IFERROR(__xludf.DUMMYFUNCTION("""COMPUTED_VALUE"""),12248.25)</f>
        <v>12248.25</v>
      </c>
      <c r="F4809" s="3">
        <f>IFERROR(__xludf.DUMMYFUNCTION("""COMPUTED_VALUE"""),0.0)</f>
        <v>0</v>
      </c>
    </row>
    <row r="4810">
      <c r="A4810" s="7">
        <f>IFERROR(__xludf.DUMMYFUNCTION("""COMPUTED_VALUE"""),43857.64583333333)</f>
        <v>43857.64583</v>
      </c>
      <c r="B4810" s="3">
        <f>IFERROR(__xludf.DUMMYFUNCTION("""COMPUTED_VALUE"""),12197.1)</f>
        <v>12197.1</v>
      </c>
      <c r="C4810" s="3">
        <f>IFERROR(__xludf.DUMMYFUNCTION("""COMPUTED_VALUE"""),12216.6)</f>
        <v>12216.6</v>
      </c>
      <c r="D4810" s="3">
        <f>IFERROR(__xludf.DUMMYFUNCTION("""COMPUTED_VALUE"""),12107.0)</f>
        <v>12107</v>
      </c>
      <c r="E4810" s="3">
        <f>IFERROR(__xludf.DUMMYFUNCTION("""COMPUTED_VALUE"""),12119.0)</f>
        <v>12119</v>
      </c>
      <c r="F4810" s="3">
        <f>IFERROR(__xludf.DUMMYFUNCTION("""COMPUTED_VALUE"""),0.0)</f>
        <v>0</v>
      </c>
    </row>
    <row r="4811">
      <c r="A4811" s="7">
        <f>IFERROR(__xludf.DUMMYFUNCTION("""COMPUTED_VALUE"""),43858.64583333333)</f>
        <v>43858.64583</v>
      </c>
      <c r="B4811" s="3">
        <f>IFERROR(__xludf.DUMMYFUNCTION("""COMPUTED_VALUE"""),12148.1)</f>
        <v>12148.1</v>
      </c>
      <c r="C4811" s="3">
        <f>IFERROR(__xludf.DUMMYFUNCTION("""COMPUTED_VALUE"""),12163.55)</f>
        <v>12163.55</v>
      </c>
      <c r="D4811" s="3">
        <f>IFERROR(__xludf.DUMMYFUNCTION("""COMPUTED_VALUE"""),12024.5)</f>
        <v>12024.5</v>
      </c>
      <c r="E4811" s="3">
        <f>IFERROR(__xludf.DUMMYFUNCTION("""COMPUTED_VALUE"""),12055.8)</f>
        <v>12055.8</v>
      </c>
      <c r="F4811" s="3">
        <f>IFERROR(__xludf.DUMMYFUNCTION("""COMPUTED_VALUE"""),0.0)</f>
        <v>0</v>
      </c>
    </row>
    <row r="4812">
      <c r="A4812" s="7">
        <f>IFERROR(__xludf.DUMMYFUNCTION("""COMPUTED_VALUE"""),43859.64583333333)</f>
        <v>43859.64583</v>
      </c>
      <c r="B4812" s="3">
        <f>IFERROR(__xludf.DUMMYFUNCTION("""COMPUTED_VALUE"""),12114.9)</f>
        <v>12114.9</v>
      </c>
      <c r="C4812" s="3">
        <f>IFERROR(__xludf.DUMMYFUNCTION("""COMPUTED_VALUE"""),12169.6)</f>
        <v>12169.6</v>
      </c>
      <c r="D4812" s="3">
        <f>IFERROR(__xludf.DUMMYFUNCTION("""COMPUTED_VALUE"""),12103.8)</f>
        <v>12103.8</v>
      </c>
      <c r="E4812" s="3">
        <f>IFERROR(__xludf.DUMMYFUNCTION("""COMPUTED_VALUE"""),12129.5)</f>
        <v>12129.5</v>
      </c>
      <c r="F4812" s="3">
        <f>IFERROR(__xludf.DUMMYFUNCTION("""COMPUTED_VALUE"""),0.0)</f>
        <v>0</v>
      </c>
    </row>
    <row r="4813">
      <c r="A4813" s="7">
        <f>IFERROR(__xludf.DUMMYFUNCTION("""COMPUTED_VALUE"""),43860.64583333333)</f>
        <v>43860.64583</v>
      </c>
      <c r="B4813" s="3">
        <f>IFERROR(__xludf.DUMMYFUNCTION("""COMPUTED_VALUE"""),12147.75)</f>
        <v>12147.75</v>
      </c>
      <c r="C4813" s="3">
        <f>IFERROR(__xludf.DUMMYFUNCTION("""COMPUTED_VALUE"""),12150.3)</f>
        <v>12150.3</v>
      </c>
      <c r="D4813" s="3">
        <f>IFERROR(__xludf.DUMMYFUNCTION("""COMPUTED_VALUE"""),12010.6)</f>
        <v>12010.6</v>
      </c>
      <c r="E4813" s="3">
        <f>IFERROR(__xludf.DUMMYFUNCTION("""COMPUTED_VALUE"""),12035.8)</f>
        <v>12035.8</v>
      </c>
      <c r="F4813" s="3">
        <f>IFERROR(__xludf.DUMMYFUNCTION("""COMPUTED_VALUE"""),0.0)</f>
        <v>0</v>
      </c>
    </row>
    <row r="4814">
      <c r="A4814" s="7">
        <f>IFERROR(__xludf.DUMMYFUNCTION("""COMPUTED_VALUE"""),43861.64583333333)</f>
        <v>43861.64583</v>
      </c>
      <c r="B4814" s="3">
        <f>IFERROR(__xludf.DUMMYFUNCTION("""COMPUTED_VALUE"""),12100.4)</f>
        <v>12100.4</v>
      </c>
      <c r="C4814" s="3">
        <f>IFERROR(__xludf.DUMMYFUNCTION("""COMPUTED_VALUE"""),12103.55)</f>
        <v>12103.55</v>
      </c>
      <c r="D4814" s="3">
        <f>IFERROR(__xludf.DUMMYFUNCTION("""COMPUTED_VALUE"""),11945.85)</f>
        <v>11945.85</v>
      </c>
      <c r="E4814" s="3">
        <f>IFERROR(__xludf.DUMMYFUNCTION("""COMPUTED_VALUE"""),11962.1)</f>
        <v>11962.1</v>
      </c>
      <c r="F4814" s="3">
        <f>IFERROR(__xludf.DUMMYFUNCTION("""COMPUTED_VALUE"""),0.0)</f>
        <v>0</v>
      </c>
    </row>
    <row r="4815">
      <c r="A4815" s="7">
        <f>IFERROR(__xludf.DUMMYFUNCTION("""COMPUTED_VALUE"""),43862.70833333333)</f>
        <v>43862.70833</v>
      </c>
      <c r="B4815" s="3">
        <f>IFERROR(__xludf.DUMMYFUNCTION("""COMPUTED_VALUE"""),11939.0)</f>
        <v>11939</v>
      </c>
      <c r="C4815" s="3">
        <f>IFERROR(__xludf.DUMMYFUNCTION("""COMPUTED_VALUE"""),12017.35)</f>
        <v>12017.35</v>
      </c>
      <c r="D4815" s="3">
        <f>IFERROR(__xludf.DUMMYFUNCTION("""COMPUTED_VALUE"""),11633.3)</f>
        <v>11633.3</v>
      </c>
      <c r="E4815" s="3">
        <f>IFERROR(__xludf.DUMMYFUNCTION("""COMPUTED_VALUE"""),11641.25)</f>
        <v>11641.25</v>
      </c>
      <c r="F4815" s="3">
        <f>IFERROR(__xludf.DUMMYFUNCTION("""COMPUTED_VALUE"""),0.0)</f>
        <v>0</v>
      </c>
    </row>
    <row r="4816">
      <c r="A4816" s="7">
        <f>IFERROR(__xludf.DUMMYFUNCTION("""COMPUTED_VALUE"""),43864.64583333333)</f>
        <v>43864.64583</v>
      </c>
      <c r="B4816" s="3">
        <f>IFERROR(__xludf.DUMMYFUNCTION("""COMPUTED_VALUE"""),11627.45)</f>
        <v>11627.45</v>
      </c>
      <c r="C4816" s="3">
        <f>IFERROR(__xludf.DUMMYFUNCTION("""COMPUTED_VALUE"""),11749.85)</f>
        <v>11749.85</v>
      </c>
      <c r="D4816" s="3">
        <f>IFERROR(__xludf.DUMMYFUNCTION("""COMPUTED_VALUE"""),11614.5)</f>
        <v>11614.5</v>
      </c>
      <c r="E4816" s="3">
        <f>IFERROR(__xludf.DUMMYFUNCTION("""COMPUTED_VALUE"""),11707.9)</f>
        <v>11707.9</v>
      </c>
      <c r="F4816" s="3">
        <f>IFERROR(__xludf.DUMMYFUNCTION("""COMPUTED_VALUE"""),0.0)</f>
        <v>0</v>
      </c>
    </row>
    <row r="4817">
      <c r="A4817" s="7">
        <f>IFERROR(__xludf.DUMMYFUNCTION("""COMPUTED_VALUE"""),43865.64583333333)</f>
        <v>43865.64583</v>
      </c>
      <c r="B4817" s="3">
        <f>IFERROR(__xludf.DUMMYFUNCTION("""COMPUTED_VALUE"""),11786.25)</f>
        <v>11786.25</v>
      </c>
      <c r="C4817" s="3">
        <f>IFERROR(__xludf.DUMMYFUNCTION("""COMPUTED_VALUE"""),11986.15)</f>
        <v>11986.15</v>
      </c>
      <c r="D4817" s="3">
        <f>IFERROR(__xludf.DUMMYFUNCTION("""COMPUTED_VALUE"""),11783.4)</f>
        <v>11783.4</v>
      </c>
      <c r="E4817" s="3">
        <f>IFERROR(__xludf.DUMMYFUNCTION("""COMPUTED_VALUE"""),11979.65)</f>
        <v>11979.65</v>
      </c>
      <c r="F4817" s="3">
        <f>IFERROR(__xludf.DUMMYFUNCTION("""COMPUTED_VALUE"""),0.0)</f>
        <v>0</v>
      </c>
    </row>
    <row r="4818">
      <c r="A4818" s="7">
        <f>IFERROR(__xludf.DUMMYFUNCTION("""COMPUTED_VALUE"""),43866.64583333333)</f>
        <v>43866.64583</v>
      </c>
      <c r="B4818" s="3">
        <f>IFERROR(__xludf.DUMMYFUNCTION("""COMPUTED_VALUE"""),12005.85)</f>
        <v>12005.85</v>
      </c>
      <c r="C4818" s="3">
        <f>IFERROR(__xludf.DUMMYFUNCTION("""COMPUTED_VALUE"""),12098.15)</f>
        <v>12098.15</v>
      </c>
      <c r="D4818" s="3">
        <f>IFERROR(__xludf.DUMMYFUNCTION("""COMPUTED_VALUE"""),11953.35)</f>
        <v>11953.35</v>
      </c>
      <c r="E4818" s="3">
        <f>IFERROR(__xludf.DUMMYFUNCTION("""COMPUTED_VALUE"""),12089.15)</f>
        <v>12089.15</v>
      </c>
      <c r="F4818" s="3">
        <f>IFERROR(__xludf.DUMMYFUNCTION("""COMPUTED_VALUE"""),0.0)</f>
        <v>0</v>
      </c>
    </row>
    <row r="4819">
      <c r="A4819" s="7">
        <f>IFERROR(__xludf.DUMMYFUNCTION("""COMPUTED_VALUE"""),43867.64583333333)</f>
        <v>43867.64583</v>
      </c>
      <c r="B4819" s="3">
        <f>IFERROR(__xludf.DUMMYFUNCTION("""COMPUTED_VALUE"""),12120.0)</f>
        <v>12120</v>
      </c>
      <c r="C4819" s="3">
        <f>IFERROR(__xludf.DUMMYFUNCTION("""COMPUTED_VALUE"""),12160.6)</f>
        <v>12160.6</v>
      </c>
      <c r="D4819" s="3">
        <f>IFERROR(__xludf.DUMMYFUNCTION("""COMPUTED_VALUE"""),12084.65)</f>
        <v>12084.65</v>
      </c>
      <c r="E4819" s="3">
        <f>IFERROR(__xludf.DUMMYFUNCTION("""COMPUTED_VALUE"""),12137.95)</f>
        <v>12137.95</v>
      </c>
      <c r="F4819" s="3">
        <f>IFERROR(__xludf.DUMMYFUNCTION("""COMPUTED_VALUE"""),0.0)</f>
        <v>0</v>
      </c>
    </row>
    <row r="4820">
      <c r="A4820" s="7">
        <f>IFERROR(__xludf.DUMMYFUNCTION("""COMPUTED_VALUE"""),43868.64583333333)</f>
        <v>43868.64583</v>
      </c>
      <c r="B4820" s="3">
        <f>IFERROR(__xludf.DUMMYFUNCTION("""COMPUTED_VALUE"""),12151.15)</f>
        <v>12151.15</v>
      </c>
      <c r="C4820" s="3">
        <f>IFERROR(__xludf.DUMMYFUNCTION("""COMPUTED_VALUE"""),12154.7)</f>
        <v>12154.7</v>
      </c>
      <c r="D4820" s="3">
        <f>IFERROR(__xludf.DUMMYFUNCTION("""COMPUTED_VALUE"""),12073.95)</f>
        <v>12073.95</v>
      </c>
      <c r="E4820" s="3">
        <f>IFERROR(__xludf.DUMMYFUNCTION("""COMPUTED_VALUE"""),12098.35)</f>
        <v>12098.35</v>
      </c>
      <c r="F4820" s="3">
        <f>IFERROR(__xludf.DUMMYFUNCTION("""COMPUTED_VALUE"""),0.0)</f>
        <v>0</v>
      </c>
    </row>
    <row r="4821">
      <c r="A4821" s="7">
        <f>IFERROR(__xludf.DUMMYFUNCTION("""COMPUTED_VALUE"""),43871.64583333333)</f>
        <v>43871.64583</v>
      </c>
      <c r="B4821" s="3">
        <f>IFERROR(__xludf.DUMMYFUNCTION("""COMPUTED_VALUE"""),12102.35)</f>
        <v>12102.35</v>
      </c>
      <c r="C4821" s="3">
        <f>IFERROR(__xludf.DUMMYFUNCTION("""COMPUTED_VALUE"""),12103.55)</f>
        <v>12103.55</v>
      </c>
      <c r="D4821" s="3">
        <f>IFERROR(__xludf.DUMMYFUNCTION("""COMPUTED_VALUE"""),11990.75)</f>
        <v>11990.75</v>
      </c>
      <c r="E4821" s="3">
        <f>IFERROR(__xludf.DUMMYFUNCTION("""COMPUTED_VALUE"""),12031.5)</f>
        <v>12031.5</v>
      </c>
      <c r="F4821" s="3">
        <f>IFERROR(__xludf.DUMMYFUNCTION("""COMPUTED_VALUE"""),0.0)</f>
        <v>0</v>
      </c>
    </row>
    <row r="4822">
      <c r="A4822" s="7">
        <f>IFERROR(__xludf.DUMMYFUNCTION("""COMPUTED_VALUE"""),43872.64583333333)</f>
        <v>43872.64583</v>
      </c>
      <c r="B4822" s="3">
        <f>IFERROR(__xludf.DUMMYFUNCTION("""COMPUTED_VALUE"""),12108.4)</f>
        <v>12108.4</v>
      </c>
      <c r="C4822" s="3">
        <f>IFERROR(__xludf.DUMMYFUNCTION("""COMPUTED_VALUE"""),12172.3)</f>
        <v>12172.3</v>
      </c>
      <c r="D4822" s="3">
        <f>IFERROR(__xludf.DUMMYFUNCTION("""COMPUTED_VALUE"""),12099.0)</f>
        <v>12099</v>
      </c>
      <c r="E4822" s="3">
        <f>IFERROR(__xludf.DUMMYFUNCTION("""COMPUTED_VALUE"""),12107.9)</f>
        <v>12107.9</v>
      </c>
      <c r="F4822" s="3">
        <f>IFERROR(__xludf.DUMMYFUNCTION("""COMPUTED_VALUE"""),0.0)</f>
        <v>0</v>
      </c>
    </row>
    <row r="4823">
      <c r="A4823" s="7">
        <f>IFERROR(__xludf.DUMMYFUNCTION("""COMPUTED_VALUE"""),43873.64583333333)</f>
        <v>43873.64583</v>
      </c>
      <c r="B4823" s="3">
        <f>IFERROR(__xludf.DUMMYFUNCTION("""COMPUTED_VALUE"""),12151.0)</f>
        <v>12151</v>
      </c>
      <c r="C4823" s="3">
        <f>IFERROR(__xludf.DUMMYFUNCTION("""COMPUTED_VALUE"""),12231.75)</f>
        <v>12231.75</v>
      </c>
      <c r="D4823" s="3">
        <f>IFERROR(__xludf.DUMMYFUNCTION("""COMPUTED_VALUE"""),12144.3)</f>
        <v>12144.3</v>
      </c>
      <c r="E4823" s="3">
        <f>IFERROR(__xludf.DUMMYFUNCTION("""COMPUTED_VALUE"""),12201.2)</f>
        <v>12201.2</v>
      </c>
      <c r="F4823" s="3">
        <f>IFERROR(__xludf.DUMMYFUNCTION("""COMPUTED_VALUE"""),0.0)</f>
        <v>0</v>
      </c>
    </row>
    <row r="4824">
      <c r="A4824" s="7">
        <f>IFERROR(__xludf.DUMMYFUNCTION("""COMPUTED_VALUE"""),43874.64583333333)</f>
        <v>43874.64583</v>
      </c>
      <c r="B4824" s="3">
        <f>IFERROR(__xludf.DUMMYFUNCTION("""COMPUTED_VALUE"""),12219.55)</f>
        <v>12219.55</v>
      </c>
      <c r="C4824" s="3">
        <f>IFERROR(__xludf.DUMMYFUNCTION("""COMPUTED_VALUE"""),12225.65)</f>
        <v>12225.65</v>
      </c>
      <c r="D4824" s="3">
        <f>IFERROR(__xludf.DUMMYFUNCTION("""COMPUTED_VALUE"""),12139.8)</f>
        <v>12139.8</v>
      </c>
      <c r="E4824" s="3">
        <f>IFERROR(__xludf.DUMMYFUNCTION("""COMPUTED_VALUE"""),12174.65)</f>
        <v>12174.65</v>
      </c>
      <c r="F4824" s="3">
        <f>IFERROR(__xludf.DUMMYFUNCTION("""COMPUTED_VALUE"""),0.0)</f>
        <v>0</v>
      </c>
    </row>
    <row r="4825">
      <c r="A4825" s="7">
        <f>IFERROR(__xludf.DUMMYFUNCTION("""COMPUTED_VALUE"""),43875.64583333333)</f>
        <v>43875.64583</v>
      </c>
      <c r="B4825" s="3">
        <f>IFERROR(__xludf.DUMMYFUNCTION("""COMPUTED_VALUE"""),12190.15)</f>
        <v>12190.15</v>
      </c>
      <c r="C4825" s="3">
        <f>IFERROR(__xludf.DUMMYFUNCTION("""COMPUTED_VALUE"""),12246.7)</f>
        <v>12246.7</v>
      </c>
      <c r="D4825" s="3">
        <f>IFERROR(__xludf.DUMMYFUNCTION("""COMPUTED_VALUE"""),12091.2)</f>
        <v>12091.2</v>
      </c>
      <c r="E4825" s="3">
        <f>IFERROR(__xludf.DUMMYFUNCTION("""COMPUTED_VALUE"""),12113.45)</f>
        <v>12113.45</v>
      </c>
      <c r="F4825" s="3">
        <f>IFERROR(__xludf.DUMMYFUNCTION("""COMPUTED_VALUE"""),0.0)</f>
        <v>0</v>
      </c>
    </row>
    <row r="4826">
      <c r="A4826" s="7">
        <f>IFERROR(__xludf.DUMMYFUNCTION("""COMPUTED_VALUE"""),43878.64583333333)</f>
        <v>43878.64583</v>
      </c>
      <c r="B4826" s="3">
        <f>IFERROR(__xludf.DUMMYFUNCTION("""COMPUTED_VALUE"""),12131.8)</f>
        <v>12131.8</v>
      </c>
      <c r="C4826" s="3">
        <f>IFERROR(__xludf.DUMMYFUNCTION("""COMPUTED_VALUE"""),12159.6)</f>
        <v>12159.6</v>
      </c>
      <c r="D4826" s="3">
        <f>IFERROR(__xludf.DUMMYFUNCTION("""COMPUTED_VALUE"""),12037.0)</f>
        <v>12037</v>
      </c>
      <c r="E4826" s="3">
        <f>IFERROR(__xludf.DUMMYFUNCTION("""COMPUTED_VALUE"""),12045.8)</f>
        <v>12045.8</v>
      </c>
      <c r="F4826" s="3">
        <f>IFERROR(__xludf.DUMMYFUNCTION("""COMPUTED_VALUE"""),0.0)</f>
        <v>0</v>
      </c>
    </row>
    <row r="4827">
      <c r="A4827" s="7">
        <f>IFERROR(__xludf.DUMMYFUNCTION("""COMPUTED_VALUE"""),43879.64583333333)</f>
        <v>43879.64583</v>
      </c>
      <c r="B4827" s="3">
        <f>IFERROR(__xludf.DUMMYFUNCTION("""COMPUTED_VALUE"""),12028.25)</f>
        <v>12028.25</v>
      </c>
      <c r="C4827" s="3">
        <f>IFERROR(__xludf.DUMMYFUNCTION("""COMPUTED_VALUE"""),12030.75)</f>
        <v>12030.75</v>
      </c>
      <c r="D4827" s="3">
        <f>IFERROR(__xludf.DUMMYFUNCTION("""COMPUTED_VALUE"""),11908.05)</f>
        <v>11908.05</v>
      </c>
      <c r="E4827" s="3">
        <f>IFERROR(__xludf.DUMMYFUNCTION("""COMPUTED_VALUE"""),11992.5)</f>
        <v>11992.5</v>
      </c>
      <c r="F4827" s="3">
        <f>IFERROR(__xludf.DUMMYFUNCTION("""COMPUTED_VALUE"""),0.0)</f>
        <v>0</v>
      </c>
    </row>
    <row r="4828">
      <c r="A4828" s="7">
        <f>IFERROR(__xludf.DUMMYFUNCTION("""COMPUTED_VALUE"""),43880.64583333333)</f>
        <v>43880.64583</v>
      </c>
      <c r="B4828" s="3">
        <f>IFERROR(__xludf.DUMMYFUNCTION("""COMPUTED_VALUE"""),12090.6)</f>
        <v>12090.6</v>
      </c>
      <c r="C4828" s="3">
        <f>IFERROR(__xludf.DUMMYFUNCTION("""COMPUTED_VALUE"""),12134.7)</f>
        <v>12134.7</v>
      </c>
      <c r="D4828" s="3">
        <f>IFERROR(__xludf.DUMMYFUNCTION("""COMPUTED_VALUE"""),12042.1)</f>
        <v>12042.1</v>
      </c>
      <c r="E4828" s="3">
        <f>IFERROR(__xludf.DUMMYFUNCTION("""COMPUTED_VALUE"""),12125.9)</f>
        <v>12125.9</v>
      </c>
      <c r="F4828" s="3">
        <f>IFERROR(__xludf.DUMMYFUNCTION("""COMPUTED_VALUE"""),0.0)</f>
        <v>0</v>
      </c>
    </row>
    <row r="4829">
      <c r="A4829" s="7">
        <f>IFERROR(__xludf.DUMMYFUNCTION("""COMPUTED_VALUE"""),43881.64583333333)</f>
        <v>43881.64583</v>
      </c>
      <c r="B4829" s="3">
        <f>IFERROR(__xludf.DUMMYFUNCTION("""COMPUTED_VALUE"""),12119.0)</f>
        <v>12119</v>
      </c>
      <c r="C4829" s="3">
        <f>IFERROR(__xludf.DUMMYFUNCTION("""COMPUTED_VALUE"""),12152.0)</f>
        <v>12152</v>
      </c>
      <c r="D4829" s="3">
        <f>IFERROR(__xludf.DUMMYFUNCTION("""COMPUTED_VALUE"""),12071.45)</f>
        <v>12071.45</v>
      </c>
      <c r="E4829" s="3">
        <f>IFERROR(__xludf.DUMMYFUNCTION("""COMPUTED_VALUE"""),12080.85)</f>
        <v>12080.85</v>
      </c>
      <c r="F4829" s="3">
        <f>IFERROR(__xludf.DUMMYFUNCTION("""COMPUTED_VALUE"""),0.0)</f>
        <v>0</v>
      </c>
    </row>
    <row r="4830">
      <c r="A4830" s="7">
        <f>IFERROR(__xludf.DUMMYFUNCTION("""COMPUTED_VALUE"""),43885.64583333333)</f>
        <v>43885.64583</v>
      </c>
      <c r="B4830" s="3">
        <f>IFERROR(__xludf.DUMMYFUNCTION("""COMPUTED_VALUE"""),12012.55)</f>
        <v>12012.55</v>
      </c>
      <c r="C4830" s="3">
        <f>IFERROR(__xludf.DUMMYFUNCTION("""COMPUTED_VALUE"""),12012.55)</f>
        <v>12012.55</v>
      </c>
      <c r="D4830" s="3">
        <f>IFERROR(__xludf.DUMMYFUNCTION("""COMPUTED_VALUE"""),11813.4)</f>
        <v>11813.4</v>
      </c>
      <c r="E4830" s="3">
        <f>IFERROR(__xludf.DUMMYFUNCTION("""COMPUTED_VALUE"""),11829.4)</f>
        <v>11829.4</v>
      </c>
      <c r="F4830" s="3">
        <f>IFERROR(__xludf.DUMMYFUNCTION("""COMPUTED_VALUE"""),0.0)</f>
        <v>0</v>
      </c>
    </row>
    <row r="4831">
      <c r="A4831" s="7">
        <f>IFERROR(__xludf.DUMMYFUNCTION("""COMPUTED_VALUE"""),43886.64583333333)</f>
        <v>43886.64583</v>
      </c>
      <c r="B4831" s="3">
        <f>IFERROR(__xludf.DUMMYFUNCTION("""COMPUTED_VALUE"""),11877.5)</f>
        <v>11877.5</v>
      </c>
      <c r="C4831" s="3">
        <f>IFERROR(__xludf.DUMMYFUNCTION("""COMPUTED_VALUE"""),11883.05)</f>
        <v>11883.05</v>
      </c>
      <c r="D4831" s="3">
        <f>IFERROR(__xludf.DUMMYFUNCTION("""COMPUTED_VALUE"""),11779.9)</f>
        <v>11779.9</v>
      </c>
      <c r="E4831" s="3">
        <f>IFERROR(__xludf.DUMMYFUNCTION("""COMPUTED_VALUE"""),11797.9)</f>
        <v>11797.9</v>
      </c>
      <c r="F4831" s="3">
        <f>IFERROR(__xludf.DUMMYFUNCTION("""COMPUTED_VALUE"""),0.0)</f>
        <v>0</v>
      </c>
    </row>
    <row r="4832">
      <c r="A4832" s="7">
        <f>IFERROR(__xludf.DUMMYFUNCTION("""COMPUTED_VALUE"""),43887.64583333333)</f>
        <v>43887.64583</v>
      </c>
      <c r="B4832" s="3">
        <f>IFERROR(__xludf.DUMMYFUNCTION("""COMPUTED_VALUE"""),11738.55)</f>
        <v>11738.55</v>
      </c>
      <c r="C4832" s="3">
        <f>IFERROR(__xludf.DUMMYFUNCTION("""COMPUTED_VALUE"""),11783.25)</f>
        <v>11783.25</v>
      </c>
      <c r="D4832" s="3">
        <f>IFERROR(__xludf.DUMMYFUNCTION("""COMPUTED_VALUE"""),11639.6)</f>
        <v>11639.6</v>
      </c>
      <c r="E4832" s="3">
        <f>IFERROR(__xludf.DUMMYFUNCTION("""COMPUTED_VALUE"""),11678.5)</f>
        <v>11678.5</v>
      </c>
      <c r="F4832" s="3">
        <f>IFERROR(__xludf.DUMMYFUNCTION("""COMPUTED_VALUE"""),0.0)</f>
        <v>0</v>
      </c>
    </row>
    <row r="4833">
      <c r="A4833" s="7">
        <f>IFERROR(__xludf.DUMMYFUNCTION("""COMPUTED_VALUE"""),43888.64583333333)</f>
        <v>43888.64583</v>
      </c>
      <c r="B4833" s="3">
        <f>IFERROR(__xludf.DUMMYFUNCTION("""COMPUTED_VALUE"""),11661.25)</f>
        <v>11661.25</v>
      </c>
      <c r="C4833" s="3">
        <f>IFERROR(__xludf.DUMMYFUNCTION("""COMPUTED_VALUE"""),11663.85)</f>
        <v>11663.85</v>
      </c>
      <c r="D4833" s="3">
        <f>IFERROR(__xludf.DUMMYFUNCTION("""COMPUTED_VALUE"""),11536.7)</f>
        <v>11536.7</v>
      </c>
      <c r="E4833" s="3">
        <f>IFERROR(__xludf.DUMMYFUNCTION("""COMPUTED_VALUE"""),11633.3)</f>
        <v>11633.3</v>
      </c>
      <c r="F4833" s="3">
        <f>IFERROR(__xludf.DUMMYFUNCTION("""COMPUTED_VALUE"""),0.0)</f>
        <v>0</v>
      </c>
    </row>
    <row r="4834">
      <c r="A4834" s="7">
        <f>IFERROR(__xludf.DUMMYFUNCTION("""COMPUTED_VALUE"""),43889.64583333333)</f>
        <v>43889.64583</v>
      </c>
      <c r="B4834" s="3">
        <f>IFERROR(__xludf.DUMMYFUNCTION("""COMPUTED_VALUE"""),11382.0)</f>
        <v>11382</v>
      </c>
      <c r="C4834" s="3">
        <f>IFERROR(__xludf.DUMMYFUNCTION("""COMPUTED_VALUE"""),11384.8)</f>
        <v>11384.8</v>
      </c>
      <c r="D4834" s="3">
        <f>IFERROR(__xludf.DUMMYFUNCTION("""COMPUTED_VALUE"""),11175.05)</f>
        <v>11175.05</v>
      </c>
      <c r="E4834" s="3">
        <f>IFERROR(__xludf.DUMMYFUNCTION("""COMPUTED_VALUE"""),11201.75)</f>
        <v>11201.75</v>
      </c>
      <c r="F4834" s="3">
        <f>IFERROR(__xludf.DUMMYFUNCTION("""COMPUTED_VALUE"""),0.0)</f>
        <v>0</v>
      </c>
    </row>
    <row r="4835">
      <c r="A4835" s="7">
        <f>IFERROR(__xludf.DUMMYFUNCTION("""COMPUTED_VALUE"""),43892.64583333333)</f>
        <v>43892.64583</v>
      </c>
      <c r="B4835" s="3">
        <f>IFERROR(__xludf.DUMMYFUNCTION("""COMPUTED_VALUE"""),11387.35)</f>
        <v>11387.35</v>
      </c>
      <c r="C4835" s="3">
        <f>IFERROR(__xludf.DUMMYFUNCTION("""COMPUTED_VALUE"""),11433.0)</f>
        <v>11433</v>
      </c>
      <c r="D4835" s="3">
        <f>IFERROR(__xludf.DUMMYFUNCTION("""COMPUTED_VALUE"""),11036.25)</f>
        <v>11036.25</v>
      </c>
      <c r="E4835" s="3">
        <f>IFERROR(__xludf.DUMMYFUNCTION("""COMPUTED_VALUE"""),11132.75)</f>
        <v>11132.75</v>
      </c>
      <c r="F4835" s="3">
        <f>IFERROR(__xludf.DUMMYFUNCTION("""COMPUTED_VALUE"""),0.0)</f>
        <v>0</v>
      </c>
    </row>
    <row r="4836">
      <c r="A4836" s="7">
        <f>IFERROR(__xludf.DUMMYFUNCTION("""COMPUTED_VALUE"""),43893.64583333333)</f>
        <v>43893.64583</v>
      </c>
      <c r="B4836" s="3">
        <f>IFERROR(__xludf.DUMMYFUNCTION("""COMPUTED_VALUE"""),11217.55)</f>
        <v>11217.55</v>
      </c>
      <c r="C4836" s="3">
        <f>IFERROR(__xludf.DUMMYFUNCTION("""COMPUTED_VALUE"""),11342.25)</f>
        <v>11342.25</v>
      </c>
      <c r="D4836" s="3">
        <f>IFERROR(__xludf.DUMMYFUNCTION("""COMPUTED_VALUE"""),11152.55)</f>
        <v>11152.55</v>
      </c>
      <c r="E4836" s="3">
        <f>IFERROR(__xludf.DUMMYFUNCTION("""COMPUTED_VALUE"""),11303.3)</f>
        <v>11303.3</v>
      </c>
      <c r="F4836" s="3">
        <f>IFERROR(__xludf.DUMMYFUNCTION("""COMPUTED_VALUE"""),0.0)</f>
        <v>0</v>
      </c>
    </row>
    <row r="4837">
      <c r="A4837" s="7">
        <f>IFERROR(__xludf.DUMMYFUNCTION("""COMPUTED_VALUE"""),43894.64583333333)</f>
        <v>43894.64583</v>
      </c>
      <c r="B4837" s="3">
        <f>IFERROR(__xludf.DUMMYFUNCTION("""COMPUTED_VALUE"""),11351.35)</f>
        <v>11351.35</v>
      </c>
      <c r="C4837" s="3">
        <f>IFERROR(__xludf.DUMMYFUNCTION("""COMPUTED_VALUE"""),11356.6)</f>
        <v>11356.6</v>
      </c>
      <c r="D4837" s="3">
        <f>IFERROR(__xludf.DUMMYFUNCTION("""COMPUTED_VALUE"""),11082.15)</f>
        <v>11082.15</v>
      </c>
      <c r="E4837" s="3">
        <f>IFERROR(__xludf.DUMMYFUNCTION("""COMPUTED_VALUE"""),11251.0)</f>
        <v>11251</v>
      </c>
      <c r="F4837" s="3">
        <f>IFERROR(__xludf.DUMMYFUNCTION("""COMPUTED_VALUE"""),0.0)</f>
        <v>0</v>
      </c>
    </row>
    <row r="4838">
      <c r="A4838" s="7">
        <f>IFERROR(__xludf.DUMMYFUNCTION("""COMPUTED_VALUE"""),43895.64583333333)</f>
        <v>43895.64583</v>
      </c>
      <c r="B4838" s="3">
        <f>IFERROR(__xludf.DUMMYFUNCTION("""COMPUTED_VALUE"""),11306.05)</f>
        <v>11306.05</v>
      </c>
      <c r="C4838" s="3">
        <f>IFERROR(__xludf.DUMMYFUNCTION("""COMPUTED_VALUE"""),11389.5)</f>
        <v>11389.5</v>
      </c>
      <c r="D4838" s="3">
        <f>IFERROR(__xludf.DUMMYFUNCTION("""COMPUTED_VALUE"""),11244.6)</f>
        <v>11244.6</v>
      </c>
      <c r="E4838" s="3">
        <f>IFERROR(__xludf.DUMMYFUNCTION("""COMPUTED_VALUE"""),11269.0)</f>
        <v>11269</v>
      </c>
      <c r="F4838" s="3">
        <f>IFERROR(__xludf.DUMMYFUNCTION("""COMPUTED_VALUE"""),0.0)</f>
        <v>0</v>
      </c>
    </row>
    <row r="4839">
      <c r="A4839" s="7">
        <f>IFERROR(__xludf.DUMMYFUNCTION("""COMPUTED_VALUE"""),43896.64583333333)</f>
        <v>43896.64583</v>
      </c>
      <c r="B4839" s="3">
        <f>IFERROR(__xludf.DUMMYFUNCTION("""COMPUTED_VALUE"""),10942.65)</f>
        <v>10942.65</v>
      </c>
      <c r="C4839" s="3">
        <f>IFERROR(__xludf.DUMMYFUNCTION("""COMPUTED_VALUE"""),11035.1)</f>
        <v>11035.1</v>
      </c>
      <c r="D4839" s="3">
        <f>IFERROR(__xludf.DUMMYFUNCTION("""COMPUTED_VALUE"""),10827.4)</f>
        <v>10827.4</v>
      </c>
      <c r="E4839" s="3">
        <f>IFERROR(__xludf.DUMMYFUNCTION("""COMPUTED_VALUE"""),10989.45)</f>
        <v>10989.45</v>
      </c>
      <c r="F4839" s="3">
        <f>IFERROR(__xludf.DUMMYFUNCTION("""COMPUTED_VALUE"""),0.0)</f>
        <v>0</v>
      </c>
    </row>
    <row r="4840">
      <c r="A4840" s="7">
        <f>IFERROR(__xludf.DUMMYFUNCTION("""COMPUTED_VALUE"""),43899.64583333333)</f>
        <v>43899.64583</v>
      </c>
      <c r="B4840" s="3">
        <f>IFERROR(__xludf.DUMMYFUNCTION("""COMPUTED_VALUE"""),10742.05)</f>
        <v>10742.05</v>
      </c>
      <c r="C4840" s="3">
        <f>IFERROR(__xludf.DUMMYFUNCTION("""COMPUTED_VALUE"""),10751.55)</f>
        <v>10751.55</v>
      </c>
      <c r="D4840" s="3">
        <f>IFERROR(__xludf.DUMMYFUNCTION("""COMPUTED_VALUE"""),10294.45)</f>
        <v>10294.45</v>
      </c>
      <c r="E4840" s="3">
        <f>IFERROR(__xludf.DUMMYFUNCTION("""COMPUTED_VALUE"""),10451.45)</f>
        <v>10451.45</v>
      </c>
      <c r="F4840" s="3">
        <f>IFERROR(__xludf.DUMMYFUNCTION("""COMPUTED_VALUE"""),0.0)</f>
        <v>0</v>
      </c>
    </row>
    <row r="4841">
      <c r="A4841" s="7">
        <f>IFERROR(__xludf.DUMMYFUNCTION("""COMPUTED_VALUE"""),43901.64583333333)</f>
        <v>43901.64583</v>
      </c>
      <c r="B4841" s="3">
        <f>IFERROR(__xludf.DUMMYFUNCTION("""COMPUTED_VALUE"""),10334.3)</f>
        <v>10334.3</v>
      </c>
      <c r="C4841" s="3">
        <f>IFERROR(__xludf.DUMMYFUNCTION("""COMPUTED_VALUE"""),10545.1)</f>
        <v>10545.1</v>
      </c>
      <c r="D4841" s="3">
        <f>IFERROR(__xludf.DUMMYFUNCTION("""COMPUTED_VALUE"""),10334.0)</f>
        <v>10334</v>
      </c>
      <c r="E4841" s="3">
        <f>IFERROR(__xludf.DUMMYFUNCTION("""COMPUTED_VALUE"""),10458.4)</f>
        <v>10458.4</v>
      </c>
      <c r="F4841" s="3">
        <f>IFERROR(__xludf.DUMMYFUNCTION("""COMPUTED_VALUE"""),0.0)</f>
        <v>0</v>
      </c>
    </row>
    <row r="4842">
      <c r="A4842" s="7">
        <f>IFERROR(__xludf.DUMMYFUNCTION("""COMPUTED_VALUE"""),43902.64583333333)</f>
        <v>43902.64583</v>
      </c>
      <c r="B4842" s="3">
        <f>IFERROR(__xludf.DUMMYFUNCTION("""COMPUTED_VALUE"""),10039.95)</f>
        <v>10039.95</v>
      </c>
      <c r="C4842" s="3">
        <f>IFERROR(__xludf.DUMMYFUNCTION("""COMPUTED_VALUE"""),10040.75)</f>
        <v>10040.75</v>
      </c>
      <c r="D4842" s="3">
        <f>IFERROR(__xludf.DUMMYFUNCTION("""COMPUTED_VALUE"""),9508.0)</f>
        <v>9508</v>
      </c>
      <c r="E4842" s="3">
        <f>IFERROR(__xludf.DUMMYFUNCTION("""COMPUTED_VALUE"""),9590.15)</f>
        <v>9590.15</v>
      </c>
      <c r="F4842" s="3">
        <f>IFERROR(__xludf.DUMMYFUNCTION("""COMPUTED_VALUE"""),0.0)</f>
        <v>0</v>
      </c>
    </row>
    <row r="4843">
      <c r="A4843" s="7">
        <f>IFERROR(__xludf.DUMMYFUNCTION("""COMPUTED_VALUE"""),43903.64583333333)</f>
        <v>43903.64583</v>
      </c>
      <c r="B4843" s="3">
        <f>IFERROR(__xludf.DUMMYFUNCTION("""COMPUTED_VALUE"""),9107.6)</f>
        <v>9107.6</v>
      </c>
      <c r="C4843" s="3">
        <f>IFERROR(__xludf.DUMMYFUNCTION("""COMPUTED_VALUE"""),10159.4)</f>
        <v>10159.4</v>
      </c>
      <c r="D4843" s="3">
        <f>IFERROR(__xludf.DUMMYFUNCTION("""COMPUTED_VALUE"""),8555.15)</f>
        <v>8555.15</v>
      </c>
      <c r="E4843" s="3">
        <f>IFERROR(__xludf.DUMMYFUNCTION("""COMPUTED_VALUE"""),9955.2)</f>
        <v>9955.2</v>
      </c>
      <c r="F4843" s="3">
        <f>IFERROR(__xludf.DUMMYFUNCTION("""COMPUTED_VALUE"""),0.0)</f>
        <v>0</v>
      </c>
    </row>
    <row r="4844">
      <c r="A4844" s="7">
        <f>IFERROR(__xludf.DUMMYFUNCTION("""COMPUTED_VALUE"""),43906.64583333333)</f>
        <v>43906.64583</v>
      </c>
      <c r="B4844" s="3">
        <f>IFERROR(__xludf.DUMMYFUNCTION("""COMPUTED_VALUE"""),9587.8)</f>
        <v>9587.8</v>
      </c>
      <c r="C4844" s="3">
        <f>IFERROR(__xludf.DUMMYFUNCTION("""COMPUTED_VALUE"""),9602.2)</f>
        <v>9602.2</v>
      </c>
      <c r="D4844" s="3">
        <f>IFERROR(__xludf.DUMMYFUNCTION("""COMPUTED_VALUE"""),9165.1)</f>
        <v>9165.1</v>
      </c>
      <c r="E4844" s="3">
        <f>IFERROR(__xludf.DUMMYFUNCTION("""COMPUTED_VALUE"""),9197.4)</f>
        <v>9197.4</v>
      </c>
      <c r="F4844" s="3">
        <f>IFERROR(__xludf.DUMMYFUNCTION("""COMPUTED_VALUE"""),0.0)</f>
        <v>0</v>
      </c>
    </row>
    <row r="4845">
      <c r="A4845" s="7">
        <f>IFERROR(__xludf.DUMMYFUNCTION("""COMPUTED_VALUE"""),43907.64583333333)</f>
        <v>43907.64583</v>
      </c>
      <c r="B4845" s="3">
        <f>IFERROR(__xludf.DUMMYFUNCTION("""COMPUTED_VALUE"""),9285.4)</f>
        <v>9285.4</v>
      </c>
      <c r="C4845" s="3">
        <f>IFERROR(__xludf.DUMMYFUNCTION("""COMPUTED_VALUE"""),9403.8)</f>
        <v>9403.8</v>
      </c>
      <c r="D4845" s="3">
        <f>IFERROR(__xludf.DUMMYFUNCTION("""COMPUTED_VALUE"""),8915.6)</f>
        <v>8915.6</v>
      </c>
      <c r="E4845" s="3">
        <f>IFERROR(__xludf.DUMMYFUNCTION("""COMPUTED_VALUE"""),8967.05)</f>
        <v>8967.05</v>
      </c>
      <c r="F4845" s="3">
        <f>IFERROR(__xludf.DUMMYFUNCTION("""COMPUTED_VALUE"""),0.0)</f>
        <v>0</v>
      </c>
    </row>
    <row r="4846">
      <c r="A4846" s="7">
        <f>IFERROR(__xludf.DUMMYFUNCTION("""COMPUTED_VALUE"""),43908.64583333333)</f>
        <v>43908.64583</v>
      </c>
      <c r="B4846" s="3">
        <f>IFERROR(__xludf.DUMMYFUNCTION("""COMPUTED_VALUE"""),9088.45)</f>
        <v>9088.45</v>
      </c>
      <c r="C4846" s="3">
        <f>IFERROR(__xludf.DUMMYFUNCTION("""COMPUTED_VALUE"""),9127.55)</f>
        <v>9127.55</v>
      </c>
      <c r="D4846" s="3">
        <f>IFERROR(__xludf.DUMMYFUNCTION("""COMPUTED_VALUE"""),8407.05)</f>
        <v>8407.05</v>
      </c>
      <c r="E4846" s="3">
        <f>IFERROR(__xludf.DUMMYFUNCTION("""COMPUTED_VALUE"""),8468.8)</f>
        <v>8468.8</v>
      </c>
      <c r="F4846" s="3">
        <f>IFERROR(__xludf.DUMMYFUNCTION("""COMPUTED_VALUE"""),0.0)</f>
        <v>0</v>
      </c>
    </row>
    <row r="4847">
      <c r="A4847" s="7">
        <f>IFERROR(__xludf.DUMMYFUNCTION("""COMPUTED_VALUE"""),43909.64583333333)</f>
        <v>43909.64583</v>
      </c>
      <c r="B4847" s="3">
        <f>IFERROR(__xludf.DUMMYFUNCTION("""COMPUTED_VALUE"""),8063.3)</f>
        <v>8063.3</v>
      </c>
      <c r="C4847" s="3">
        <f>IFERROR(__xludf.DUMMYFUNCTION("""COMPUTED_VALUE"""),8575.45)</f>
        <v>8575.45</v>
      </c>
      <c r="D4847" s="3">
        <f>IFERROR(__xludf.DUMMYFUNCTION("""COMPUTED_VALUE"""),7832.55)</f>
        <v>7832.55</v>
      </c>
      <c r="E4847" s="3">
        <f>IFERROR(__xludf.DUMMYFUNCTION("""COMPUTED_VALUE"""),8263.45)</f>
        <v>8263.45</v>
      </c>
      <c r="F4847" s="3">
        <f>IFERROR(__xludf.DUMMYFUNCTION("""COMPUTED_VALUE"""),0.0)</f>
        <v>0</v>
      </c>
    </row>
    <row r="4848">
      <c r="A4848" s="7">
        <f>IFERROR(__xludf.DUMMYFUNCTION("""COMPUTED_VALUE"""),43910.64583333333)</f>
        <v>43910.64583</v>
      </c>
      <c r="B4848" s="3">
        <f>IFERROR(__xludf.DUMMYFUNCTION("""COMPUTED_VALUE"""),8284.45)</f>
        <v>8284.45</v>
      </c>
      <c r="C4848" s="3">
        <f>IFERROR(__xludf.DUMMYFUNCTION("""COMPUTED_VALUE"""),8883.0)</f>
        <v>8883</v>
      </c>
      <c r="D4848" s="3">
        <f>IFERROR(__xludf.DUMMYFUNCTION("""COMPUTED_VALUE"""),8178.2)</f>
        <v>8178.2</v>
      </c>
      <c r="E4848" s="3">
        <f>IFERROR(__xludf.DUMMYFUNCTION("""COMPUTED_VALUE"""),8745.45)</f>
        <v>8745.45</v>
      </c>
      <c r="F4848" s="3">
        <f>IFERROR(__xludf.DUMMYFUNCTION("""COMPUTED_VALUE"""),0.0)</f>
        <v>0</v>
      </c>
    </row>
    <row r="4849">
      <c r="A4849" s="7">
        <f>IFERROR(__xludf.DUMMYFUNCTION("""COMPUTED_VALUE"""),43913.64583333333)</f>
        <v>43913.64583</v>
      </c>
      <c r="B4849" s="3">
        <f>IFERROR(__xludf.DUMMYFUNCTION("""COMPUTED_VALUE"""),7945.7)</f>
        <v>7945.7</v>
      </c>
      <c r="C4849" s="3">
        <f>IFERROR(__xludf.DUMMYFUNCTION("""COMPUTED_VALUE"""),8159.25)</f>
        <v>8159.25</v>
      </c>
      <c r="D4849" s="3">
        <f>IFERROR(__xludf.DUMMYFUNCTION("""COMPUTED_VALUE"""),7583.6)</f>
        <v>7583.6</v>
      </c>
      <c r="E4849" s="3">
        <f>IFERROR(__xludf.DUMMYFUNCTION("""COMPUTED_VALUE"""),7610.25)</f>
        <v>7610.25</v>
      </c>
      <c r="F4849" s="3">
        <f>IFERROR(__xludf.DUMMYFUNCTION("""COMPUTED_VALUE"""),0.0)</f>
        <v>0</v>
      </c>
    </row>
    <row r="4850">
      <c r="A4850" s="7">
        <f>IFERROR(__xludf.DUMMYFUNCTION("""COMPUTED_VALUE"""),43914.64583333333)</f>
        <v>43914.64583</v>
      </c>
      <c r="B4850" s="3">
        <f>IFERROR(__xludf.DUMMYFUNCTION("""COMPUTED_VALUE"""),7848.3)</f>
        <v>7848.3</v>
      </c>
      <c r="C4850" s="3">
        <f>IFERROR(__xludf.DUMMYFUNCTION("""COMPUTED_VALUE"""),8036.95)</f>
        <v>8036.95</v>
      </c>
      <c r="D4850" s="3">
        <f>IFERROR(__xludf.DUMMYFUNCTION("""COMPUTED_VALUE"""),7511.1)</f>
        <v>7511.1</v>
      </c>
      <c r="E4850" s="3">
        <f>IFERROR(__xludf.DUMMYFUNCTION("""COMPUTED_VALUE"""),7801.05)</f>
        <v>7801.05</v>
      </c>
      <c r="F4850" s="3">
        <f>IFERROR(__xludf.DUMMYFUNCTION("""COMPUTED_VALUE"""),0.0)</f>
        <v>0</v>
      </c>
    </row>
    <row r="4851">
      <c r="A4851" s="7">
        <f>IFERROR(__xludf.DUMMYFUNCTION("""COMPUTED_VALUE"""),43915.64583333333)</f>
        <v>43915.64583</v>
      </c>
      <c r="B4851" s="3">
        <f>IFERROR(__xludf.DUMMYFUNCTION("""COMPUTED_VALUE"""),7735.15)</f>
        <v>7735.15</v>
      </c>
      <c r="C4851" s="3">
        <f>IFERROR(__xludf.DUMMYFUNCTION("""COMPUTED_VALUE"""),8376.75)</f>
        <v>8376.75</v>
      </c>
      <c r="D4851" s="3">
        <f>IFERROR(__xludf.DUMMYFUNCTION("""COMPUTED_VALUE"""),7714.75)</f>
        <v>7714.75</v>
      </c>
      <c r="E4851" s="3">
        <f>IFERROR(__xludf.DUMMYFUNCTION("""COMPUTED_VALUE"""),8317.85)</f>
        <v>8317.85</v>
      </c>
      <c r="F4851" s="3">
        <f>IFERROR(__xludf.DUMMYFUNCTION("""COMPUTED_VALUE"""),0.0)</f>
        <v>0</v>
      </c>
    </row>
    <row r="4852">
      <c r="A4852" s="7">
        <f>IFERROR(__xludf.DUMMYFUNCTION("""COMPUTED_VALUE"""),43916.64583333333)</f>
        <v>43916.64583</v>
      </c>
      <c r="B4852" s="3">
        <f>IFERROR(__xludf.DUMMYFUNCTION("""COMPUTED_VALUE"""),8451.0)</f>
        <v>8451</v>
      </c>
      <c r="C4852" s="3">
        <f>IFERROR(__xludf.DUMMYFUNCTION("""COMPUTED_VALUE"""),8749.05)</f>
        <v>8749.05</v>
      </c>
      <c r="D4852" s="3">
        <f>IFERROR(__xludf.DUMMYFUNCTION("""COMPUTED_VALUE"""),8304.9)</f>
        <v>8304.9</v>
      </c>
      <c r="E4852" s="3">
        <f>IFERROR(__xludf.DUMMYFUNCTION("""COMPUTED_VALUE"""),8641.45)</f>
        <v>8641.45</v>
      </c>
      <c r="F4852" s="3">
        <f>IFERROR(__xludf.DUMMYFUNCTION("""COMPUTED_VALUE"""),0.0)</f>
        <v>0</v>
      </c>
    </row>
    <row r="4853">
      <c r="A4853" s="7">
        <f>IFERROR(__xludf.DUMMYFUNCTION("""COMPUTED_VALUE"""),43917.64583333333)</f>
        <v>43917.64583</v>
      </c>
      <c r="B4853" s="3">
        <f>IFERROR(__xludf.DUMMYFUNCTION("""COMPUTED_VALUE"""),8949.1)</f>
        <v>8949.1</v>
      </c>
      <c r="C4853" s="3">
        <f>IFERROR(__xludf.DUMMYFUNCTION("""COMPUTED_VALUE"""),9038.9)</f>
        <v>9038.9</v>
      </c>
      <c r="D4853" s="3">
        <f>IFERROR(__xludf.DUMMYFUNCTION("""COMPUTED_VALUE"""),8522.9)</f>
        <v>8522.9</v>
      </c>
      <c r="E4853" s="3">
        <f>IFERROR(__xludf.DUMMYFUNCTION("""COMPUTED_VALUE"""),8660.25)</f>
        <v>8660.25</v>
      </c>
      <c r="F4853" s="3">
        <f>IFERROR(__xludf.DUMMYFUNCTION("""COMPUTED_VALUE"""),0.0)</f>
        <v>0</v>
      </c>
    </row>
    <row r="4854">
      <c r="A4854" s="7">
        <f>IFERROR(__xludf.DUMMYFUNCTION("""COMPUTED_VALUE"""),43920.64583333333)</f>
        <v>43920.64583</v>
      </c>
      <c r="B4854" s="3">
        <f>IFERROR(__xludf.DUMMYFUNCTION("""COMPUTED_VALUE"""),8385.95)</f>
        <v>8385.95</v>
      </c>
      <c r="C4854" s="3">
        <f>IFERROR(__xludf.DUMMYFUNCTION("""COMPUTED_VALUE"""),8576.0)</f>
        <v>8576</v>
      </c>
      <c r="D4854" s="3">
        <f>IFERROR(__xludf.DUMMYFUNCTION("""COMPUTED_VALUE"""),8244.0)</f>
        <v>8244</v>
      </c>
      <c r="E4854" s="3">
        <f>IFERROR(__xludf.DUMMYFUNCTION("""COMPUTED_VALUE"""),8281.1)</f>
        <v>8281.1</v>
      </c>
      <c r="F4854" s="3">
        <f>IFERROR(__xludf.DUMMYFUNCTION("""COMPUTED_VALUE"""),0.0)</f>
        <v>0</v>
      </c>
    </row>
    <row r="4855">
      <c r="A4855" s="7">
        <f>IFERROR(__xludf.DUMMYFUNCTION("""COMPUTED_VALUE"""),43921.64583333333)</f>
        <v>43921.64583</v>
      </c>
      <c r="B4855" s="3">
        <f>IFERROR(__xludf.DUMMYFUNCTION("""COMPUTED_VALUE"""),8529.35)</f>
        <v>8529.35</v>
      </c>
      <c r="C4855" s="3">
        <f>IFERROR(__xludf.DUMMYFUNCTION("""COMPUTED_VALUE"""),8678.3)</f>
        <v>8678.3</v>
      </c>
      <c r="D4855" s="3">
        <f>IFERROR(__xludf.DUMMYFUNCTION("""COMPUTED_VALUE"""),8358.0)</f>
        <v>8358</v>
      </c>
      <c r="E4855" s="3">
        <f>IFERROR(__xludf.DUMMYFUNCTION("""COMPUTED_VALUE"""),8597.75)</f>
        <v>8597.75</v>
      </c>
      <c r="F4855" s="3">
        <f>IFERROR(__xludf.DUMMYFUNCTION("""COMPUTED_VALUE"""),0.0)</f>
        <v>0</v>
      </c>
    </row>
    <row r="4856">
      <c r="A4856" s="7">
        <f>IFERROR(__xludf.DUMMYFUNCTION("""COMPUTED_VALUE"""),43922.64583333333)</f>
        <v>43922.64583</v>
      </c>
      <c r="B4856" s="3">
        <f>IFERROR(__xludf.DUMMYFUNCTION("""COMPUTED_VALUE"""),8584.1)</f>
        <v>8584.1</v>
      </c>
      <c r="C4856" s="3">
        <f>IFERROR(__xludf.DUMMYFUNCTION("""COMPUTED_VALUE"""),8588.1)</f>
        <v>8588.1</v>
      </c>
      <c r="D4856" s="3">
        <f>IFERROR(__xludf.DUMMYFUNCTION("""COMPUTED_VALUE"""),8198.35)</f>
        <v>8198.35</v>
      </c>
      <c r="E4856" s="3">
        <f>IFERROR(__xludf.DUMMYFUNCTION("""COMPUTED_VALUE"""),8253.8)</f>
        <v>8253.8</v>
      </c>
      <c r="F4856" s="3">
        <f>IFERROR(__xludf.DUMMYFUNCTION("""COMPUTED_VALUE"""),0.0)</f>
        <v>0</v>
      </c>
    </row>
    <row r="4857">
      <c r="A4857" s="7">
        <f>IFERROR(__xludf.DUMMYFUNCTION("""COMPUTED_VALUE"""),43924.64583333333)</f>
        <v>43924.64583</v>
      </c>
      <c r="B4857" s="3">
        <f>IFERROR(__xludf.DUMMYFUNCTION("""COMPUTED_VALUE"""),8356.55)</f>
        <v>8356.55</v>
      </c>
      <c r="C4857" s="3">
        <f>IFERROR(__xludf.DUMMYFUNCTION("""COMPUTED_VALUE"""),8356.55)</f>
        <v>8356.55</v>
      </c>
      <c r="D4857" s="3">
        <f>IFERROR(__xludf.DUMMYFUNCTION("""COMPUTED_VALUE"""),8055.8)</f>
        <v>8055.8</v>
      </c>
      <c r="E4857" s="3">
        <f>IFERROR(__xludf.DUMMYFUNCTION("""COMPUTED_VALUE"""),8083.8)</f>
        <v>8083.8</v>
      </c>
      <c r="F4857" s="3">
        <f>IFERROR(__xludf.DUMMYFUNCTION("""COMPUTED_VALUE"""),0.0)</f>
        <v>0</v>
      </c>
    </row>
    <row r="4858">
      <c r="A4858" s="7">
        <f>IFERROR(__xludf.DUMMYFUNCTION("""COMPUTED_VALUE"""),43928.64583333333)</f>
        <v>43928.64583</v>
      </c>
      <c r="B4858" s="3">
        <f>IFERROR(__xludf.DUMMYFUNCTION("""COMPUTED_VALUE"""),8446.3)</f>
        <v>8446.3</v>
      </c>
      <c r="C4858" s="3">
        <f>IFERROR(__xludf.DUMMYFUNCTION("""COMPUTED_VALUE"""),8819.4)</f>
        <v>8819.4</v>
      </c>
      <c r="D4858" s="3">
        <f>IFERROR(__xludf.DUMMYFUNCTION("""COMPUTED_VALUE"""),8360.95)</f>
        <v>8360.95</v>
      </c>
      <c r="E4858" s="3">
        <f>IFERROR(__xludf.DUMMYFUNCTION("""COMPUTED_VALUE"""),8792.2)</f>
        <v>8792.2</v>
      </c>
      <c r="F4858" s="3">
        <f>IFERROR(__xludf.DUMMYFUNCTION("""COMPUTED_VALUE"""),0.0)</f>
        <v>0</v>
      </c>
    </row>
    <row r="4859">
      <c r="A4859" s="7">
        <f>IFERROR(__xludf.DUMMYFUNCTION("""COMPUTED_VALUE"""),43929.64583333333)</f>
        <v>43929.64583</v>
      </c>
      <c r="B4859" s="3">
        <f>IFERROR(__xludf.DUMMYFUNCTION("""COMPUTED_VALUE"""),8688.9)</f>
        <v>8688.9</v>
      </c>
      <c r="C4859" s="3">
        <f>IFERROR(__xludf.DUMMYFUNCTION("""COMPUTED_VALUE"""),9131.7)</f>
        <v>9131.7</v>
      </c>
      <c r="D4859" s="3">
        <f>IFERROR(__xludf.DUMMYFUNCTION("""COMPUTED_VALUE"""),8653.9)</f>
        <v>8653.9</v>
      </c>
      <c r="E4859" s="3">
        <f>IFERROR(__xludf.DUMMYFUNCTION("""COMPUTED_VALUE"""),8748.75)</f>
        <v>8748.75</v>
      </c>
      <c r="F4859" s="3">
        <f>IFERROR(__xludf.DUMMYFUNCTION("""COMPUTED_VALUE"""),0.0)</f>
        <v>0</v>
      </c>
    </row>
    <row r="4860">
      <c r="A4860" s="7">
        <f>IFERROR(__xludf.DUMMYFUNCTION("""COMPUTED_VALUE"""),43930.64583333333)</f>
        <v>43930.64583</v>
      </c>
      <c r="B4860" s="3">
        <f>IFERROR(__xludf.DUMMYFUNCTION("""COMPUTED_VALUE"""),8973.05)</f>
        <v>8973.05</v>
      </c>
      <c r="C4860" s="3">
        <f>IFERROR(__xludf.DUMMYFUNCTION("""COMPUTED_VALUE"""),9128.35)</f>
        <v>9128.35</v>
      </c>
      <c r="D4860" s="3">
        <f>IFERROR(__xludf.DUMMYFUNCTION("""COMPUTED_VALUE"""),8904.55)</f>
        <v>8904.55</v>
      </c>
      <c r="E4860" s="3">
        <f>IFERROR(__xludf.DUMMYFUNCTION("""COMPUTED_VALUE"""),9111.9)</f>
        <v>9111.9</v>
      </c>
      <c r="F4860" s="3">
        <f>IFERROR(__xludf.DUMMYFUNCTION("""COMPUTED_VALUE"""),0.0)</f>
        <v>0</v>
      </c>
    </row>
    <row r="4861">
      <c r="A4861" s="7">
        <f>IFERROR(__xludf.DUMMYFUNCTION("""COMPUTED_VALUE"""),43934.64583333333)</f>
        <v>43934.64583</v>
      </c>
      <c r="B4861" s="3">
        <f>IFERROR(__xludf.DUMMYFUNCTION("""COMPUTED_VALUE"""),9103.95)</f>
        <v>9103.95</v>
      </c>
      <c r="C4861" s="3">
        <f>IFERROR(__xludf.DUMMYFUNCTION("""COMPUTED_VALUE"""),9112.05)</f>
        <v>9112.05</v>
      </c>
      <c r="D4861" s="3">
        <f>IFERROR(__xludf.DUMMYFUNCTION("""COMPUTED_VALUE"""),8912.4)</f>
        <v>8912.4</v>
      </c>
      <c r="E4861" s="3">
        <f>IFERROR(__xludf.DUMMYFUNCTION("""COMPUTED_VALUE"""),8993.85)</f>
        <v>8993.85</v>
      </c>
      <c r="F4861" s="3">
        <f>IFERROR(__xludf.DUMMYFUNCTION("""COMPUTED_VALUE"""),0.0)</f>
        <v>0</v>
      </c>
    </row>
    <row r="4862">
      <c r="A4862" s="7">
        <f>IFERROR(__xludf.DUMMYFUNCTION("""COMPUTED_VALUE"""),43936.64583333333)</f>
        <v>43936.64583</v>
      </c>
      <c r="B4862" s="3">
        <f>IFERROR(__xludf.DUMMYFUNCTION("""COMPUTED_VALUE"""),9196.4)</f>
        <v>9196.4</v>
      </c>
      <c r="C4862" s="3">
        <f>IFERROR(__xludf.DUMMYFUNCTION("""COMPUTED_VALUE"""),9261.2)</f>
        <v>9261.2</v>
      </c>
      <c r="D4862" s="3">
        <f>IFERROR(__xludf.DUMMYFUNCTION("""COMPUTED_VALUE"""),8874.1)</f>
        <v>8874.1</v>
      </c>
      <c r="E4862" s="3">
        <f>IFERROR(__xludf.DUMMYFUNCTION("""COMPUTED_VALUE"""),8925.3)</f>
        <v>8925.3</v>
      </c>
      <c r="F4862" s="3">
        <f>IFERROR(__xludf.DUMMYFUNCTION("""COMPUTED_VALUE"""),0.0)</f>
        <v>0</v>
      </c>
    </row>
    <row r="4863">
      <c r="A4863" s="7">
        <f>IFERROR(__xludf.DUMMYFUNCTION("""COMPUTED_VALUE"""),43937.64583333333)</f>
        <v>43937.64583</v>
      </c>
      <c r="B4863" s="3">
        <f>IFERROR(__xludf.DUMMYFUNCTION("""COMPUTED_VALUE"""),8851.25)</f>
        <v>8851.25</v>
      </c>
      <c r="C4863" s="3">
        <f>IFERROR(__xludf.DUMMYFUNCTION("""COMPUTED_VALUE"""),9053.75)</f>
        <v>9053.75</v>
      </c>
      <c r="D4863" s="3">
        <f>IFERROR(__xludf.DUMMYFUNCTION("""COMPUTED_VALUE"""),8821.9)</f>
        <v>8821.9</v>
      </c>
      <c r="E4863" s="3">
        <f>IFERROR(__xludf.DUMMYFUNCTION("""COMPUTED_VALUE"""),8992.8)</f>
        <v>8992.8</v>
      </c>
      <c r="F4863" s="3">
        <f>IFERROR(__xludf.DUMMYFUNCTION("""COMPUTED_VALUE"""),0.0)</f>
        <v>0</v>
      </c>
    </row>
    <row r="4864">
      <c r="A4864" s="7">
        <f>IFERROR(__xludf.DUMMYFUNCTION("""COMPUTED_VALUE"""),43938.64583333333)</f>
        <v>43938.64583</v>
      </c>
      <c r="B4864" s="3">
        <f>IFERROR(__xludf.DUMMYFUNCTION("""COMPUTED_VALUE"""),9323.45)</f>
        <v>9323.45</v>
      </c>
      <c r="C4864" s="3">
        <f>IFERROR(__xludf.DUMMYFUNCTION("""COMPUTED_VALUE"""),9324.0)</f>
        <v>9324</v>
      </c>
      <c r="D4864" s="3">
        <f>IFERROR(__xludf.DUMMYFUNCTION("""COMPUTED_VALUE"""),9091.35)</f>
        <v>9091.35</v>
      </c>
      <c r="E4864" s="3">
        <f>IFERROR(__xludf.DUMMYFUNCTION("""COMPUTED_VALUE"""),9266.75)</f>
        <v>9266.75</v>
      </c>
      <c r="F4864" s="3">
        <f>IFERROR(__xludf.DUMMYFUNCTION("""COMPUTED_VALUE"""),0.0)</f>
        <v>0</v>
      </c>
    </row>
    <row r="4865">
      <c r="A4865" s="7">
        <f>IFERROR(__xludf.DUMMYFUNCTION("""COMPUTED_VALUE"""),43941.64583333333)</f>
        <v>43941.64583</v>
      </c>
      <c r="B4865" s="3">
        <f>IFERROR(__xludf.DUMMYFUNCTION("""COMPUTED_VALUE"""),9390.2)</f>
        <v>9390.2</v>
      </c>
      <c r="C4865" s="3">
        <f>IFERROR(__xludf.DUMMYFUNCTION("""COMPUTED_VALUE"""),9390.85)</f>
        <v>9390.85</v>
      </c>
      <c r="D4865" s="3">
        <f>IFERROR(__xludf.DUMMYFUNCTION("""COMPUTED_VALUE"""),9230.8)</f>
        <v>9230.8</v>
      </c>
      <c r="E4865" s="3">
        <f>IFERROR(__xludf.DUMMYFUNCTION("""COMPUTED_VALUE"""),9261.85)</f>
        <v>9261.85</v>
      </c>
      <c r="F4865" s="3">
        <f>IFERROR(__xludf.DUMMYFUNCTION("""COMPUTED_VALUE"""),0.0)</f>
        <v>0</v>
      </c>
    </row>
    <row r="4866">
      <c r="A4866" s="7">
        <f>IFERROR(__xludf.DUMMYFUNCTION("""COMPUTED_VALUE"""),43942.64583333333)</f>
        <v>43942.64583</v>
      </c>
      <c r="B4866" s="3">
        <f>IFERROR(__xludf.DUMMYFUNCTION("""COMPUTED_VALUE"""),9016.95)</f>
        <v>9016.95</v>
      </c>
      <c r="C4866" s="3">
        <f>IFERROR(__xludf.DUMMYFUNCTION("""COMPUTED_VALUE"""),9044.4)</f>
        <v>9044.4</v>
      </c>
      <c r="D4866" s="3">
        <f>IFERROR(__xludf.DUMMYFUNCTION("""COMPUTED_VALUE"""),8909.4)</f>
        <v>8909.4</v>
      </c>
      <c r="E4866" s="3">
        <f>IFERROR(__xludf.DUMMYFUNCTION("""COMPUTED_VALUE"""),8981.45)</f>
        <v>8981.45</v>
      </c>
      <c r="F4866" s="3">
        <f>IFERROR(__xludf.DUMMYFUNCTION("""COMPUTED_VALUE"""),0.0)</f>
        <v>0</v>
      </c>
    </row>
    <row r="4867">
      <c r="A4867" s="7">
        <f>IFERROR(__xludf.DUMMYFUNCTION("""COMPUTED_VALUE"""),43943.64583333333)</f>
        <v>43943.64583</v>
      </c>
      <c r="B4867" s="3">
        <f>IFERROR(__xludf.DUMMYFUNCTION("""COMPUTED_VALUE"""),9026.75)</f>
        <v>9026.75</v>
      </c>
      <c r="C4867" s="3">
        <f>IFERROR(__xludf.DUMMYFUNCTION("""COMPUTED_VALUE"""),9209.75)</f>
        <v>9209.75</v>
      </c>
      <c r="D4867" s="3">
        <f>IFERROR(__xludf.DUMMYFUNCTION("""COMPUTED_VALUE"""),8946.25)</f>
        <v>8946.25</v>
      </c>
      <c r="E4867" s="3">
        <f>IFERROR(__xludf.DUMMYFUNCTION("""COMPUTED_VALUE"""),9187.3)</f>
        <v>9187.3</v>
      </c>
      <c r="F4867" s="3">
        <f>IFERROR(__xludf.DUMMYFUNCTION("""COMPUTED_VALUE"""),0.0)</f>
        <v>0</v>
      </c>
    </row>
    <row r="4868">
      <c r="A4868" s="7">
        <f>IFERROR(__xludf.DUMMYFUNCTION("""COMPUTED_VALUE"""),43944.64583333333)</f>
        <v>43944.64583</v>
      </c>
      <c r="B4868" s="3">
        <f>IFERROR(__xludf.DUMMYFUNCTION("""COMPUTED_VALUE"""),9232.35)</f>
        <v>9232.35</v>
      </c>
      <c r="C4868" s="3">
        <f>IFERROR(__xludf.DUMMYFUNCTION("""COMPUTED_VALUE"""),9343.6)</f>
        <v>9343.6</v>
      </c>
      <c r="D4868" s="3">
        <f>IFERROR(__xludf.DUMMYFUNCTION("""COMPUTED_VALUE"""),9170.15)</f>
        <v>9170.15</v>
      </c>
      <c r="E4868" s="3">
        <f>IFERROR(__xludf.DUMMYFUNCTION("""COMPUTED_VALUE"""),9313.9)</f>
        <v>9313.9</v>
      </c>
      <c r="F4868" s="3">
        <f>IFERROR(__xludf.DUMMYFUNCTION("""COMPUTED_VALUE"""),0.0)</f>
        <v>0</v>
      </c>
    </row>
    <row r="4869">
      <c r="A4869" s="7">
        <f>IFERROR(__xludf.DUMMYFUNCTION("""COMPUTED_VALUE"""),43945.64583333333)</f>
        <v>43945.64583</v>
      </c>
      <c r="B4869" s="3">
        <f>IFERROR(__xludf.DUMMYFUNCTION("""COMPUTED_VALUE"""),9163.9)</f>
        <v>9163.9</v>
      </c>
      <c r="C4869" s="3">
        <f>IFERROR(__xludf.DUMMYFUNCTION("""COMPUTED_VALUE"""),9296.9)</f>
        <v>9296.9</v>
      </c>
      <c r="D4869" s="3">
        <f>IFERROR(__xludf.DUMMYFUNCTION("""COMPUTED_VALUE"""),9141.3)</f>
        <v>9141.3</v>
      </c>
      <c r="E4869" s="3">
        <f>IFERROR(__xludf.DUMMYFUNCTION("""COMPUTED_VALUE"""),9154.4)</f>
        <v>9154.4</v>
      </c>
      <c r="F4869" s="3">
        <f>IFERROR(__xludf.DUMMYFUNCTION("""COMPUTED_VALUE"""),0.0)</f>
        <v>0</v>
      </c>
    </row>
    <row r="4870">
      <c r="A4870" s="7">
        <f>IFERROR(__xludf.DUMMYFUNCTION("""COMPUTED_VALUE"""),43948.64583333333)</f>
        <v>43948.64583</v>
      </c>
      <c r="B4870" s="3">
        <f>IFERROR(__xludf.DUMMYFUNCTION("""COMPUTED_VALUE"""),9259.7)</f>
        <v>9259.7</v>
      </c>
      <c r="C4870" s="3">
        <f>IFERROR(__xludf.DUMMYFUNCTION("""COMPUTED_VALUE"""),9377.1)</f>
        <v>9377.1</v>
      </c>
      <c r="D4870" s="3">
        <f>IFERROR(__xludf.DUMMYFUNCTION("""COMPUTED_VALUE"""),9250.35)</f>
        <v>9250.35</v>
      </c>
      <c r="E4870" s="3">
        <f>IFERROR(__xludf.DUMMYFUNCTION("""COMPUTED_VALUE"""),9282.3)</f>
        <v>9282.3</v>
      </c>
      <c r="F4870" s="3">
        <f>IFERROR(__xludf.DUMMYFUNCTION("""COMPUTED_VALUE"""),0.0)</f>
        <v>0</v>
      </c>
    </row>
    <row r="4871">
      <c r="A4871" s="7">
        <f>IFERROR(__xludf.DUMMYFUNCTION("""COMPUTED_VALUE"""),43949.64583333333)</f>
        <v>43949.64583</v>
      </c>
      <c r="B4871" s="3">
        <f>IFERROR(__xludf.DUMMYFUNCTION("""COMPUTED_VALUE"""),9389.8)</f>
        <v>9389.8</v>
      </c>
      <c r="C4871" s="3">
        <f>IFERROR(__xludf.DUMMYFUNCTION("""COMPUTED_VALUE"""),9404.4)</f>
        <v>9404.4</v>
      </c>
      <c r="D4871" s="3">
        <f>IFERROR(__xludf.DUMMYFUNCTION("""COMPUTED_VALUE"""),9260.0)</f>
        <v>9260</v>
      </c>
      <c r="E4871" s="3">
        <f>IFERROR(__xludf.DUMMYFUNCTION("""COMPUTED_VALUE"""),9380.9)</f>
        <v>9380.9</v>
      </c>
      <c r="F4871" s="3">
        <f>IFERROR(__xludf.DUMMYFUNCTION("""COMPUTED_VALUE"""),0.0)</f>
        <v>0</v>
      </c>
    </row>
    <row r="4872">
      <c r="A4872" s="7">
        <f>IFERROR(__xludf.DUMMYFUNCTION("""COMPUTED_VALUE"""),43950.64583333333)</f>
        <v>43950.64583</v>
      </c>
      <c r="B4872" s="3">
        <f>IFERROR(__xludf.DUMMYFUNCTION("""COMPUTED_VALUE"""),9408.6)</f>
        <v>9408.6</v>
      </c>
      <c r="C4872" s="3">
        <f>IFERROR(__xludf.DUMMYFUNCTION("""COMPUTED_VALUE"""),9599.85)</f>
        <v>9599.85</v>
      </c>
      <c r="D4872" s="3">
        <f>IFERROR(__xludf.DUMMYFUNCTION("""COMPUTED_VALUE"""),9392.35)</f>
        <v>9392.35</v>
      </c>
      <c r="E4872" s="3">
        <f>IFERROR(__xludf.DUMMYFUNCTION("""COMPUTED_VALUE"""),9553.35)</f>
        <v>9553.35</v>
      </c>
      <c r="F4872" s="3">
        <f>IFERROR(__xludf.DUMMYFUNCTION("""COMPUTED_VALUE"""),0.0)</f>
        <v>0</v>
      </c>
    </row>
    <row r="4873">
      <c r="A4873" s="7">
        <f>IFERROR(__xludf.DUMMYFUNCTION("""COMPUTED_VALUE"""),43951.64583333333)</f>
        <v>43951.64583</v>
      </c>
      <c r="B4873" s="3">
        <f>IFERROR(__xludf.DUMMYFUNCTION("""COMPUTED_VALUE"""),9753.5)</f>
        <v>9753.5</v>
      </c>
      <c r="C4873" s="3">
        <f>IFERROR(__xludf.DUMMYFUNCTION("""COMPUTED_VALUE"""),9889.05)</f>
        <v>9889.05</v>
      </c>
      <c r="D4873" s="3">
        <f>IFERROR(__xludf.DUMMYFUNCTION("""COMPUTED_VALUE"""),9731.5)</f>
        <v>9731.5</v>
      </c>
      <c r="E4873" s="3">
        <f>IFERROR(__xludf.DUMMYFUNCTION("""COMPUTED_VALUE"""),9859.9)</f>
        <v>9859.9</v>
      </c>
      <c r="F4873" s="3">
        <f>IFERROR(__xludf.DUMMYFUNCTION("""COMPUTED_VALUE"""),0.0)</f>
        <v>0</v>
      </c>
    </row>
    <row r="4874">
      <c r="A4874" s="7">
        <f>IFERROR(__xludf.DUMMYFUNCTION("""COMPUTED_VALUE"""),43955.64583333333)</f>
        <v>43955.64583</v>
      </c>
      <c r="B4874" s="3">
        <f>IFERROR(__xludf.DUMMYFUNCTION("""COMPUTED_VALUE"""),9533.5)</f>
        <v>9533.5</v>
      </c>
      <c r="C4874" s="3">
        <f>IFERROR(__xludf.DUMMYFUNCTION("""COMPUTED_VALUE"""),9533.5)</f>
        <v>9533.5</v>
      </c>
      <c r="D4874" s="3">
        <f>IFERROR(__xludf.DUMMYFUNCTION("""COMPUTED_VALUE"""),9266.95)</f>
        <v>9266.95</v>
      </c>
      <c r="E4874" s="3">
        <f>IFERROR(__xludf.DUMMYFUNCTION("""COMPUTED_VALUE"""),9293.5)</f>
        <v>9293.5</v>
      </c>
      <c r="F4874" s="3">
        <f>IFERROR(__xludf.DUMMYFUNCTION("""COMPUTED_VALUE"""),0.0)</f>
        <v>0</v>
      </c>
    </row>
    <row r="4875">
      <c r="A4875" s="7">
        <f>IFERROR(__xludf.DUMMYFUNCTION("""COMPUTED_VALUE"""),43956.64583333333)</f>
        <v>43956.64583</v>
      </c>
      <c r="B4875" s="3">
        <f>IFERROR(__xludf.DUMMYFUNCTION("""COMPUTED_VALUE"""),9429.4)</f>
        <v>9429.4</v>
      </c>
      <c r="C4875" s="3">
        <f>IFERROR(__xludf.DUMMYFUNCTION("""COMPUTED_VALUE"""),9450.9)</f>
        <v>9450.9</v>
      </c>
      <c r="D4875" s="3">
        <f>IFERROR(__xludf.DUMMYFUNCTION("""COMPUTED_VALUE"""),9190.75)</f>
        <v>9190.75</v>
      </c>
      <c r="E4875" s="3">
        <f>IFERROR(__xludf.DUMMYFUNCTION("""COMPUTED_VALUE"""),9205.6)</f>
        <v>9205.6</v>
      </c>
      <c r="F4875" s="3">
        <f>IFERROR(__xludf.DUMMYFUNCTION("""COMPUTED_VALUE"""),0.0)</f>
        <v>0</v>
      </c>
    </row>
    <row r="4876">
      <c r="A4876" s="7">
        <f>IFERROR(__xludf.DUMMYFUNCTION("""COMPUTED_VALUE"""),43957.64583333333)</f>
        <v>43957.64583</v>
      </c>
      <c r="B4876" s="3">
        <f>IFERROR(__xludf.DUMMYFUNCTION("""COMPUTED_VALUE"""),9226.8)</f>
        <v>9226.8</v>
      </c>
      <c r="C4876" s="3">
        <f>IFERROR(__xludf.DUMMYFUNCTION("""COMPUTED_VALUE"""),9346.9)</f>
        <v>9346.9</v>
      </c>
      <c r="D4876" s="3">
        <f>IFERROR(__xludf.DUMMYFUNCTION("""COMPUTED_VALUE"""),9116.5)</f>
        <v>9116.5</v>
      </c>
      <c r="E4876" s="3">
        <f>IFERROR(__xludf.DUMMYFUNCTION("""COMPUTED_VALUE"""),9270.9)</f>
        <v>9270.9</v>
      </c>
      <c r="F4876" s="3">
        <f>IFERROR(__xludf.DUMMYFUNCTION("""COMPUTED_VALUE"""),0.0)</f>
        <v>0</v>
      </c>
    </row>
    <row r="4877">
      <c r="A4877" s="7">
        <f>IFERROR(__xludf.DUMMYFUNCTION("""COMPUTED_VALUE"""),43958.64583333333)</f>
        <v>43958.64583</v>
      </c>
      <c r="B4877" s="3">
        <f>IFERROR(__xludf.DUMMYFUNCTION("""COMPUTED_VALUE"""),9234.05)</f>
        <v>9234.05</v>
      </c>
      <c r="C4877" s="3">
        <f>IFERROR(__xludf.DUMMYFUNCTION("""COMPUTED_VALUE"""),9277.85)</f>
        <v>9277.85</v>
      </c>
      <c r="D4877" s="3">
        <f>IFERROR(__xludf.DUMMYFUNCTION("""COMPUTED_VALUE"""),9175.9)</f>
        <v>9175.9</v>
      </c>
      <c r="E4877" s="3">
        <f>IFERROR(__xludf.DUMMYFUNCTION("""COMPUTED_VALUE"""),9199.05)</f>
        <v>9199.05</v>
      </c>
      <c r="F4877" s="3">
        <f>IFERROR(__xludf.DUMMYFUNCTION("""COMPUTED_VALUE"""),0.0)</f>
        <v>0</v>
      </c>
    </row>
    <row r="4878">
      <c r="A4878" s="7">
        <f>IFERROR(__xludf.DUMMYFUNCTION("""COMPUTED_VALUE"""),43959.64583333333)</f>
        <v>43959.64583</v>
      </c>
      <c r="B4878" s="3">
        <f>IFERROR(__xludf.DUMMYFUNCTION("""COMPUTED_VALUE"""),9376.95)</f>
        <v>9376.95</v>
      </c>
      <c r="C4878" s="3">
        <f>IFERROR(__xludf.DUMMYFUNCTION("""COMPUTED_VALUE"""),9382.65)</f>
        <v>9382.65</v>
      </c>
      <c r="D4878" s="3">
        <f>IFERROR(__xludf.DUMMYFUNCTION("""COMPUTED_VALUE"""),9238.2)</f>
        <v>9238.2</v>
      </c>
      <c r="E4878" s="3">
        <f>IFERROR(__xludf.DUMMYFUNCTION("""COMPUTED_VALUE"""),9251.5)</f>
        <v>9251.5</v>
      </c>
      <c r="F4878" s="3">
        <f>IFERROR(__xludf.DUMMYFUNCTION("""COMPUTED_VALUE"""),0.0)</f>
        <v>0</v>
      </c>
    </row>
    <row r="4879">
      <c r="A4879" s="7">
        <f>IFERROR(__xludf.DUMMYFUNCTION("""COMPUTED_VALUE"""),43962.64583333333)</f>
        <v>43962.64583</v>
      </c>
      <c r="B4879" s="3">
        <f>IFERROR(__xludf.DUMMYFUNCTION("""COMPUTED_VALUE"""),9348.15)</f>
        <v>9348.15</v>
      </c>
      <c r="C4879" s="3">
        <f>IFERROR(__xludf.DUMMYFUNCTION("""COMPUTED_VALUE"""),9439.9)</f>
        <v>9439.9</v>
      </c>
      <c r="D4879" s="3">
        <f>IFERROR(__xludf.DUMMYFUNCTION("""COMPUTED_VALUE"""),9219.95)</f>
        <v>9219.95</v>
      </c>
      <c r="E4879" s="3">
        <f>IFERROR(__xludf.DUMMYFUNCTION("""COMPUTED_VALUE"""),9239.2)</f>
        <v>9239.2</v>
      </c>
      <c r="F4879" s="3">
        <f>IFERROR(__xludf.DUMMYFUNCTION("""COMPUTED_VALUE"""),0.0)</f>
        <v>0</v>
      </c>
    </row>
    <row r="4880">
      <c r="A4880" s="7">
        <f>IFERROR(__xludf.DUMMYFUNCTION("""COMPUTED_VALUE"""),43963.64583333333)</f>
        <v>43963.64583</v>
      </c>
      <c r="B4880" s="3">
        <f>IFERROR(__xludf.DUMMYFUNCTION("""COMPUTED_VALUE"""),9168.85)</f>
        <v>9168.85</v>
      </c>
      <c r="C4880" s="3">
        <f>IFERROR(__xludf.DUMMYFUNCTION("""COMPUTED_VALUE"""),9240.85)</f>
        <v>9240.85</v>
      </c>
      <c r="D4880" s="3">
        <f>IFERROR(__xludf.DUMMYFUNCTION("""COMPUTED_VALUE"""),9043.95)</f>
        <v>9043.95</v>
      </c>
      <c r="E4880" s="3">
        <f>IFERROR(__xludf.DUMMYFUNCTION("""COMPUTED_VALUE"""),9196.55)</f>
        <v>9196.55</v>
      </c>
      <c r="F4880" s="3">
        <f>IFERROR(__xludf.DUMMYFUNCTION("""COMPUTED_VALUE"""),0.0)</f>
        <v>0</v>
      </c>
    </row>
    <row r="4881">
      <c r="A4881" s="7">
        <f>IFERROR(__xludf.DUMMYFUNCTION("""COMPUTED_VALUE"""),43964.64583333333)</f>
        <v>43964.64583</v>
      </c>
      <c r="B4881" s="3">
        <f>IFERROR(__xludf.DUMMYFUNCTION("""COMPUTED_VALUE"""),9584.2)</f>
        <v>9584.2</v>
      </c>
      <c r="C4881" s="3">
        <f>IFERROR(__xludf.DUMMYFUNCTION("""COMPUTED_VALUE"""),9584.5)</f>
        <v>9584.5</v>
      </c>
      <c r="D4881" s="3">
        <f>IFERROR(__xludf.DUMMYFUNCTION("""COMPUTED_VALUE"""),9351.1)</f>
        <v>9351.1</v>
      </c>
      <c r="E4881" s="3">
        <f>IFERROR(__xludf.DUMMYFUNCTION("""COMPUTED_VALUE"""),9383.55)</f>
        <v>9383.55</v>
      </c>
      <c r="F4881" s="3">
        <f>IFERROR(__xludf.DUMMYFUNCTION("""COMPUTED_VALUE"""),0.0)</f>
        <v>0</v>
      </c>
    </row>
    <row r="4882">
      <c r="A4882" s="7">
        <f>IFERROR(__xludf.DUMMYFUNCTION("""COMPUTED_VALUE"""),43965.64583333333)</f>
        <v>43965.64583</v>
      </c>
      <c r="B4882" s="3">
        <f>IFERROR(__xludf.DUMMYFUNCTION("""COMPUTED_VALUE"""),9213.95)</f>
        <v>9213.95</v>
      </c>
      <c r="C4882" s="3">
        <f>IFERROR(__xludf.DUMMYFUNCTION("""COMPUTED_VALUE"""),9281.1)</f>
        <v>9281.1</v>
      </c>
      <c r="D4882" s="3">
        <f>IFERROR(__xludf.DUMMYFUNCTION("""COMPUTED_VALUE"""),9119.75)</f>
        <v>9119.75</v>
      </c>
      <c r="E4882" s="3">
        <f>IFERROR(__xludf.DUMMYFUNCTION("""COMPUTED_VALUE"""),9142.75)</f>
        <v>9142.75</v>
      </c>
      <c r="F4882" s="3">
        <f>IFERROR(__xludf.DUMMYFUNCTION("""COMPUTED_VALUE"""),0.0)</f>
        <v>0</v>
      </c>
    </row>
    <row r="4883">
      <c r="A4883" s="7">
        <f>IFERROR(__xludf.DUMMYFUNCTION("""COMPUTED_VALUE"""),43966.64583333333)</f>
        <v>43966.64583</v>
      </c>
      <c r="B4883" s="3">
        <f>IFERROR(__xludf.DUMMYFUNCTION("""COMPUTED_VALUE"""),9182.4)</f>
        <v>9182.4</v>
      </c>
      <c r="C4883" s="3">
        <f>IFERROR(__xludf.DUMMYFUNCTION("""COMPUTED_VALUE"""),9182.4)</f>
        <v>9182.4</v>
      </c>
      <c r="D4883" s="3">
        <f>IFERROR(__xludf.DUMMYFUNCTION("""COMPUTED_VALUE"""),9050.0)</f>
        <v>9050</v>
      </c>
      <c r="E4883" s="3">
        <f>IFERROR(__xludf.DUMMYFUNCTION("""COMPUTED_VALUE"""),9136.85)</f>
        <v>9136.85</v>
      </c>
      <c r="F4883" s="3">
        <f>IFERROR(__xludf.DUMMYFUNCTION("""COMPUTED_VALUE"""),0.0)</f>
        <v>0</v>
      </c>
    </row>
    <row r="4884">
      <c r="A4884" s="7">
        <f>IFERROR(__xludf.DUMMYFUNCTION("""COMPUTED_VALUE"""),43969.64583333333)</f>
        <v>43969.64583</v>
      </c>
      <c r="B4884" s="3">
        <f>IFERROR(__xludf.DUMMYFUNCTION("""COMPUTED_VALUE"""),9158.3)</f>
        <v>9158.3</v>
      </c>
      <c r="C4884" s="3">
        <f>IFERROR(__xludf.DUMMYFUNCTION("""COMPUTED_VALUE"""),9158.3)</f>
        <v>9158.3</v>
      </c>
      <c r="D4884" s="3">
        <f>IFERROR(__xludf.DUMMYFUNCTION("""COMPUTED_VALUE"""),8806.75)</f>
        <v>8806.75</v>
      </c>
      <c r="E4884" s="3">
        <f>IFERROR(__xludf.DUMMYFUNCTION("""COMPUTED_VALUE"""),8823.25)</f>
        <v>8823.25</v>
      </c>
      <c r="F4884" s="3">
        <f>IFERROR(__xludf.DUMMYFUNCTION("""COMPUTED_VALUE"""),0.0)</f>
        <v>0</v>
      </c>
    </row>
    <row r="4885">
      <c r="A4885" s="7">
        <f>IFERROR(__xludf.DUMMYFUNCTION("""COMPUTED_VALUE"""),43970.64583333333)</f>
        <v>43970.64583</v>
      </c>
      <c r="B4885" s="3">
        <f>IFERROR(__xludf.DUMMYFUNCTION("""COMPUTED_VALUE"""),8961.7)</f>
        <v>8961.7</v>
      </c>
      <c r="C4885" s="3">
        <f>IFERROR(__xludf.DUMMYFUNCTION("""COMPUTED_VALUE"""),9030.35)</f>
        <v>9030.35</v>
      </c>
      <c r="D4885" s="3">
        <f>IFERROR(__xludf.DUMMYFUNCTION("""COMPUTED_VALUE"""),8855.3)</f>
        <v>8855.3</v>
      </c>
      <c r="E4885" s="3">
        <f>IFERROR(__xludf.DUMMYFUNCTION("""COMPUTED_VALUE"""),8879.1)</f>
        <v>8879.1</v>
      </c>
      <c r="F4885" s="3">
        <f>IFERROR(__xludf.DUMMYFUNCTION("""COMPUTED_VALUE"""),0.0)</f>
        <v>0</v>
      </c>
    </row>
    <row r="4886">
      <c r="A4886" s="7">
        <f>IFERROR(__xludf.DUMMYFUNCTION("""COMPUTED_VALUE"""),43971.64583333333)</f>
        <v>43971.64583</v>
      </c>
      <c r="B4886" s="3">
        <f>IFERROR(__xludf.DUMMYFUNCTION("""COMPUTED_VALUE"""),8889.15)</f>
        <v>8889.15</v>
      </c>
      <c r="C4886" s="3">
        <f>IFERROR(__xludf.DUMMYFUNCTION("""COMPUTED_VALUE"""),9093.8)</f>
        <v>9093.8</v>
      </c>
      <c r="D4886" s="3">
        <f>IFERROR(__xludf.DUMMYFUNCTION("""COMPUTED_VALUE"""),8875.35)</f>
        <v>8875.35</v>
      </c>
      <c r="E4886" s="3">
        <f>IFERROR(__xludf.DUMMYFUNCTION("""COMPUTED_VALUE"""),9066.55)</f>
        <v>9066.55</v>
      </c>
      <c r="F4886" s="3">
        <f>IFERROR(__xludf.DUMMYFUNCTION("""COMPUTED_VALUE"""),0.0)</f>
        <v>0</v>
      </c>
    </row>
    <row r="4887">
      <c r="A4887" s="7">
        <f>IFERROR(__xludf.DUMMYFUNCTION("""COMPUTED_VALUE"""),43972.64583333333)</f>
        <v>43972.64583</v>
      </c>
      <c r="B4887" s="3">
        <f>IFERROR(__xludf.DUMMYFUNCTION("""COMPUTED_VALUE"""),9079.45)</f>
        <v>9079.45</v>
      </c>
      <c r="C4887" s="3">
        <f>IFERROR(__xludf.DUMMYFUNCTION("""COMPUTED_VALUE"""),9178.55)</f>
        <v>9178.55</v>
      </c>
      <c r="D4887" s="3">
        <f>IFERROR(__xludf.DUMMYFUNCTION("""COMPUTED_VALUE"""),9056.1)</f>
        <v>9056.1</v>
      </c>
      <c r="E4887" s="3">
        <f>IFERROR(__xludf.DUMMYFUNCTION("""COMPUTED_VALUE"""),9106.25)</f>
        <v>9106.25</v>
      </c>
      <c r="F4887" s="3">
        <f>IFERROR(__xludf.DUMMYFUNCTION("""COMPUTED_VALUE"""),0.0)</f>
        <v>0</v>
      </c>
    </row>
    <row r="4888">
      <c r="A4888" s="7">
        <f>IFERROR(__xludf.DUMMYFUNCTION("""COMPUTED_VALUE"""),43973.64583333333)</f>
        <v>43973.64583</v>
      </c>
      <c r="B4888" s="3">
        <f>IFERROR(__xludf.DUMMYFUNCTION("""COMPUTED_VALUE"""),9067.9)</f>
        <v>9067.9</v>
      </c>
      <c r="C4888" s="3">
        <f>IFERROR(__xludf.DUMMYFUNCTION("""COMPUTED_VALUE"""),9149.6)</f>
        <v>9149.6</v>
      </c>
      <c r="D4888" s="3">
        <f>IFERROR(__xludf.DUMMYFUNCTION("""COMPUTED_VALUE"""),8968.55)</f>
        <v>8968.55</v>
      </c>
      <c r="E4888" s="3">
        <f>IFERROR(__xludf.DUMMYFUNCTION("""COMPUTED_VALUE"""),9039.25)</f>
        <v>9039.25</v>
      </c>
      <c r="F4888" s="3">
        <f>IFERROR(__xludf.DUMMYFUNCTION("""COMPUTED_VALUE"""),0.0)</f>
        <v>0</v>
      </c>
    </row>
    <row r="4889">
      <c r="A4889" s="7">
        <f>IFERROR(__xludf.DUMMYFUNCTION("""COMPUTED_VALUE"""),43977.64583333333)</f>
        <v>43977.64583</v>
      </c>
      <c r="B4889" s="3">
        <f>IFERROR(__xludf.DUMMYFUNCTION("""COMPUTED_VALUE"""),9099.75)</f>
        <v>9099.75</v>
      </c>
      <c r="C4889" s="3">
        <f>IFERROR(__xludf.DUMMYFUNCTION("""COMPUTED_VALUE"""),9161.65)</f>
        <v>9161.65</v>
      </c>
      <c r="D4889" s="3">
        <f>IFERROR(__xludf.DUMMYFUNCTION("""COMPUTED_VALUE"""),8996.65)</f>
        <v>8996.65</v>
      </c>
      <c r="E4889" s="3">
        <f>IFERROR(__xludf.DUMMYFUNCTION("""COMPUTED_VALUE"""),9029.05)</f>
        <v>9029.05</v>
      </c>
      <c r="F4889" s="3">
        <f>IFERROR(__xludf.DUMMYFUNCTION("""COMPUTED_VALUE"""),0.0)</f>
        <v>0</v>
      </c>
    </row>
    <row r="4890">
      <c r="A4890" s="7">
        <f>IFERROR(__xludf.DUMMYFUNCTION("""COMPUTED_VALUE"""),43978.64583333333)</f>
        <v>43978.64583</v>
      </c>
      <c r="B4890" s="3">
        <f>IFERROR(__xludf.DUMMYFUNCTION("""COMPUTED_VALUE"""),9082.2)</f>
        <v>9082.2</v>
      </c>
      <c r="C4890" s="3">
        <f>IFERROR(__xludf.DUMMYFUNCTION("""COMPUTED_VALUE"""),9334.0)</f>
        <v>9334</v>
      </c>
      <c r="D4890" s="3">
        <f>IFERROR(__xludf.DUMMYFUNCTION("""COMPUTED_VALUE"""),9004.25)</f>
        <v>9004.25</v>
      </c>
      <c r="E4890" s="3">
        <f>IFERROR(__xludf.DUMMYFUNCTION("""COMPUTED_VALUE"""),9314.95)</f>
        <v>9314.95</v>
      </c>
      <c r="F4890" s="3">
        <f>IFERROR(__xludf.DUMMYFUNCTION("""COMPUTED_VALUE"""),0.0)</f>
        <v>0</v>
      </c>
    </row>
    <row r="4891">
      <c r="A4891" s="7">
        <f>IFERROR(__xludf.DUMMYFUNCTION("""COMPUTED_VALUE"""),43979.64583333333)</f>
        <v>43979.64583</v>
      </c>
      <c r="B4891" s="3">
        <f>IFERROR(__xludf.DUMMYFUNCTION("""COMPUTED_VALUE"""),9364.95)</f>
        <v>9364.95</v>
      </c>
      <c r="C4891" s="3">
        <f>IFERROR(__xludf.DUMMYFUNCTION("""COMPUTED_VALUE"""),9511.25)</f>
        <v>9511.25</v>
      </c>
      <c r="D4891" s="3">
        <f>IFERROR(__xludf.DUMMYFUNCTION("""COMPUTED_VALUE"""),9336.5)</f>
        <v>9336.5</v>
      </c>
      <c r="E4891" s="3">
        <f>IFERROR(__xludf.DUMMYFUNCTION("""COMPUTED_VALUE"""),9490.1)</f>
        <v>9490.1</v>
      </c>
      <c r="F4891" s="3">
        <f>IFERROR(__xludf.DUMMYFUNCTION("""COMPUTED_VALUE"""),0.0)</f>
        <v>0</v>
      </c>
    </row>
    <row r="4892">
      <c r="A4892" s="7">
        <f>IFERROR(__xludf.DUMMYFUNCTION("""COMPUTED_VALUE"""),43980.64583333333)</f>
        <v>43980.64583</v>
      </c>
      <c r="B4892" s="3">
        <f>IFERROR(__xludf.DUMMYFUNCTION("""COMPUTED_VALUE"""),9422.2)</f>
        <v>9422.2</v>
      </c>
      <c r="C4892" s="3">
        <f>IFERROR(__xludf.DUMMYFUNCTION("""COMPUTED_VALUE"""),9598.85)</f>
        <v>9598.85</v>
      </c>
      <c r="D4892" s="3">
        <f>IFERROR(__xludf.DUMMYFUNCTION("""COMPUTED_VALUE"""),9376.9)</f>
        <v>9376.9</v>
      </c>
      <c r="E4892" s="3">
        <f>IFERROR(__xludf.DUMMYFUNCTION("""COMPUTED_VALUE"""),9580.3)</f>
        <v>9580.3</v>
      </c>
      <c r="F4892" s="3">
        <f>IFERROR(__xludf.DUMMYFUNCTION("""COMPUTED_VALUE"""),0.0)</f>
        <v>0</v>
      </c>
    </row>
    <row r="4893">
      <c r="A4893" s="7">
        <f>IFERROR(__xludf.DUMMYFUNCTION("""COMPUTED_VALUE"""),43983.64583333333)</f>
        <v>43983.64583</v>
      </c>
      <c r="B4893" s="3">
        <f>IFERROR(__xludf.DUMMYFUNCTION("""COMPUTED_VALUE"""),9726.85)</f>
        <v>9726.85</v>
      </c>
      <c r="C4893" s="3">
        <f>IFERROR(__xludf.DUMMYFUNCTION("""COMPUTED_VALUE"""),9931.6)</f>
        <v>9931.6</v>
      </c>
      <c r="D4893" s="3">
        <f>IFERROR(__xludf.DUMMYFUNCTION("""COMPUTED_VALUE"""),9706.95)</f>
        <v>9706.95</v>
      </c>
      <c r="E4893" s="3">
        <f>IFERROR(__xludf.DUMMYFUNCTION("""COMPUTED_VALUE"""),9826.15)</f>
        <v>9826.15</v>
      </c>
      <c r="F4893" s="3">
        <f>IFERROR(__xludf.DUMMYFUNCTION("""COMPUTED_VALUE"""),0.0)</f>
        <v>0</v>
      </c>
    </row>
    <row r="4894">
      <c r="A4894" s="7">
        <f>IFERROR(__xludf.DUMMYFUNCTION("""COMPUTED_VALUE"""),43984.64583333333)</f>
        <v>43984.64583</v>
      </c>
      <c r="B4894" s="3">
        <f>IFERROR(__xludf.DUMMYFUNCTION("""COMPUTED_VALUE"""),9880.85)</f>
        <v>9880.85</v>
      </c>
      <c r="C4894" s="3">
        <f>IFERROR(__xludf.DUMMYFUNCTION("""COMPUTED_VALUE"""),9995.6)</f>
        <v>9995.6</v>
      </c>
      <c r="D4894" s="3">
        <f>IFERROR(__xludf.DUMMYFUNCTION("""COMPUTED_VALUE"""),9824.05)</f>
        <v>9824.05</v>
      </c>
      <c r="E4894" s="3">
        <f>IFERROR(__xludf.DUMMYFUNCTION("""COMPUTED_VALUE"""),9979.1)</f>
        <v>9979.1</v>
      </c>
      <c r="F4894" s="3">
        <f>IFERROR(__xludf.DUMMYFUNCTION("""COMPUTED_VALUE"""),0.0)</f>
        <v>0</v>
      </c>
    </row>
    <row r="4895">
      <c r="A4895" s="7">
        <f>IFERROR(__xludf.DUMMYFUNCTION("""COMPUTED_VALUE"""),43985.64583333333)</f>
        <v>43985.64583</v>
      </c>
      <c r="B4895" s="3">
        <f>IFERROR(__xludf.DUMMYFUNCTION("""COMPUTED_VALUE"""),10108.3)</f>
        <v>10108.3</v>
      </c>
      <c r="C4895" s="3">
        <f>IFERROR(__xludf.DUMMYFUNCTION("""COMPUTED_VALUE"""),10176.2)</f>
        <v>10176.2</v>
      </c>
      <c r="D4895" s="3">
        <f>IFERROR(__xludf.DUMMYFUNCTION("""COMPUTED_VALUE"""),10035.55)</f>
        <v>10035.55</v>
      </c>
      <c r="E4895" s="3">
        <f>IFERROR(__xludf.DUMMYFUNCTION("""COMPUTED_VALUE"""),10061.55)</f>
        <v>10061.55</v>
      </c>
      <c r="F4895" s="3">
        <f>IFERROR(__xludf.DUMMYFUNCTION("""COMPUTED_VALUE"""),0.0)</f>
        <v>0</v>
      </c>
    </row>
    <row r="4896">
      <c r="A4896" s="7">
        <f>IFERROR(__xludf.DUMMYFUNCTION("""COMPUTED_VALUE"""),43986.64583333333)</f>
        <v>43986.64583</v>
      </c>
      <c r="B4896" s="3">
        <f>IFERROR(__xludf.DUMMYFUNCTION("""COMPUTED_VALUE"""),10054.25)</f>
        <v>10054.25</v>
      </c>
      <c r="C4896" s="3">
        <f>IFERROR(__xludf.DUMMYFUNCTION("""COMPUTED_VALUE"""),10123.85)</f>
        <v>10123.85</v>
      </c>
      <c r="D4896" s="3">
        <f>IFERROR(__xludf.DUMMYFUNCTION("""COMPUTED_VALUE"""),9944.25)</f>
        <v>9944.25</v>
      </c>
      <c r="E4896" s="3">
        <f>IFERROR(__xludf.DUMMYFUNCTION("""COMPUTED_VALUE"""),10029.1)</f>
        <v>10029.1</v>
      </c>
      <c r="F4896" s="3">
        <f>IFERROR(__xludf.DUMMYFUNCTION("""COMPUTED_VALUE"""),0.0)</f>
        <v>0</v>
      </c>
    </row>
    <row r="4897">
      <c r="A4897" s="7">
        <f>IFERROR(__xludf.DUMMYFUNCTION("""COMPUTED_VALUE"""),43987.64583333333)</f>
        <v>43987.64583</v>
      </c>
      <c r="B4897" s="3">
        <f>IFERROR(__xludf.DUMMYFUNCTION("""COMPUTED_VALUE"""),10093.8)</f>
        <v>10093.8</v>
      </c>
      <c r="C4897" s="3">
        <f>IFERROR(__xludf.DUMMYFUNCTION("""COMPUTED_VALUE"""),10177.8)</f>
        <v>10177.8</v>
      </c>
      <c r="D4897" s="3">
        <f>IFERROR(__xludf.DUMMYFUNCTION("""COMPUTED_VALUE"""),10040.75)</f>
        <v>10040.75</v>
      </c>
      <c r="E4897" s="3">
        <f>IFERROR(__xludf.DUMMYFUNCTION("""COMPUTED_VALUE"""),10142.15)</f>
        <v>10142.15</v>
      </c>
      <c r="F4897" s="3">
        <f>IFERROR(__xludf.DUMMYFUNCTION("""COMPUTED_VALUE"""),0.0)</f>
        <v>0</v>
      </c>
    </row>
    <row r="4898">
      <c r="A4898" s="7">
        <f>IFERROR(__xludf.DUMMYFUNCTION("""COMPUTED_VALUE"""),43990.64583333333)</f>
        <v>43990.64583</v>
      </c>
      <c r="B4898" s="3">
        <f>IFERROR(__xludf.DUMMYFUNCTION("""COMPUTED_VALUE"""),10326.75)</f>
        <v>10326.75</v>
      </c>
      <c r="C4898" s="3">
        <f>IFERROR(__xludf.DUMMYFUNCTION("""COMPUTED_VALUE"""),10328.5)</f>
        <v>10328.5</v>
      </c>
      <c r="D4898" s="3">
        <f>IFERROR(__xludf.DUMMYFUNCTION("""COMPUTED_VALUE"""),10120.25)</f>
        <v>10120.25</v>
      </c>
      <c r="E4898" s="3">
        <f>IFERROR(__xludf.DUMMYFUNCTION("""COMPUTED_VALUE"""),10167.45)</f>
        <v>10167.45</v>
      </c>
      <c r="F4898" s="3">
        <f>IFERROR(__xludf.DUMMYFUNCTION("""COMPUTED_VALUE"""),0.0)</f>
        <v>0</v>
      </c>
    </row>
    <row r="4899">
      <c r="A4899" s="7">
        <f>IFERROR(__xludf.DUMMYFUNCTION("""COMPUTED_VALUE"""),43991.64583333333)</f>
        <v>43991.64583</v>
      </c>
      <c r="B4899" s="3">
        <f>IFERROR(__xludf.DUMMYFUNCTION("""COMPUTED_VALUE"""),10181.15)</f>
        <v>10181.15</v>
      </c>
      <c r="C4899" s="3">
        <f>IFERROR(__xludf.DUMMYFUNCTION("""COMPUTED_VALUE"""),10291.15)</f>
        <v>10291.15</v>
      </c>
      <c r="D4899" s="3">
        <f>IFERROR(__xludf.DUMMYFUNCTION("""COMPUTED_VALUE"""),10021.45)</f>
        <v>10021.45</v>
      </c>
      <c r="E4899" s="3">
        <f>IFERROR(__xludf.DUMMYFUNCTION("""COMPUTED_VALUE"""),10046.65)</f>
        <v>10046.65</v>
      </c>
      <c r="F4899" s="3">
        <f>IFERROR(__xludf.DUMMYFUNCTION("""COMPUTED_VALUE"""),0.0)</f>
        <v>0</v>
      </c>
    </row>
    <row r="4900">
      <c r="A4900" s="7">
        <f>IFERROR(__xludf.DUMMYFUNCTION("""COMPUTED_VALUE"""),43992.64583333333)</f>
        <v>43992.64583</v>
      </c>
      <c r="B4900" s="3">
        <f>IFERROR(__xludf.DUMMYFUNCTION("""COMPUTED_VALUE"""),10072.6)</f>
        <v>10072.6</v>
      </c>
      <c r="C4900" s="3">
        <f>IFERROR(__xludf.DUMMYFUNCTION("""COMPUTED_VALUE"""),10148.75)</f>
        <v>10148.75</v>
      </c>
      <c r="D4900" s="3">
        <f>IFERROR(__xludf.DUMMYFUNCTION("""COMPUTED_VALUE"""),10036.85)</f>
        <v>10036.85</v>
      </c>
      <c r="E4900" s="3">
        <f>IFERROR(__xludf.DUMMYFUNCTION("""COMPUTED_VALUE"""),10116.15)</f>
        <v>10116.15</v>
      </c>
      <c r="F4900" s="3">
        <f>IFERROR(__xludf.DUMMYFUNCTION("""COMPUTED_VALUE"""),0.0)</f>
        <v>0</v>
      </c>
    </row>
    <row r="4901">
      <c r="A4901" s="7">
        <f>IFERROR(__xludf.DUMMYFUNCTION("""COMPUTED_VALUE"""),43993.64583333333)</f>
        <v>43993.64583</v>
      </c>
      <c r="B4901" s="3">
        <f>IFERROR(__xludf.DUMMYFUNCTION("""COMPUTED_VALUE"""),10094.1)</f>
        <v>10094.1</v>
      </c>
      <c r="C4901" s="3">
        <f>IFERROR(__xludf.DUMMYFUNCTION("""COMPUTED_VALUE"""),10112.05)</f>
        <v>10112.05</v>
      </c>
      <c r="D4901" s="3">
        <f>IFERROR(__xludf.DUMMYFUNCTION("""COMPUTED_VALUE"""),9885.05)</f>
        <v>9885.05</v>
      </c>
      <c r="E4901" s="3">
        <f>IFERROR(__xludf.DUMMYFUNCTION("""COMPUTED_VALUE"""),9902.0)</f>
        <v>9902</v>
      </c>
      <c r="F4901" s="3">
        <f>IFERROR(__xludf.DUMMYFUNCTION("""COMPUTED_VALUE"""),0.0)</f>
        <v>0</v>
      </c>
    </row>
    <row r="4902">
      <c r="A4902" s="7">
        <f>IFERROR(__xludf.DUMMYFUNCTION("""COMPUTED_VALUE"""),43994.64583333333)</f>
        <v>43994.64583</v>
      </c>
      <c r="B4902" s="3">
        <f>IFERROR(__xludf.DUMMYFUNCTION("""COMPUTED_VALUE"""),9544.95)</f>
        <v>9544.95</v>
      </c>
      <c r="C4902" s="3">
        <f>IFERROR(__xludf.DUMMYFUNCTION("""COMPUTED_VALUE"""),9996.05)</f>
        <v>9996.05</v>
      </c>
      <c r="D4902" s="3">
        <f>IFERROR(__xludf.DUMMYFUNCTION("""COMPUTED_VALUE"""),9544.35)</f>
        <v>9544.35</v>
      </c>
      <c r="E4902" s="3">
        <f>IFERROR(__xludf.DUMMYFUNCTION("""COMPUTED_VALUE"""),9972.9)</f>
        <v>9972.9</v>
      </c>
      <c r="F4902" s="3">
        <f>IFERROR(__xludf.DUMMYFUNCTION("""COMPUTED_VALUE"""),0.0)</f>
        <v>0</v>
      </c>
    </row>
    <row r="4903">
      <c r="A4903" s="7">
        <f>IFERROR(__xludf.DUMMYFUNCTION("""COMPUTED_VALUE"""),43997.64583333333)</f>
        <v>43997.64583</v>
      </c>
      <c r="B4903" s="3">
        <f>IFERROR(__xludf.DUMMYFUNCTION("""COMPUTED_VALUE"""),9919.35)</f>
        <v>9919.35</v>
      </c>
      <c r="C4903" s="3">
        <f>IFERROR(__xludf.DUMMYFUNCTION("""COMPUTED_VALUE"""),9943.35)</f>
        <v>9943.35</v>
      </c>
      <c r="D4903" s="3">
        <f>IFERROR(__xludf.DUMMYFUNCTION("""COMPUTED_VALUE"""),9726.35)</f>
        <v>9726.35</v>
      </c>
      <c r="E4903" s="3">
        <f>IFERROR(__xludf.DUMMYFUNCTION("""COMPUTED_VALUE"""),9813.7)</f>
        <v>9813.7</v>
      </c>
      <c r="F4903" s="3">
        <f>IFERROR(__xludf.DUMMYFUNCTION("""COMPUTED_VALUE"""),0.0)</f>
        <v>0</v>
      </c>
    </row>
    <row r="4904">
      <c r="A4904" s="7">
        <f>IFERROR(__xludf.DUMMYFUNCTION("""COMPUTED_VALUE"""),43998.64583333333)</f>
        <v>43998.64583</v>
      </c>
      <c r="B4904" s="3">
        <f>IFERROR(__xludf.DUMMYFUNCTION("""COMPUTED_VALUE"""),10014.8)</f>
        <v>10014.8</v>
      </c>
      <c r="C4904" s="3">
        <f>IFERROR(__xludf.DUMMYFUNCTION("""COMPUTED_VALUE"""),10046.15)</f>
        <v>10046.15</v>
      </c>
      <c r="D4904" s="3">
        <f>IFERROR(__xludf.DUMMYFUNCTION("""COMPUTED_VALUE"""),9728.5)</f>
        <v>9728.5</v>
      </c>
      <c r="E4904" s="3">
        <f>IFERROR(__xludf.DUMMYFUNCTION("""COMPUTED_VALUE"""),9914.0)</f>
        <v>9914</v>
      </c>
      <c r="F4904" s="3">
        <f>IFERROR(__xludf.DUMMYFUNCTION("""COMPUTED_VALUE"""),0.0)</f>
        <v>0</v>
      </c>
    </row>
    <row r="4905">
      <c r="A4905" s="7">
        <f>IFERROR(__xludf.DUMMYFUNCTION("""COMPUTED_VALUE"""),43999.64583333333)</f>
        <v>43999.64583</v>
      </c>
      <c r="B4905" s="3">
        <f>IFERROR(__xludf.DUMMYFUNCTION("""COMPUTED_VALUE"""),9876.7)</f>
        <v>9876.7</v>
      </c>
      <c r="C4905" s="3">
        <f>IFERROR(__xludf.DUMMYFUNCTION("""COMPUTED_VALUE"""),10003.6)</f>
        <v>10003.6</v>
      </c>
      <c r="D4905" s="3">
        <f>IFERROR(__xludf.DUMMYFUNCTION("""COMPUTED_VALUE"""),9833.8)</f>
        <v>9833.8</v>
      </c>
      <c r="E4905" s="3">
        <f>IFERROR(__xludf.DUMMYFUNCTION("""COMPUTED_VALUE"""),9881.15)</f>
        <v>9881.15</v>
      </c>
      <c r="F4905" s="3">
        <f>IFERROR(__xludf.DUMMYFUNCTION("""COMPUTED_VALUE"""),0.0)</f>
        <v>0</v>
      </c>
    </row>
    <row r="4906">
      <c r="A4906" s="7">
        <f>IFERROR(__xludf.DUMMYFUNCTION("""COMPUTED_VALUE"""),44000.64583333333)</f>
        <v>44000.64583</v>
      </c>
      <c r="B4906" s="3">
        <f>IFERROR(__xludf.DUMMYFUNCTION("""COMPUTED_VALUE"""),9863.25)</f>
        <v>9863.25</v>
      </c>
      <c r="C4906" s="3">
        <f>IFERROR(__xludf.DUMMYFUNCTION("""COMPUTED_VALUE"""),10111.2)</f>
        <v>10111.2</v>
      </c>
      <c r="D4906" s="3">
        <f>IFERROR(__xludf.DUMMYFUNCTION("""COMPUTED_VALUE"""),9845.05)</f>
        <v>9845.05</v>
      </c>
      <c r="E4906" s="3">
        <f>IFERROR(__xludf.DUMMYFUNCTION("""COMPUTED_VALUE"""),10091.65)</f>
        <v>10091.65</v>
      </c>
      <c r="F4906" s="3">
        <f>IFERROR(__xludf.DUMMYFUNCTION("""COMPUTED_VALUE"""),0.0)</f>
        <v>0</v>
      </c>
    </row>
    <row r="4907">
      <c r="A4907" s="7">
        <f>IFERROR(__xludf.DUMMYFUNCTION("""COMPUTED_VALUE"""),44001.64583333333)</f>
        <v>44001.64583</v>
      </c>
      <c r="B4907" s="3">
        <f>IFERROR(__xludf.DUMMYFUNCTION("""COMPUTED_VALUE"""),10119.0)</f>
        <v>10119</v>
      </c>
      <c r="C4907" s="3">
        <f>IFERROR(__xludf.DUMMYFUNCTION("""COMPUTED_VALUE"""),10272.4)</f>
        <v>10272.4</v>
      </c>
      <c r="D4907" s="3">
        <f>IFERROR(__xludf.DUMMYFUNCTION("""COMPUTED_VALUE"""),10072.65)</f>
        <v>10072.65</v>
      </c>
      <c r="E4907" s="3">
        <f>IFERROR(__xludf.DUMMYFUNCTION("""COMPUTED_VALUE"""),10244.4)</f>
        <v>10244.4</v>
      </c>
      <c r="F4907" s="3">
        <f>IFERROR(__xludf.DUMMYFUNCTION("""COMPUTED_VALUE"""),0.0)</f>
        <v>0</v>
      </c>
    </row>
    <row r="4908">
      <c r="A4908" s="7">
        <f>IFERROR(__xludf.DUMMYFUNCTION("""COMPUTED_VALUE"""),44004.64583333333)</f>
        <v>44004.64583</v>
      </c>
      <c r="B4908" s="3">
        <f>IFERROR(__xludf.DUMMYFUNCTION("""COMPUTED_VALUE"""),10318.75)</f>
        <v>10318.75</v>
      </c>
      <c r="C4908" s="3">
        <f>IFERROR(__xludf.DUMMYFUNCTION("""COMPUTED_VALUE"""),10393.65)</f>
        <v>10393.65</v>
      </c>
      <c r="D4908" s="3">
        <f>IFERROR(__xludf.DUMMYFUNCTION("""COMPUTED_VALUE"""),10277.6)</f>
        <v>10277.6</v>
      </c>
      <c r="E4908" s="3">
        <f>IFERROR(__xludf.DUMMYFUNCTION("""COMPUTED_VALUE"""),10311.2)</f>
        <v>10311.2</v>
      </c>
      <c r="F4908" s="3">
        <f>IFERROR(__xludf.DUMMYFUNCTION("""COMPUTED_VALUE"""),0.0)</f>
        <v>0</v>
      </c>
    </row>
    <row r="4909">
      <c r="A4909" s="7">
        <f>IFERROR(__xludf.DUMMYFUNCTION("""COMPUTED_VALUE"""),44005.64583333333)</f>
        <v>44005.64583</v>
      </c>
      <c r="B4909" s="3">
        <f>IFERROR(__xludf.DUMMYFUNCTION("""COMPUTED_VALUE"""),10347.95)</f>
        <v>10347.95</v>
      </c>
      <c r="C4909" s="3">
        <f>IFERROR(__xludf.DUMMYFUNCTION("""COMPUTED_VALUE"""),10484.7)</f>
        <v>10484.7</v>
      </c>
      <c r="D4909" s="3">
        <f>IFERROR(__xludf.DUMMYFUNCTION("""COMPUTED_VALUE"""),10301.75)</f>
        <v>10301.75</v>
      </c>
      <c r="E4909" s="3">
        <f>IFERROR(__xludf.DUMMYFUNCTION("""COMPUTED_VALUE"""),10471.0)</f>
        <v>10471</v>
      </c>
      <c r="F4909" s="3">
        <f>IFERROR(__xludf.DUMMYFUNCTION("""COMPUTED_VALUE"""),0.0)</f>
        <v>0</v>
      </c>
    </row>
    <row r="4910">
      <c r="A4910" s="7">
        <f>IFERROR(__xludf.DUMMYFUNCTION("""COMPUTED_VALUE"""),44006.64583333333)</f>
        <v>44006.64583</v>
      </c>
      <c r="B4910" s="3">
        <f>IFERROR(__xludf.DUMMYFUNCTION("""COMPUTED_VALUE"""),10529.25)</f>
        <v>10529.25</v>
      </c>
      <c r="C4910" s="3">
        <f>IFERROR(__xludf.DUMMYFUNCTION("""COMPUTED_VALUE"""),10553.15)</f>
        <v>10553.15</v>
      </c>
      <c r="D4910" s="3">
        <f>IFERROR(__xludf.DUMMYFUNCTION("""COMPUTED_VALUE"""),10281.95)</f>
        <v>10281.95</v>
      </c>
      <c r="E4910" s="3">
        <f>IFERROR(__xludf.DUMMYFUNCTION("""COMPUTED_VALUE"""),10305.3)</f>
        <v>10305.3</v>
      </c>
      <c r="F4910" s="3">
        <f>IFERROR(__xludf.DUMMYFUNCTION("""COMPUTED_VALUE"""),0.0)</f>
        <v>0</v>
      </c>
    </row>
    <row r="4911">
      <c r="A4911" s="7">
        <f>IFERROR(__xludf.DUMMYFUNCTION("""COMPUTED_VALUE"""),44007.64583333333)</f>
        <v>44007.64583</v>
      </c>
      <c r="B4911" s="3">
        <f>IFERROR(__xludf.DUMMYFUNCTION("""COMPUTED_VALUE"""),10235.55)</f>
        <v>10235.55</v>
      </c>
      <c r="C4911" s="3">
        <f>IFERROR(__xludf.DUMMYFUNCTION("""COMPUTED_VALUE"""),10361.8)</f>
        <v>10361.8</v>
      </c>
      <c r="D4911" s="3">
        <f>IFERROR(__xludf.DUMMYFUNCTION("""COMPUTED_VALUE"""),10194.5)</f>
        <v>10194.5</v>
      </c>
      <c r="E4911" s="3">
        <f>IFERROR(__xludf.DUMMYFUNCTION("""COMPUTED_VALUE"""),10288.9)</f>
        <v>10288.9</v>
      </c>
      <c r="F4911" s="3">
        <f>IFERROR(__xludf.DUMMYFUNCTION("""COMPUTED_VALUE"""),0.0)</f>
        <v>0</v>
      </c>
    </row>
    <row r="4912">
      <c r="A4912" s="7">
        <f>IFERROR(__xludf.DUMMYFUNCTION("""COMPUTED_VALUE"""),44008.64583333333)</f>
        <v>44008.64583</v>
      </c>
      <c r="B4912" s="3">
        <f>IFERROR(__xludf.DUMMYFUNCTION("""COMPUTED_VALUE"""),10378.9)</f>
        <v>10378.9</v>
      </c>
      <c r="C4912" s="3">
        <f>IFERROR(__xludf.DUMMYFUNCTION("""COMPUTED_VALUE"""),10409.85)</f>
        <v>10409.85</v>
      </c>
      <c r="D4912" s="3">
        <f>IFERROR(__xludf.DUMMYFUNCTION("""COMPUTED_VALUE"""),10311.25)</f>
        <v>10311.25</v>
      </c>
      <c r="E4912" s="3">
        <f>IFERROR(__xludf.DUMMYFUNCTION("""COMPUTED_VALUE"""),10383.0)</f>
        <v>10383</v>
      </c>
      <c r="F4912" s="3">
        <f>IFERROR(__xludf.DUMMYFUNCTION("""COMPUTED_VALUE"""),0.0)</f>
        <v>0</v>
      </c>
    </row>
    <row r="4913">
      <c r="A4913" s="7">
        <f>IFERROR(__xludf.DUMMYFUNCTION("""COMPUTED_VALUE"""),44011.64583333333)</f>
        <v>44011.64583</v>
      </c>
      <c r="B4913" s="3">
        <f>IFERROR(__xludf.DUMMYFUNCTION("""COMPUTED_VALUE"""),10311.95)</f>
        <v>10311.95</v>
      </c>
      <c r="C4913" s="3">
        <f>IFERROR(__xludf.DUMMYFUNCTION("""COMPUTED_VALUE"""),10337.95)</f>
        <v>10337.95</v>
      </c>
      <c r="D4913" s="3">
        <f>IFERROR(__xludf.DUMMYFUNCTION("""COMPUTED_VALUE"""),10223.6)</f>
        <v>10223.6</v>
      </c>
      <c r="E4913" s="3">
        <f>IFERROR(__xludf.DUMMYFUNCTION("""COMPUTED_VALUE"""),10312.4)</f>
        <v>10312.4</v>
      </c>
      <c r="F4913" s="3">
        <f>IFERROR(__xludf.DUMMYFUNCTION("""COMPUTED_VALUE"""),0.0)</f>
        <v>0</v>
      </c>
    </row>
    <row r="4914">
      <c r="A4914" s="7">
        <f>IFERROR(__xludf.DUMMYFUNCTION("""COMPUTED_VALUE"""),44012.64583333333)</f>
        <v>44012.64583</v>
      </c>
      <c r="B4914" s="3">
        <f>IFERROR(__xludf.DUMMYFUNCTION("""COMPUTED_VALUE"""),10382.6)</f>
        <v>10382.6</v>
      </c>
      <c r="C4914" s="3">
        <f>IFERROR(__xludf.DUMMYFUNCTION("""COMPUTED_VALUE"""),10401.05)</f>
        <v>10401.05</v>
      </c>
      <c r="D4914" s="3">
        <f>IFERROR(__xludf.DUMMYFUNCTION("""COMPUTED_VALUE"""),10267.35)</f>
        <v>10267.35</v>
      </c>
      <c r="E4914" s="3">
        <f>IFERROR(__xludf.DUMMYFUNCTION("""COMPUTED_VALUE"""),10302.1)</f>
        <v>10302.1</v>
      </c>
      <c r="F4914" s="3">
        <f>IFERROR(__xludf.DUMMYFUNCTION("""COMPUTED_VALUE"""),0.0)</f>
        <v>0</v>
      </c>
    </row>
    <row r="4915">
      <c r="A4915" s="7">
        <f>IFERROR(__xludf.DUMMYFUNCTION("""COMPUTED_VALUE"""),44013.64583333333)</f>
        <v>44013.64583</v>
      </c>
      <c r="B4915" s="3">
        <f>IFERROR(__xludf.DUMMYFUNCTION("""COMPUTED_VALUE"""),10323.8)</f>
        <v>10323.8</v>
      </c>
      <c r="C4915" s="3">
        <f>IFERROR(__xludf.DUMMYFUNCTION("""COMPUTED_VALUE"""),10447.05)</f>
        <v>10447.05</v>
      </c>
      <c r="D4915" s="3">
        <f>IFERROR(__xludf.DUMMYFUNCTION("""COMPUTED_VALUE"""),10299.6)</f>
        <v>10299.6</v>
      </c>
      <c r="E4915" s="3">
        <f>IFERROR(__xludf.DUMMYFUNCTION("""COMPUTED_VALUE"""),10430.05)</f>
        <v>10430.05</v>
      </c>
      <c r="F4915" s="3">
        <f>IFERROR(__xludf.DUMMYFUNCTION("""COMPUTED_VALUE"""),0.0)</f>
        <v>0</v>
      </c>
    </row>
    <row r="4916">
      <c r="A4916" s="7">
        <f>IFERROR(__xludf.DUMMYFUNCTION("""COMPUTED_VALUE"""),44014.64583333333)</f>
        <v>44014.64583</v>
      </c>
      <c r="B4916" s="3">
        <f>IFERROR(__xludf.DUMMYFUNCTION("""COMPUTED_VALUE"""),10493.05)</f>
        <v>10493.05</v>
      </c>
      <c r="C4916" s="3">
        <f>IFERROR(__xludf.DUMMYFUNCTION("""COMPUTED_VALUE"""),10598.2)</f>
        <v>10598.2</v>
      </c>
      <c r="D4916" s="3">
        <f>IFERROR(__xludf.DUMMYFUNCTION("""COMPUTED_VALUE"""),10485.55)</f>
        <v>10485.55</v>
      </c>
      <c r="E4916" s="3">
        <f>IFERROR(__xludf.DUMMYFUNCTION("""COMPUTED_VALUE"""),10551.7)</f>
        <v>10551.7</v>
      </c>
      <c r="F4916" s="3">
        <f>IFERROR(__xludf.DUMMYFUNCTION("""COMPUTED_VALUE"""),0.0)</f>
        <v>0</v>
      </c>
    </row>
    <row r="4917">
      <c r="A4917" s="7">
        <f>IFERROR(__xludf.DUMMYFUNCTION("""COMPUTED_VALUE"""),44015.64583333333)</f>
        <v>44015.64583</v>
      </c>
      <c r="B4917" s="3">
        <f>IFERROR(__xludf.DUMMYFUNCTION("""COMPUTED_VALUE"""),10614.95)</f>
        <v>10614.95</v>
      </c>
      <c r="C4917" s="3">
        <f>IFERROR(__xludf.DUMMYFUNCTION("""COMPUTED_VALUE"""),10631.3)</f>
        <v>10631.3</v>
      </c>
      <c r="D4917" s="3">
        <f>IFERROR(__xludf.DUMMYFUNCTION("""COMPUTED_VALUE"""),10562.65)</f>
        <v>10562.65</v>
      </c>
      <c r="E4917" s="3">
        <f>IFERROR(__xludf.DUMMYFUNCTION("""COMPUTED_VALUE"""),10607.35)</f>
        <v>10607.35</v>
      </c>
      <c r="F4917" s="3">
        <f>IFERROR(__xludf.DUMMYFUNCTION("""COMPUTED_VALUE"""),0.0)</f>
        <v>0</v>
      </c>
    </row>
    <row r="4918">
      <c r="A4918" s="7">
        <f>IFERROR(__xludf.DUMMYFUNCTION("""COMPUTED_VALUE"""),44018.64583333333)</f>
        <v>44018.64583</v>
      </c>
      <c r="B4918" s="3">
        <f>IFERROR(__xludf.DUMMYFUNCTION("""COMPUTED_VALUE"""),10723.85)</f>
        <v>10723.85</v>
      </c>
      <c r="C4918" s="3">
        <f>IFERROR(__xludf.DUMMYFUNCTION("""COMPUTED_VALUE"""),10811.4)</f>
        <v>10811.4</v>
      </c>
      <c r="D4918" s="3">
        <f>IFERROR(__xludf.DUMMYFUNCTION("""COMPUTED_VALUE"""),10695.1)</f>
        <v>10695.1</v>
      </c>
      <c r="E4918" s="3">
        <f>IFERROR(__xludf.DUMMYFUNCTION("""COMPUTED_VALUE"""),10763.65)</f>
        <v>10763.65</v>
      </c>
      <c r="F4918" s="3">
        <f>IFERROR(__xludf.DUMMYFUNCTION("""COMPUTED_VALUE"""),0.0)</f>
        <v>0</v>
      </c>
    </row>
    <row r="4919">
      <c r="A4919" s="7">
        <f>IFERROR(__xludf.DUMMYFUNCTION("""COMPUTED_VALUE"""),44019.64583333333)</f>
        <v>44019.64583</v>
      </c>
      <c r="B4919" s="3">
        <f>IFERROR(__xludf.DUMMYFUNCTION("""COMPUTED_VALUE"""),10802.85)</f>
        <v>10802.85</v>
      </c>
      <c r="C4919" s="3">
        <f>IFERROR(__xludf.DUMMYFUNCTION("""COMPUTED_VALUE"""),10813.8)</f>
        <v>10813.8</v>
      </c>
      <c r="D4919" s="3">
        <f>IFERROR(__xludf.DUMMYFUNCTION("""COMPUTED_VALUE"""),10689.7)</f>
        <v>10689.7</v>
      </c>
      <c r="E4919" s="3">
        <f>IFERROR(__xludf.DUMMYFUNCTION("""COMPUTED_VALUE"""),10799.65)</f>
        <v>10799.65</v>
      </c>
      <c r="F4919" s="3">
        <f>IFERROR(__xludf.DUMMYFUNCTION("""COMPUTED_VALUE"""),0.0)</f>
        <v>0</v>
      </c>
    </row>
    <row r="4920">
      <c r="A4920" s="7">
        <f>IFERROR(__xludf.DUMMYFUNCTION("""COMPUTED_VALUE"""),44020.64583333333)</f>
        <v>44020.64583</v>
      </c>
      <c r="B4920" s="3">
        <f>IFERROR(__xludf.DUMMYFUNCTION("""COMPUTED_VALUE"""),10818.65)</f>
        <v>10818.65</v>
      </c>
      <c r="C4920" s="3">
        <f>IFERROR(__xludf.DUMMYFUNCTION("""COMPUTED_VALUE"""),10847.85)</f>
        <v>10847.85</v>
      </c>
      <c r="D4920" s="3">
        <f>IFERROR(__xludf.DUMMYFUNCTION("""COMPUTED_VALUE"""),10676.55)</f>
        <v>10676.55</v>
      </c>
      <c r="E4920" s="3">
        <f>IFERROR(__xludf.DUMMYFUNCTION("""COMPUTED_VALUE"""),10705.75)</f>
        <v>10705.75</v>
      </c>
      <c r="F4920" s="3">
        <f>IFERROR(__xludf.DUMMYFUNCTION("""COMPUTED_VALUE"""),0.0)</f>
        <v>0</v>
      </c>
    </row>
    <row r="4921">
      <c r="A4921" s="7">
        <f>IFERROR(__xludf.DUMMYFUNCTION("""COMPUTED_VALUE"""),44021.64583333333)</f>
        <v>44021.64583</v>
      </c>
      <c r="B4921" s="3">
        <f>IFERROR(__xludf.DUMMYFUNCTION("""COMPUTED_VALUE"""),10755.55)</f>
        <v>10755.55</v>
      </c>
      <c r="C4921" s="3">
        <f>IFERROR(__xludf.DUMMYFUNCTION("""COMPUTED_VALUE"""),10836.85)</f>
        <v>10836.85</v>
      </c>
      <c r="D4921" s="3">
        <f>IFERROR(__xludf.DUMMYFUNCTION("""COMPUTED_VALUE"""),10733.0)</f>
        <v>10733</v>
      </c>
      <c r="E4921" s="3">
        <f>IFERROR(__xludf.DUMMYFUNCTION("""COMPUTED_VALUE"""),10813.45)</f>
        <v>10813.45</v>
      </c>
      <c r="F4921" s="3">
        <f>IFERROR(__xludf.DUMMYFUNCTION("""COMPUTED_VALUE"""),0.0)</f>
        <v>0</v>
      </c>
    </row>
    <row r="4922">
      <c r="A4922" s="7">
        <f>IFERROR(__xludf.DUMMYFUNCTION("""COMPUTED_VALUE"""),44022.64583333333)</f>
        <v>44022.64583</v>
      </c>
      <c r="B4922" s="3">
        <f>IFERROR(__xludf.DUMMYFUNCTION("""COMPUTED_VALUE"""),10764.1)</f>
        <v>10764.1</v>
      </c>
      <c r="C4922" s="3">
        <f>IFERROR(__xludf.DUMMYFUNCTION("""COMPUTED_VALUE"""),10819.4)</f>
        <v>10819.4</v>
      </c>
      <c r="D4922" s="3">
        <f>IFERROR(__xludf.DUMMYFUNCTION("""COMPUTED_VALUE"""),10713.0)</f>
        <v>10713</v>
      </c>
      <c r="E4922" s="3">
        <f>IFERROR(__xludf.DUMMYFUNCTION("""COMPUTED_VALUE"""),10768.05)</f>
        <v>10768.05</v>
      </c>
      <c r="F4922" s="3">
        <f>IFERROR(__xludf.DUMMYFUNCTION("""COMPUTED_VALUE"""),0.0)</f>
        <v>0</v>
      </c>
    </row>
    <row r="4923">
      <c r="A4923" s="7">
        <f>IFERROR(__xludf.DUMMYFUNCTION("""COMPUTED_VALUE"""),44025.64583333333)</f>
        <v>44025.64583</v>
      </c>
      <c r="B4923" s="3">
        <f>IFERROR(__xludf.DUMMYFUNCTION("""COMPUTED_VALUE"""),10851.85)</f>
        <v>10851.85</v>
      </c>
      <c r="C4923" s="3">
        <f>IFERROR(__xludf.DUMMYFUNCTION("""COMPUTED_VALUE"""),10894.05)</f>
        <v>10894.05</v>
      </c>
      <c r="D4923" s="3">
        <f>IFERROR(__xludf.DUMMYFUNCTION("""COMPUTED_VALUE"""),10756.05)</f>
        <v>10756.05</v>
      </c>
      <c r="E4923" s="3">
        <f>IFERROR(__xludf.DUMMYFUNCTION("""COMPUTED_VALUE"""),10802.7)</f>
        <v>10802.7</v>
      </c>
      <c r="F4923" s="3">
        <f>IFERROR(__xludf.DUMMYFUNCTION("""COMPUTED_VALUE"""),0.0)</f>
        <v>0</v>
      </c>
    </row>
    <row r="4924">
      <c r="A4924" s="7">
        <f>IFERROR(__xludf.DUMMYFUNCTION("""COMPUTED_VALUE"""),44026.64583333333)</f>
        <v>44026.64583</v>
      </c>
      <c r="B4924" s="3">
        <f>IFERROR(__xludf.DUMMYFUNCTION("""COMPUTED_VALUE"""),10750.85)</f>
        <v>10750.85</v>
      </c>
      <c r="C4924" s="3">
        <f>IFERROR(__xludf.DUMMYFUNCTION("""COMPUTED_VALUE"""),10755.65)</f>
        <v>10755.65</v>
      </c>
      <c r="D4924" s="3">
        <f>IFERROR(__xludf.DUMMYFUNCTION("""COMPUTED_VALUE"""),10562.9)</f>
        <v>10562.9</v>
      </c>
      <c r="E4924" s="3">
        <f>IFERROR(__xludf.DUMMYFUNCTION("""COMPUTED_VALUE"""),10607.35)</f>
        <v>10607.35</v>
      </c>
      <c r="F4924" s="3">
        <f>IFERROR(__xludf.DUMMYFUNCTION("""COMPUTED_VALUE"""),0.0)</f>
        <v>0</v>
      </c>
    </row>
    <row r="4925">
      <c r="A4925" s="7">
        <f>IFERROR(__xludf.DUMMYFUNCTION("""COMPUTED_VALUE"""),44027.64583333333)</f>
        <v>44027.64583</v>
      </c>
      <c r="B4925" s="3">
        <f>IFERROR(__xludf.DUMMYFUNCTION("""COMPUTED_VALUE"""),10701.0)</f>
        <v>10701</v>
      </c>
      <c r="C4925" s="3">
        <f>IFERROR(__xludf.DUMMYFUNCTION("""COMPUTED_VALUE"""),10827.45)</f>
        <v>10827.45</v>
      </c>
      <c r="D4925" s="3">
        <f>IFERROR(__xludf.DUMMYFUNCTION("""COMPUTED_VALUE"""),10577.75)</f>
        <v>10577.75</v>
      </c>
      <c r="E4925" s="3">
        <f>IFERROR(__xludf.DUMMYFUNCTION("""COMPUTED_VALUE"""),10618.2)</f>
        <v>10618.2</v>
      </c>
      <c r="F4925" s="3">
        <f>IFERROR(__xludf.DUMMYFUNCTION("""COMPUTED_VALUE"""),0.0)</f>
        <v>0</v>
      </c>
    </row>
    <row r="4926">
      <c r="A4926" s="7">
        <f>IFERROR(__xludf.DUMMYFUNCTION("""COMPUTED_VALUE"""),44028.64583333333)</f>
        <v>44028.64583</v>
      </c>
      <c r="B4926" s="3">
        <f>IFERROR(__xludf.DUMMYFUNCTION("""COMPUTED_VALUE"""),10706.2)</f>
        <v>10706.2</v>
      </c>
      <c r="C4926" s="3">
        <f>IFERROR(__xludf.DUMMYFUNCTION("""COMPUTED_VALUE"""),10755.3)</f>
        <v>10755.3</v>
      </c>
      <c r="D4926" s="3">
        <f>IFERROR(__xludf.DUMMYFUNCTION("""COMPUTED_VALUE"""),10595.2)</f>
        <v>10595.2</v>
      </c>
      <c r="E4926" s="3">
        <f>IFERROR(__xludf.DUMMYFUNCTION("""COMPUTED_VALUE"""),10739.95)</f>
        <v>10739.95</v>
      </c>
      <c r="F4926" s="3">
        <f>IFERROR(__xludf.DUMMYFUNCTION("""COMPUTED_VALUE"""),0.0)</f>
        <v>0</v>
      </c>
    </row>
    <row r="4927">
      <c r="A4927" s="7">
        <f>IFERROR(__xludf.DUMMYFUNCTION("""COMPUTED_VALUE"""),44029.64583333333)</f>
        <v>44029.64583</v>
      </c>
      <c r="B4927" s="3">
        <f>IFERROR(__xludf.DUMMYFUNCTION("""COMPUTED_VALUE"""),10752.0)</f>
        <v>10752</v>
      </c>
      <c r="C4927" s="3">
        <f>IFERROR(__xludf.DUMMYFUNCTION("""COMPUTED_VALUE"""),10933.45)</f>
        <v>10933.45</v>
      </c>
      <c r="D4927" s="3">
        <f>IFERROR(__xludf.DUMMYFUNCTION("""COMPUTED_VALUE"""),10749.65)</f>
        <v>10749.65</v>
      </c>
      <c r="E4927" s="3">
        <f>IFERROR(__xludf.DUMMYFUNCTION("""COMPUTED_VALUE"""),10901.7)</f>
        <v>10901.7</v>
      </c>
      <c r="F4927" s="3">
        <f>IFERROR(__xludf.DUMMYFUNCTION("""COMPUTED_VALUE"""),0.0)</f>
        <v>0</v>
      </c>
    </row>
    <row r="4928">
      <c r="A4928" s="7">
        <f>IFERROR(__xludf.DUMMYFUNCTION("""COMPUTED_VALUE"""),44032.64583333333)</f>
        <v>44032.64583</v>
      </c>
      <c r="B4928" s="3">
        <f>IFERROR(__xludf.DUMMYFUNCTION("""COMPUTED_VALUE"""),10999.45)</f>
        <v>10999.45</v>
      </c>
      <c r="C4928" s="3">
        <f>IFERROR(__xludf.DUMMYFUNCTION("""COMPUTED_VALUE"""),11037.9)</f>
        <v>11037.9</v>
      </c>
      <c r="D4928" s="3">
        <f>IFERROR(__xludf.DUMMYFUNCTION("""COMPUTED_VALUE"""),10953.0)</f>
        <v>10953</v>
      </c>
      <c r="E4928" s="3">
        <f>IFERROR(__xludf.DUMMYFUNCTION("""COMPUTED_VALUE"""),11022.2)</f>
        <v>11022.2</v>
      </c>
      <c r="F4928" s="3">
        <f>IFERROR(__xludf.DUMMYFUNCTION("""COMPUTED_VALUE"""),0.0)</f>
        <v>0</v>
      </c>
    </row>
    <row r="4929">
      <c r="A4929" s="7">
        <f>IFERROR(__xludf.DUMMYFUNCTION("""COMPUTED_VALUE"""),44033.64583333333)</f>
        <v>44033.64583</v>
      </c>
      <c r="B4929" s="3">
        <f>IFERROR(__xludf.DUMMYFUNCTION("""COMPUTED_VALUE"""),11126.1)</f>
        <v>11126.1</v>
      </c>
      <c r="C4929" s="3">
        <f>IFERROR(__xludf.DUMMYFUNCTION("""COMPUTED_VALUE"""),11179.55)</f>
        <v>11179.55</v>
      </c>
      <c r="D4929" s="3">
        <f>IFERROR(__xludf.DUMMYFUNCTION("""COMPUTED_VALUE"""),11113.25)</f>
        <v>11113.25</v>
      </c>
      <c r="E4929" s="3">
        <f>IFERROR(__xludf.DUMMYFUNCTION("""COMPUTED_VALUE"""),11162.25)</f>
        <v>11162.25</v>
      </c>
      <c r="F4929" s="3">
        <f>IFERROR(__xludf.DUMMYFUNCTION("""COMPUTED_VALUE"""),0.0)</f>
        <v>0</v>
      </c>
    </row>
    <row r="4930">
      <c r="A4930" s="7">
        <f>IFERROR(__xludf.DUMMYFUNCTION("""COMPUTED_VALUE"""),44034.64583333333)</f>
        <v>44034.64583</v>
      </c>
      <c r="B4930" s="3">
        <f>IFERROR(__xludf.DUMMYFUNCTION("""COMPUTED_VALUE"""),11231.2)</f>
        <v>11231.2</v>
      </c>
      <c r="C4930" s="3">
        <f>IFERROR(__xludf.DUMMYFUNCTION("""COMPUTED_VALUE"""),11238.1)</f>
        <v>11238.1</v>
      </c>
      <c r="D4930" s="3">
        <f>IFERROR(__xludf.DUMMYFUNCTION("""COMPUTED_VALUE"""),11056.55)</f>
        <v>11056.55</v>
      </c>
      <c r="E4930" s="3">
        <f>IFERROR(__xludf.DUMMYFUNCTION("""COMPUTED_VALUE"""),11132.6)</f>
        <v>11132.6</v>
      </c>
      <c r="F4930" s="3">
        <f>IFERROR(__xludf.DUMMYFUNCTION("""COMPUTED_VALUE"""),0.0)</f>
        <v>0</v>
      </c>
    </row>
    <row r="4931">
      <c r="A4931" s="7">
        <f>IFERROR(__xludf.DUMMYFUNCTION("""COMPUTED_VALUE"""),44035.64583333333)</f>
        <v>44035.64583</v>
      </c>
      <c r="B4931" s="3">
        <f>IFERROR(__xludf.DUMMYFUNCTION("""COMPUTED_VALUE"""),11135.0)</f>
        <v>11135</v>
      </c>
      <c r="C4931" s="3">
        <f>IFERROR(__xludf.DUMMYFUNCTION("""COMPUTED_VALUE"""),11239.8)</f>
        <v>11239.8</v>
      </c>
      <c r="D4931" s="3">
        <f>IFERROR(__xludf.DUMMYFUNCTION("""COMPUTED_VALUE"""),11103.15)</f>
        <v>11103.15</v>
      </c>
      <c r="E4931" s="3">
        <f>IFERROR(__xludf.DUMMYFUNCTION("""COMPUTED_VALUE"""),11215.45)</f>
        <v>11215.45</v>
      </c>
      <c r="F4931" s="3">
        <f>IFERROR(__xludf.DUMMYFUNCTION("""COMPUTED_VALUE"""),0.0)</f>
        <v>0</v>
      </c>
    </row>
    <row r="4932">
      <c r="A4932" s="7">
        <f>IFERROR(__xludf.DUMMYFUNCTION("""COMPUTED_VALUE"""),44036.64583333333)</f>
        <v>44036.64583</v>
      </c>
      <c r="B4932" s="3">
        <f>IFERROR(__xludf.DUMMYFUNCTION("""COMPUTED_VALUE"""),11149.95)</f>
        <v>11149.95</v>
      </c>
      <c r="C4932" s="3">
        <f>IFERROR(__xludf.DUMMYFUNCTION("""COMPUTED_VALUE"""),11225.4)</f>
        <v>11225.4</v>
      </c>
      <c r="D4932" s="3">
        <f>IFERROR(__xludf.DUMMYFUNCTION("""COMPUTED_VALUE"""),11090.3)</f>
        <v>11090.3</v>
      </c>
      <c r="E4932" s="3">
        <f>IFERROR(__xludf.DUMMYFUNCTION("""COMPUTED_VALUE"""),11194.15)</f>
        <v>11194.15</v>
      </c>
      <c r="F4932" s="3">
        <f>IFERROR(__xludf.DUMMYFUNCTION("""COMPUTED_VALUE"""),0.0)</f>
        <v>0</v>
      </c>
    </row>
    <row r="4933">
      <c r="A4933" s="7">
        <f>IFERROR(__xludf.DUMMYFUNCTION("""COMPUTED_VALUE"""),44039.64583333333)</f>
        <v>44039.64583</v>
      </c>
      <c r="B4933" s="3">
        <f>IFERROR(__xludf.DUMMYFUNCTION("""COMPUTED_VALUE"""),11225.0)</f>
        <v>11225</v>
      </c>
      <c r="C4933" s="3">
        <f>IFERROR(__xludf.DUMMYFUNCTION("""COMPUTED_VALUE"""),11225.0)</f>
        <v>11225</v>
      </c>
      <c r="D4933" s="3">
        <f>IFERROR(__xludf.DUMMYFUNCTION("""COMPUTED_VALUE"""),11087.85)</f>
        <v>11087.85</v>
      </c>
      <c r="E4933" s="3">
        <f>IFERROR(__xludf.DUMMYFUNCTION("""COMPUTED_VALUE"""),11131.8)</f>
        <v>11131.8</v>
      </c>
      <c r="F4933" s="3">
        <f>IFERROR(__xludf.DUMMYFUNCTION("""COMPUTED_VALUE"""),0.0)</f>
        <v>0</v>
      </c>
    </row>
    <row r="4934">
      <c r="A4934" s="7">
        <f>IFERROR(__xludf.DUMMYFUNCTION("""COMPUTED_VALUE"""),44040.64583333333)</f>
        <v>44040.64583</v>
      </c>
      <c r="B4934" s="3">
        <f>IFERROR(__xludf.DUMMYFUNCTION("""COMPUTED_VALUE"""),11154.1)</f>
        <v>11154.1</v>
      </c>
      <c r="C4934" s="3">
        <f>IFERROR(__xludf.DUMMYFUNCTION("""COMPUTED_VALUE"""),11317.75)</f>
        <v>11317.75</v>
      </c>
      <c r="D4934" s="3">
        <f>IFERROR(__xludf.DUMMYFUNCTION("""COMPUTED_VALUE"""),11151.4)</f>
        <v>11151.4</v>
      </c>
      <c r="E4934" s="3">
        <f>IFERROR(__xludf.DUMMYFUNCTION("""COMPUTED_VALUE"""),11300.55)</f>
        <v>11300.55</v>
      </c>
      <c r="F4934" s="3">
        <f>IFERROR(__xludf.DUMMYFUNCTION("""COMPUTED_VALUE"""),0.0)</f>
        <v>0</v>
      </c>
    </row>
    <row r="4935">
      <c r="A4935" s="7">
        <f>IFERROR(__xludf.DUMMYFUNCTION("""COMPUTED_VALUE"""),44041.64583333333)</f>
        <v>44041.64583</v>
      </c>
      <c r="B4935" s="3">
        <f>IFERROR(__xludf.DUMMYFUNCTION("""COMPUTED_VALUE"""),11276.9)</f>
        <v>11276.9</v>
      </c>
      <c r="C4935" s="3">
        <f>IFERROR(__xludf.DUMMYFUNCTION("""COMPUTED_VALUE"""),11341.4)</f>
        <v>11341.4</v>
      </c>
      <c r="D4935" s="3">
        <f>IFERROR(__xludf.DUMMYFUNCTION("""COMPUTED_VALUE"""),11149.75)</f>
        <v>11149.75</v>
      </c>
      <c r="E4935" s="3">
        <f>IFERROR(__xludf.DUMMYFUNCTION("""COMPUTED_VALUE"""),11202.85)</f>
        <v>11202.85</v>
      </c>
      <c r="F4935" s="3">
        <f>IFERROR(__xludf.DUMMYFUNCTION("""COMPUTED_VALUE"""),0.0)</f>
        <v>0</v>
      </c>
    </row>
    <row r="4936">
      <c r="A4936" s="7">
        <f>IFERROR(__xludf.DUMMYFUNCTION("""COMPUTED_VALUE"""),44042.64583333333)</f>
        <v>44042.64583</v>
      </c>
      <c r="B4936" s="3">
        <f>IFERROR(__xludf.DUMMYFUNCTION("""COMPUTED_VALUE"""),11254.3)</f>
        <v>11254.3</v>
      </c>
      <c r="C4936" s="3">
        <f>IFERROR(__xludf.DUMMYFUNCTION("""COMPUTED_VALUE"""),11299.95)</f>
        <v>11299.95</v>
      </c>
      <c r="D4936" s="3">
        <f>IFERROR(__xludf.DUMMYFUNCTION("""COMPUTED_VALUE"""),11084.95)</f>
        <v>11084.95</v>
      </c>
      <c r="E4936" s="3">
        <f>IFERROR(__xludf.DUMMYFUNCTION("""COMPUTED_VALUE"""),11102.15)</f>
        <v>11102.15</v>
      </c>
      <c r="F4936" s="3">
        <f>IFERROR(__xludf.DUMMYFUNCTION("""COMPUTED_VALUE"""),0.0)</f>
        <v>0</v>
      </c>
    </row>
    <row r="4937">
      <c r="A4937" s="7">
        <f>IFERROR(__xludf.DUMMYFUNCTION("""COMPUTED_VALUE"""),44043.64583333333)</f>
        <v>44043.64583</v>
      </c>
      <c r="B4937" s="3">
        <f>IFERROR(__xludf.DUMMYFUNCTION("""COMPUTED_VALUE"""),11139.5)</f>
        <v>11139.5</v>
      </c>
      <c r="C4937" s="3">
        <f>IFERROR(__xludf.DUMMYFUNCTION("""COMPUTED_VALUE"""),11150.4)</f>
        <v>11150.4</v>
      </c>
      <c r="D4937" s="3">
        <f>IFERROR(__xludf.DUMMYFUNCTION("""COMPUTED_VALUE"""),11026.65)</f>
        <v>11026.65</v>
      </c>
      <c r="E4937" s="3">
        <f>IFERROR(__xludf.DUMMYFUNCTION("""COMPUTED_VALUE"""),11073.45)</f>
        <v>11073.45</v>
      </c>
      <c r="F4937" s="3">
        <f>IFERROR(__xludf.DUMMYFUNCTION("""COMPUTED_VALUE"""),0.0)</f>
        <v>0</v>
      </c>
    </row>
    <row r="4938">
      <c r="A4938" s="7">
        <f>IFERROR(__xludf.DUMMYFUNCTION("""COMPUTED_VALUE"""),44046.64583333333)</f>
        <v>44046.64583</v>
      </c>
      <c r="B4938" s="3">
        <f>IFERROR(__xludf.DUMMYFUNCTION("""COMPUTED_VALUE"""),11057.55)</f>
        <v>11057.55</v>
      </c>
      <c r="C4938" s="3">
        <f>IFERROR(__xludf.DUMMYFUNCTION("""COMPUTED_VALUE"""),11058.05)</f>
        <v>11058.05</v>
      </c>
      <c r="D4938" s="3">
        <f>IFERROR(__xludf.DUMMYFUNCTION("""COMPUTED_VALUE"""),10882.25)</f>
        <v>10882.25</v>
      </c>
      <c r="E4938" s="3">
        <f>IFERROR(__xludf.DUMMYFUNCTION("""COMPUTED_VALUE"""),10891.6)</f>
        <v>10891.6</v>
      </c>
      <c r="F4938" s="3">
        <f>IFERROR(__xludf.DUMMYFUNCTION("""COMPUTED_VALUE"""),0.0)</f>
        <v>0</v>
      </c>
    </row>
    <row r="4939">
      <c r="A4939" s="7">
        <f>IFERROR(__xludf.DUMMYFUNCTION("""COMPUTED_VALUE"""),44047.64583333333)</f>
        <v>44047.64583</v>
      </c>
      <c r="B4939" s="3">
        <f>IFERROR(__xludf.DUMMYFUNCTION("""COMPUTED_VALUE"""),10946.65)</f>
        <v>10946.65</v>
      </c>
      <c r="C4939" s="3">
        <f>IFERROR(__xludf.DUMMYFUNCTION("""COMPUTED_VALUE"""),11112.25)</f>
        <v>11112.25</v>
      </c>
      <c r="D4939" s="3">
        <f>IFERROR(__xludf.DUMMYFUNCTION("""COMPUTED_VALUE"""),10908.1)</f>
        <v>10908.1</v>
      </c>
      <c r="E4939" s="3">
        <f>IFERROR(__xludf.DUMMYFUNCTION("""COMPUTED_VALUE"""),11095.25)</f>
        <v>11095.25</v>
      </c>
      <c r="F4939" s="3">
        <f>IFERROR(__xludf.DUMMYFUNCTION("""COMPUTED_VALUE"""),0.0)</f>
        <v>0</v>
      </c>
    </row>
    <row r="4940">
      <c r="A4940" s="7">
        <f>IFERROR(__xludf.DUMMYFUNCTION("""COMPUTED_VALUE"""),44048.64583333333)</f>
        <v>44048.64583</v>
      </c>
      <c r="B4940" s="3">
        <f>IFERROR(__xludf.DUMMYFUNCTION("""COMPUTED_VALUE"""),11155.75)</f>
        <v>11155.75</v>
      </c>
      <c r="C4940" s="3">
        <f>IFERROR(__xludf.DUMMYFUNCTION("""COMPUTED_VALUE"""),11225.65)</f>
        <v>11225.65</v>
      </c>
      <c r="D4940" s="3">
        <f>IFERROR(__xludf.DUMMYFUNCTION("""COMPUTED_VALUE"""),11064.05)</f>
        <v>11064.05</v>
      </c>
      <c r="E4940" s="3">
        <f>IFERROR(__xludf.DUMMYFUNCTION("""COMPUTED_VALUE"""),11101.65)</f>
        <v>11101.65</v>
      </c>
      <c r="F4940" s="3">
        <f>IFERROR(__xludf.DUMMYFUNCTION("""COMPUTED_VALUE"""),0.0)</f>
        <v>0</v>
      </c>
    </row>
    <row r="4941">
      <c r="A4941" s="7">
        <f>IFERROR(__xludf.DUMMYFUNCTION("""COMPUTED_VALUE"""),44049.64583333333)</f>
        <v>44049.64583</v>
      </c>
      <c r="B4941" s="3">
        <f>IFERROR(__xludf.DUMMYFUNCTION("""COMPUTED_VALUE"""),11185.7)</f>
        <v>11185.7</v>
      </c>
      <c r="C4941" s="3">
        <f>IFERROR(__xludf.DUMMYFUNCTION("""COMPUTED_VALUE"""),11256.8)</f>
        <v>11256.8</v>
      </c>
      <c r="D4941" s="3">
        <f>IFERROR(__xludf.DUMMYFUNCTION("""COMPUTED_VALUE"""),11127.3)</f>
        <v>11127.3</v>
      </c>
      <c r="E4941" s="3">
        <f>IFERROR(__xludf.DUMMYFUNCTION("""COMPUTED_VALUE"""),11200.15)</f>
        <v>11200.15</v>
      </c>
      <c r="F4941" s="3">
        <f>IFERROR(__xludf.DUMMYFUNCTION("""COMPUTED_VALUE"""),0.0)</f>
        <v>0</v>
      </c>
    </row>
    <row r="4942">
      <c r="A4942" s="7">
        <f>IFERROR(__xludf.DUMMYFUNCTION("""COMPUTED_VALUE"""),44050.64583333333)</f>
        <v>44050.64583</v>
      </c>
      <c r="B4942" s="3">
        <f>IFERROR(__xludf.DUMMYFUNCTION("""COMPUTED_VALUE"""),11186.65)</f>
        <v>11186.65</v>
      </c>
      <c r="C4942" s="3">
        <f>IFERROR(__xludf.DUMMYFUNCTION("""COMPUTED_VALUE"""),11231.9)</f>
        <v>11231.9</v>
      </c>
      <c r="D4942" s="3">
        <f>IFERROR(__xludf.DUMMYFUNCTION("""COMPUTED_VALUE"""),11142.05)</f>
        <v>11142.05</v>
      </c>
      <c r="E4942" s="3">
        <f>IFERROR(__xludf.DUMMYFUNCTION("""COMPUTED_VALUE"""),11214.05)</f>
        <v>11214.05</v>
      </c>
      <c r="F4942" s="3">
        <f>IFERROR(__xludf.DUMMYFUNCTION("""COMPUTED_VALUE"""),0.0)</f>
        <v>0</v>
      </c>
    </row>
    <row r="4943">
      <c r="A4943" s="7">
        <f>IFERROR(__xludf.DUMMYFUNCTION("""COMPUTED_VALUE"""),44053.64583333333)</f>
        <v>44053.64583</v>
      </c>
      <c r="B4943" s="3">
        <f>IFERROR(__xludf.DUMMYFUNCTION("""COMPUTED_VALUE"""),11270.25)</f>
        <v>11270.25</v>
      </c>
      <c r="C4943" s="3">
        <f>IFERROR(__xludf.DUMMYFUNCTION("""COMPUTED_VALUE"""),11337.3)</f>
        <v>11337.3</v>
      </c>
      <c r="D4943" s="3">
        <f>IFERROR(__xludf.DUMMYFUNCTION("""COMPUTED_VALUE"""),11238.0)</f>
        <v>11238</v>
      </c>
      <c r="E4943" s="3">
        <f>IFERROR(__xludf.DUMMYFUNCTION("""COMPUTED_VALUE"""),11270.15)</f>
        <v>11270.15</v>
      </c>
      <c r="F4943" s="3">
        <f>IFERROR(__xludf.DUMMYFUNCTION("""COMPUTED_VALUE"""),0.0)</f>
        <v>0</v>
      </c>
    </row>
    <row r="4944">
      <c r="A4944" s="7">
        <f>IFERROR(__xludf.DUMMYFUNCTION("""COMPUTED_VALUE"""),44054.64583333333)</f>
        <v>44054.64583</v>
      </c>
      <c r="B4944" s="3">
        <f>IFERROR(__xludf.DUMMYFUNCTION("""COMPUTED_VALUE"""),11322.25)</f>
        <v>11322.25</v>
      </c>
      <c r="C4944" s="3">
        <f>IFERROR(__xludf.DUMMYFUNCTION("""COMPUTED_VALUE"""),11373.6)</f>
        <v>11373.6</v>
      </c>
      <c r="D4944" s="3">
        <f>IFERROR(__xludf.DUMMYFUNCTION("""COMPUTED_VALUE"""),11299.15)</f>
        <v>11299.15</v>
      </c>
      <c r="E4944" s="3">
        <f>IFERROR(__xludf.DUMMYFUNCTION("""COMPUTED_VALUE"""),11322.5)</f>
        <v>11322.5</v>
      </c>
      <c r="F4944" s="3">
        <f>IFERROR(__xludf.DUMMYFUNCTION("""COMPUTED_VALUE"""),0.0)</f>
        <v>0</v>
      </c>
    </row>
    <row r="4945">
      <c r="A4945" s="7">
        <f>IFERROR(__xludf.DUMMYFUNCTION("""COMPUTED_VALUE"""),44055.64583333333)</f>
        <v>44055.64583</v>
      </c>
      <c r="B4945" s="3">
        <f>IFERROR(__xludf.DUMMYFUNCTION("""COMPUTED_VALUE"""),11289.0)</f>
        <v>11289</v>
      </c>
      <c r="C4945" s="3">
        <f>IFERROR(__xludf.DUMMYFUNCTION("""COMPUTED_VALUE"""),11322.0)</f>
        <v>11322</v>
      </c>
      <c r="D4945" s="3">
        <f>IFERROR(__xludf.DUMMYFUNCTION("""COMPUTED_VALUE"""),11242.65)</f>
        <v>11242.65</v>
      </c>
      <c r="E4945" s="3">
        <f>IFERROR(__xludf.DUMMYFUNCTION("""COMPUTED_VALUE"""),11308.4)</f>
        <v>11308.4</v>
      </c>
      <c r="F4945" s="3">
        <f>IFERROR(__xludf.DUMMYFUNCTION("""COMPUTED_VALUE"""),0.0)</f>
        <v>0</v>
      </c>
    </row>
    <row r="4946">
      <c r="A4946" s="7">
        <f>IFERROR(__xludf.DUMMYFUNCTION("""COMPUTED_VALUE"""),44056.64583333333)</f>
        <v>44056.64583</v>
      </c>
      <c r="B4946" s="3">
        <f>IFERROR(__xludf.DUMMYFUNCTION("""COMPUTED_VALUE"""),11334.85)</f>
        <v>11334.85</v>
      </c>
      <c r="C4946" s="3">
        <f>IFERROR(__xludf.DUMMYFUNCTION("""COMPUTED_VALUE"""),11359.3)</f>
        <v>11359.3</v>
      </c>
      <c r="D4946" s="3">
        <f>IFERROR(__xludf.DUMMYFUNCTION("""COMPUTED_VALUE"""),11269.95)</f>
        <v>11269.95</v>
      </c>
      <c r="E4946" s="3">
        <f>IFERROR(__xludf.DUMMYFUNCTION("""COMPUTED_VALUE"""),11300.45)</f>
        <v>11300.45</v>
      </c>
      <c r="F4946" s="3">
        <f>IFERROR(__xludf.DUMMYFUNCTION("""COMPUTED_VALUE"""),0.0)</f>
        <v>0</v>
      </c>
    </row>
    <row r="4947">
      <c r="A4947" s="7">
        <f>IFERROR(__xludf.DUMMYFUNCTION("""COMPUTED_VALUE"""),44057.64583333333)</f>
        <v>44057.64583</v>
      </c>
      <c r="B4947" s="3">
        <f>IFERROR(__xludf.DUMMYFUNCTION("""COMPUTED_VALUE"""),11353.3)</f>
        <v>11353.3</v>
      </c>
      <c r="C4947" s="3">
        <f>IFERROR(__xludf.DUMMYFUNCTION("""COMPUTED_VALUE"""),11366.25)</f>
        <v>11366.25</v>
      </c>
      <c r="D4947" s="3">
        <f>IFERROR(__xludf.DUMMYFUNCTION("""COMPUTED_VALUE"""),11111.45)</f>
        <v>11111.45</v>
      </c>
      <c r="E4947" s="3">
        <f>IFERROR(__xludf.DUMMYFUNCTION("""COMPUTED_VALUE"""),11178.4)</f>
        <v>11178.4</v>
      </c>
      <c r="F4947" s="3">
        <f>IFERROR(__xludf.DUMMYFUNCTION("""COMPUTED_VALUE"""),0.0)</f>
        <v>0</v>
      </c>
    </row>
    <row r="4948">
      <c r="A4948" s="7">
        <f>IFERROR(__xludf.DUMMYFUNCTION("""COMPUTED_VALUE"""),44060.64583333333)</f>
        <v>44060.64583</v>
      </c>
      <c r="B4948" s="3">
        <f>IFERROR(__xludf.DUMMYFUNCTION("""COMPUTED_VALUE"""),11248.9)</f>
        <v>11248.9</v>
      </c>
      <c r="C4948" s="3">
        <f>IFERROR(__xludf.DUMMYFUNCTION("""COMPUTED_VALUE"""),11267.1)</f>
        <v>11267.1</v>
      </c>
      <c r="D4948" s="3">
        <f>IFERROR(__xludf.DUMMYFUNCTION("""COMPUTED_VALUE"""),11144.5)</f>
        <v>11144.5</v>
      </c>
      <c r="E4948" s="3">
        <f>IFERROR(__xludf.DUMMYFUNCTION("""COMPUTED_VALUE"""),11247.1)</f>
        <v>11247.1</v>
      </c>
      <c r="F4948" s="3">
        <f>IFERROR(__xludf.DUMMYFUNCTION("""COMPUTED_VALUE"""),0.0)</f>
        <v>0</v>
      </c>
    </row>
    <row r="4949">
      <c r="A4949" s="7">
        <f>IFERROR(__xludf.DUMMYFUNCTION("""COMPUTED_VALUE"""),44061.64583333333)</f>
        <v>44061.64583</v>
      </c>
      <c r="B4949" s="3">
        <f>IFERROR(__xludf.DUMMYFUNCTION("""COMPUTED_VALUE"""),11259.8)</f>
        <v>11259.8</v>
      </c>
      <c r="C4949" s="3">
        <f>IFERROR(__xludf.DUMMYFUNCTION("""COMPUTED_VALUE"""),11401.7)</f>
        <v>11401.7</v>
      </c>
      <c r="D4949" s="3">
        <f>IFERROR(__xludf.DUMMYFUNCTION("""COMPUTED_VALUE"""),11253.15)</f>
        <v>11253.15</v>
      </c>
      <c r="E4949" s="3">
        <f>IFERROR(__xludf.DUMMYFUNCTION("""COMPUTED_VALUE"""),11385.35)</f>
        <v>11385.35</v>
      </c>
      <c r="F4949" s="3">
        <f>IFERROR(__xludf.DUMMYFUNCTION("""COMPUTED_VALUE"""),0.0)</f>
        <v>0</v>
      </c>
    </row>
    <row r="4950">
      <c r="A4950" s="7">
        <f>IFERROR(__xludf.DUMMYFUNCTION("""COMPUTED_VALUE"""),44062.64583333333)</f>
        <v>44062.64583</v>
      </c>
      <c r="B4950" s="3">
        <f>IFERROR(__xludf.DUMMYFUNCTION("""COMPUTED_VALUE"""),11452.15)</f>
        <v>11452.15</v>
      </c>
      <c r="C4950" s="3">
        <f>IFERROR(__xludf.DUMMYFUNCTION("""COMPUTED_VALUE"""),11460.35)</f>
        <v>11460.35</v>
      </c>
      <c r="D4950" s="3">
        <f>IFERROR(__xludf.DUMMYFUNCTION("""COMPUTED_VALUE"""),11394.1)</f>
        <v>11394.1</v>
      </c>
      <c r="E4950" s="3">
        <f>IFERROR(__xludf.DUMMYFUNCTION("""COMPUTED_VALUE"""),11408.4)</f>
        <v>11408.4</v>
      </c>
      <c r="F4950" s="3">
        <f>IFERROR(__xludf.DUMMYFUNCTION("""COMPUTED_VALUE"""),0.0)</f>
        <v>0</v>
      </c>
    </row>
    <row r="4951">
      <c r="A4951" s="7">
        <f>IFERROR(__xludf.DUMMYFUNCTION("""COMPUTED_VALUE"""),44063.64583333333)</f>
        <v>44063.64583</v>
      </c>
      <c r="B4951" s="3">
        <f>IFERROR(__xludf.DUMMYFUNCTION("""COMPUTED_VALUE"""),11317.45)</f>
        <v>11317.45</v>
      </c>
      <c r="C4951" s="3">
        <f>IFERROR(__xludf.DUMMYFUNCTION("""COMPUTED_VALUE"""),11361.45)</f>
        <v>11361.45</v>
      </c>
      <c r="D4951" s="3">
        <f>IFERROR(__xludf.DUMMYFUNCTION("""COMPUTED_VALUE"""),11289.8)</f>
        <v>11289.8</v>
      </c>
      <c r="E4951" s="3">
        <f>IFERROR(__xludf.DUMMYFUNCTION("""COMPUTED_VALUE"""),11312.2)</f>
        <v>11312.2</v>
      </c>
      <c r="F4951" s="3">
        <f>IFERROR(__xludf.DUMMYFUNCTION("""COMPUTED_VALUE"""),0.0)</f>
        <v>0</v>
      </c>
    </row>
    <row r="4952">
      <c r="A4952" s="7">
        <f>IFERROR(__xludf.DUMMYFUNCTION("""COMPUTED_VALUE"""),44064.64583333333)</f>
        <v>44064.64583</v>
      </c>
      <c r="B4952" s="3">
        <f>IFERROR(__xludf.DUMMYFUNCTION("""COMPUTED_VALUE"""),11409.65)</f>
        <v>11409.65</v>
      </c>
      <c r="C4952" s="3">
        <f>IFERROR(__xludf.DUMMYFUNCTION("""COMPUTED_VALUE"""),11418.5)</f>
        <v>11418.5</v>
      </c>
      <c r="D4952" s="3">
        <f>IFERROR(__xludf.DUMMYFUNCTION("""COMPUTED_VALUE"""),11362.2)</f>
        <v>11362.2</v>
      </c>
      <c r="E4952" s="3">
        <f>IFERROR(__xludf.DUMMYFUNCTION("""COMPUTED_VALUE"""),11371.6)</f>
        <v>11371.6</v>
      </c>
      <c r="F4952" s="3">
        <f>IFERROR(__xludf.DUMMYFUNCTION("""COMPUTED_VALUE"""),0.0)</f>
        <v>0</v>
      </c>
    </row>
    <row r="4953">
      <c r="A4953" s="7">
        <f>IFERROR(__xludf.DUMMYFUNCTION("""COMPUTED_VALUE"""),44067.64583333333)</f>
        <v>44067.64583</v>
      </c>
      <c r="B4953" s="3">
        <f>IFERROR(__xludf.DUMMYFUNCTION("""COMPUTED_VALUE"""),11412.0)</f>
        <v>11412</v>
      </c>
      <c r="C4953" s="3">
        <f>IFERROR(__xludf.DUMMYFUNCTION("""COMPUTED_VALUE"""),11497.25)</f>
        <v>11497.25</v>
      </c>
      <c r="D4953" s="3">
        <f>IFERROR(__xludf.DUMMYFUNCTION("""COMPUTED_VALUE"""),11410.65)</f>
        <v>11410.65</v>
      </c>
      <c r="E4953" s="3">
        <f>IFERROR(__xludf.DUMMYFUNCTION("""COMPUTED_VALUE"""),11466.45)</f>
        <v>11466.45</v>
      </c>
      <c r="F4953" s="3">
        <f>IFERROR(__xludf.DUMMYFUNCTION("""COMPUTED_VALUE"""),0.0)</f>
        <v>0</v>
      </c>
    </row>
    <row r="4954">
      <c r="A4954" s="7">
        <f>IFERROR(__xludf.DUMMYFUNCTION("""COMPUTED_VALUE"""),44068.64583333333)</f>
        <v>44068.64583</v>
      </c>
      <c r="B4954" s="3">
        <f>IFERROR(__xludf.DUMMYFUNCTION("""COMPUTED_VALUE"""),11513.1)</f>
        <v>11513.1</v>
      </c>
      <c r="C4954" s="3">
        <f>IFERROR(__xludf.DUMMYFUNCTION("""COMPUTED_VALUE"""),11525.9)</f>
        <v>11525.9</v>
      </c>
      <c r="D4954" s="3">
        <f>IFERROR(__xludf.DUMMYFUNCTION("""COMPUTED_VALUE"""),11423.35)</f>
        <v>11423.35</v>
      </c>
      <c r="E4954" s="3">
        <f>IFERROR(__xludf.DUMMYFUNCTION("""COMPUTED_VALUE"""),11472.25)</f>
        <v>11472.25</v>
      </c>
      <c r="F4954" s="3">
        <f>IFERROR(__xludf.DUMMYFUNCTION("""COMPUTED_VALUE"""),0.0)</f>
        <v>0</v>
      </c>
    </row>
    <row r="4955">
      <c r="A4955" s="7">
        <f>IFERROR(__xludf.DUMMYFUNCTION("""COMPUTED_VALUE"""),44069.64583333333)</f>
        <v>44069.64583</v>
      </c>
      <c r="B4955" s="3">
        <f>IFERROR(__xludf.DUMMYFUNCTION("""COMPUTED_VALUE"""),11512.85)</f>
        <v>11512.85</v>
      </c>
      <c r="C4955" s="3">
        <f>IFERROR(__xludf.DUMMYFUNCTION("""COMPUTED_VALUE"""),11561.75)</f>
        <v>11561.75</v>
      </c>
      <c r="D4955" s="3">
        <f>IFERROR(__xludf.DUMMYFUNCTION("""COMPUTED_VALUE"""),11461.85)</f>
        <v>11461.85</v>
      </c>
      <c r="E4955" s="3">
        <f>IFERROR(__xludf.DUMMYFUNCTION("""COMPUTED_VALUE"""),11549.6)</f>
        <v>11549.6</v>
      </c>
      <c r="F4955" s="3">
        <f>IFERROR(__xludf.DUMMYFUNCTION("""COMPUTED_VALUE"""),0.0)</f>
        <v>0</v>
      </c>
    </row>
    <row r="4956">
      <c r="A4956" s="7">
        <f>IFERROR(__xludf.DUMMYFUNCTION("""COMPUTED_VALUE"""),44070.64583333333)</f>
        <v>44070.64583</v>
      </c>
      <c r="B4956" s="3">
        <f>IFERROR(__xludf.DUMMYFUNCTION("""COMPUTED_VALUE"""),11609.3)</f>
        <v>11609.3</v>
      </c>
      <c r="C4956" s="3">
        <f>IFERROR(__xludf.DUMMYFUNCTION("""COMPUTED_VALUE"""),11617.35)</f>
        <v>11617.35</v>
      </c>
      <c r="D4956" s="3">
        <f>IFERROR(__xludf.DUMMYFUNCTION("""COMPUTED_VALUE"""),11540.6)</f>
        <v>11540.6</v>
      </c>
      <c r="E4956" s="3">
        <f>IFERROR(__xludf.DUMMYFUNCTION("""COMPUTED_VALUE"""),11559.25)</f>
        <v>11559.25</v>
      </c>
      <c r="F4956" s="3">
        <f>IFERROR(__xludf.DUMMYFUNCTION("""COMPUTED_VALUE"""),0.0)</f>
        <v>0</v>
      </c>
    </row>
    <row r="4957">
      <c r="A4957" s="7">
        <f>IFERROR(__xludf.DUMMYFUNCTION("""COMPUTED_VALUE"""),44071.64583333333)</f>
        <v>44071.64583</v>
      </c>
      <c r="B4957" s="3">
        <f>IFERROR(__xludf.DUMMYFUNCTION("""COMPUTED_VALUE"""),11602.95)</f>
        <v>11602.95</v>
      </c>
      <c r="C4957" s="3">
        <f>IFERROR(__xludf.DUMMYFUNCTION("""COMPUTED_VALUE"""),11686.05)</f>
        <v>11686.05</v>
      </c>
      <c r="D4957" s="3">
        <f>IFERROR(__xludf.DUMMYFUNCTION("""COMPUTED_VALUE"""),11589.4)</f>
        <v>11589.4</v>
      </c>
      <c r="E4957" s="3">
        <f>IFERROR(__xludf.DUMMYFUNCTION("""COMPUTED_VALUE"""),11647.6)</f>
        <v>11647.6</v>
      </c>
      <c r="F4957" s="3">
        <f>IFERROR(__xludf.DUMMYFUNCTION("""COMPUTED_VALUE"""),0.0)</f>
        <v>0</v>
      </c>
    </row>
    <row r="4958">
      <c r="A4958" s="7">
        <f>IFERROR(__xludf.DUMMYFUNCTION("""COMPUTED_VALUE"""),44074.64583333333)</f>
        <v>44074.64583</v>
      </c>
      <c r="B4958" s="3">
        <f>IFERROR(__xludf.DUMMYFUNCTION("""COMPUTED_VALUE"""),11777.55)</f>
        <v>11777.55</v>
      </c>
      <c r="C4958" s="3">
        <f>IFERROR(__xludf.DUMMYFUNCTION("""COMPUTED_VALUE"""),11794.25)</f>
        <v>11794.25</v>
      </c>
      <c r="D4958" s="3">
        <f>IFERROR(__xludf.DUMMYFUNCTION("""COMPUTED_VALUE"""),11325.85)</f>
        <v>11325.85</v>
      </c>
      <c r="E4958" s="3">
        <f>IFERROR(__xludf.DUMMYFUNCTION("""COMPUTED_VALUE"""),11387.5)</f>
        <v>11387.5</v>
      </c>
      <c r="F4958" s="3">
        <f>IFERROR(__xludf.DUMMYFUNCTION("""COMPUTED_VALUE"""),0.0)</f>
        <v>0</v>
      </c>
    </row>
    <row r="4959">
      <c r="A4959" s="7">
        <f>IFERROR(__xludf.DUMMYFUNCTION("""COMPUTED_VALUE"""),44075.64583333333)</f>
        <v>44075.64583</v>
      </c>
      <c r="B4959" s="3">
        <f>IFERROR(__xludf.DUMMYFUNCTION("""COMPUTED_VALUE"""),11464.3)</f>
        <v>11464.3</v>
      </c>
      <c r="C4959" s="3">
        <f>IFERROR(__xludf.DUMMYFUNCTION("""COMPUTED_VALUE"""),11553.55)</f>
        <v>11553.55</v>
      </c>
      <c r="D4959" s="3">
        <f>IFERROR(__xludf.DUMMYFUNCTION("""COMPUTED_VALUE"""),11366.9)</f>
        <v>11366.9</v>
      </c>
      <c r="E4959" s="3">
        <f>IFERROR(__xludf.DUMMYFUNCTION("""COMPUTED_VALUE"""),11470.25)</f>
        <v>11470.25</v>
      </c>
      <c r="F4959" s="3">
        <f>IFERROR(__xludf.DUMMYFUNCTION("""COMPUTED_VALUE"""),0.0)</f>
        <v>0</v>
      </c>
    </row>
    <row r="4960">
      <c r="A4960" s="7">
        <f>IFERROR(__xludf.DUMMYFUNCTION("""COMPUTED_VALUE"""),44076.64583333333)</f>
        <v>44076.64583</v>
      </c>
      <c r="B4960" s="3">
        <f>IFERROR(__xludf.DUMMYFUNCTION("""COMPUTED_VALUE"""),11478.55)</f>
        <v>11478.55</v>
      </c>
      <c r="C4960" s="3">
        <f>IFERROR(__xludf.DUMMYFUNCTION("""COMPUTED_VALUE"""),11554.75)</f>
        <v>11554.75</v>
      </c>
      <c r="D4960" s="3">
        <f>IFERROR(__xludf.DUMMYFUNCTION("""COMPUTED_VALUE"""),11430.4)</f>
        <v>11430.4</v>
      </c>
      <c r="E4960" s="3">
        <f>IFERROR(__xludf.DUMMYFUNCTION("""COMPUTED_VALUE"""),11535.0)</f>
        <v>11535</v>
      </c>
      <c r="F4960" s="3">
        <f>IFERROR(__xludf.DUMMYFUNCTION("""COMPUTED_VALUE"""),0.0)</f>
        <v>0</v>
      </c>
    </row>
    <row r="4961">
      <c r="A4961" s="7">
        <f>IFERROR(__xludf.DUMMYFUNCTION("""COMPUTED_VALUE"""),44077.64583333333)</f>
        <v>44077.64583</v>
      </c>
      <c r="B4961" s="3">
        <f>IFERROR(__xludf.DUMMYFUNCTION("""COMPUTED_VALUE"""),11566.2)</f>
        <v>11566.2</v>
      </c>
      <c r="C4961" s="3">
        <f>IFERROR(__xludf.DUMMYFUNCTION("""COMPUTED_VALUE"""),11584.95)</f>
        <v>11584.95</v>
      </c>
      <c r="D4961" s="3">
        <f>IFERROR(__xludf.DUMMYFUNCTION("""COMPUTED_VALUE"""),11507.65)</f>
        <v>11507.65</v>
      </c>
      <c r="E4961" s="3">
        <f>IFERROR(__xludf.DUMMYFUNCTION("""COMPUTED_VALUE"""),11527.45)</f>
        <v>11527.45</v>
      </c>
      <c r="F4961" s="3">
        <f>IFERROR(__xludf.DUMMYFUNCTION("""COMPUTED_VALUE"""),0.0)</f>
        <v>0</v>
      </c>
    </row>
    <row r="4962">
      <c r="A4962" s="7">
        <f>IFERROR(__xludf.DUMMYFUNCTION("""COMPUTED_VALUE"""),44078.64583333333)</f>
        <v>44078.64583</v>
      </c>
      <c r="B4962" s="3">
        <f>IFERROR(__xludf.DUMMYFUNCTION("""COMPUTED_VALUE"""),11354.4)</f>
        <v>11354.4</v>
      </c>
      <c r="C4962" s="3">
        <f>IFERROR(__xludf.DUMMYFUNCTION("""COMPUTED_VALUE"""),11452.05)</f>
        <v>11452.05</v>
      </c>
      <c r="D4962" s="3">
        <f>IFERROR(__xludf.DUMMYFUNCTION("""COMPUTED_VALUE"""),11303.65)</f>
        <v>11303.65</v>
      </c>
      <c r="E4962" s="3">
        <f>IFERROR(__xludf.DUMMYFUNCTION("""COMPUTED_VALUE"""),11333.85)</f>
        <v>11333.85</v>
      </c>
      <c r="F4962" s="3">
        <f>IFERROR(__xludf.DUMMYFUNCTION("""COMPUTED_VALUE"""),0.0)</f>
        <v>0</v>
      </c>
    </row>
    <row r="4963">
      <c r="A4963" s="7">
        <f>IFERROR(__xludf.DUMMYFUNCTION("""COMPUTED_VALUE"""),44081.64583333333)</f>
        <v>44081.64583</v>
      </c>
      <c r="B4963" s="3">
        <f>IFERROR(__xludf.DUMMYFUNCTION("""COMPUTED_VALUE"""),11359.6)</f>
        <v>11359.6</v>
      </c>
      <c r="C4963" s="3">
        <f>IFERROR(__xludf.DUMMYFUNCTION("""COMPUTED_VALUE"""),11381.15)</f>
        <v>11381.15</v>
      </c>
      <c r="D4963" s="3">
        <f>IFERROR(__xludf.DUMMYFUNCTION("""COMPUTED_VALUE"""),11251.7)</f>
        <v>11251.7</v>
      </c>
      <c r="E4963" s="3">
        <f>IFERROR(__xludf.DUMMYFUNCTION("""COMPUTED_VALUE"""),11355.05)</f>
        <v>11355.05</v>
      </c>
      <c r="F4963" s="3">
        <f>IFERROR(__xludf.DUMMYFUNCTION("""COMPUTED_VALUE"""),0.0)</f>
        <v>0</v>
      </c>
    </row>
    <row r="4964">
      <c r="A4964" s="7">
        <f>IFERROR(__xludf.DUMMYFUNCTION("""COMPUTED_VALUE"""),44082.64583333333)</f>
        <v>44082.64583</v>
      </c>
      <c r="B4964" s="3">
        <f>IFERROR(__xludf.DUMMYFUNCTION("""COMPUTED_VALUE"""),11378.55)</f>
        <v>11378.55</v>
      </c>
      <c r="C4964" s="3">
        <f>IFERROR(__xludf.DUMMYFUNCTION("""COMPUTED_VALUE"""),11437.25)</f>
        <v>11437.25</v>
      </c>
      <c r="D4964" s="3">
        <f>IFERROR(__xludf.DUMMYFUNCTION("""COMPUTED_VALUE"""),11290.45)</f>
        <v>11290.45</v>
      </c>
      <c r="E4964" s="3">
        <f>IFERROR(__xludf.DUMMYFUNCTION("""COMPUTED_VALUE"""),11317.35)</f>
        <v>11317.35</v>
      </c>
      <c r="F4964" s="3">
        <f>IFERROR(__xludf.DUMMYFUNCTION("""COMPUTED_VALUE"""),0.0)</f>
        <v>0</v>
      </c>
    </row>
    <row r="4965">
      <c r="A4965" s="7">
        <f>IFERROR(__xludf.DUMMYFUNCTION("""COMPUTED_VALUE"""),44083.64583333333)</f>
        <v>44083.64583</v>
      </c>
      <c r="B4965" s="3">
        <f>IFERROR(__xludf.DUMMYFUNCTION("""COMPUTED_VALUE"""),11218.6)</f>
        <v>11218.6</v>
      </c>
      <c r="C4965" s="3">
        <f>IFERROR(__xludf.DUMMYFUNCTION("""COMPUTED_VALUE"""),11298.15)</f>
        <v>11298.15</v>
      </c>
      <c r="D4965" s="3">
        <f>IFERROR(__xludf.DUMMYFUNCTION("""COMPUTED_VALUE"""),11185.15)</f>
        <v>11185.15</v>
      </c>
      <c r="E4965" s="3">
        <f>IFERROR(__xludf.DUMMYFUNCTION("""COMPUTED_VALUE"""),11278.0)</f>
        <v>11278</v>
      </c>
      <c r="F4965" s="3">
        <f>IFERROR(__xludf.DUMMYFUNCTION("""COMPUTED_VALUE"""),0.0)</f>
        <v>0</v>
      </c>
    </row>
    <row r="4966">
      <c r="A4966" s="7">
        <f>IFERROR(__xludf.DUMMYFUNCTION("""COMPUTED_VALUE"""),44084.64583333333)</f>
        <v>44084.64583</v>
      </c>
      <c r="B4966" s="3">
        <f>IFERROR(__xludf.DUMMYFUNCTION("""COMPUTED_VALUE"""),11363.3)</f>
        <v>11363.3</v>
      </c>
      <c r="C4966" s="3">
        <f>IFERROR(__xludf.DUMMYFUNCTION("""COMPUTED_VALUE"""),11464.05)</f>
        <v>11464.05</v>
      </c>
      <c r="D4966" s="3">
        <f>IFERROR(__xludf.DUMMYFUNCTION("""COMPUTED_VALUE"""),11327.4)</f>
        <v>11327.4</v>
      </c>
      <c r="E4966" s="3">
        <f>IFERROR(__xludf.DUMMYFUNCTION("""COMPUTED_VALUE"""),11449.25)</f>
        <v>11449.25</v>
      </c>
      <c r="F4966" s="3">
        <f>IFERROR(__xludf.DUMMYFUNCTION("""COMPUTED_VALUE"""),0.0)</f>
        <v>0</v>
      </c>
    </row>
    <row r="4967">
      <c r="A4967" s="7">
        <f>IFERROR(__xludf.DUMMYFUNCTION("""COMPUTED_VALUE"""),44085.64583333333)</f>
        <v>44085.64583</v>
      </c>
      <c r="B4967" s="3">
        <f>IFERROR(__xludf.DUMMYFUNCTION("""COMPUTED_VALUE"""),11447.8)</f>
        <v>11447.8</v>
      </c>
      <c r="C4967" s="3">
        <f>IFERROR(__xludf.DUMMYFUNCTION("""COMPUTED_VALUE"""),11493.5)</f>
        <v>11493.5</v>
      </c>
      <c r="D4967" s="3">
        <f>IFERROR(__xludf.DUMMYFUNCTION("""COMPUTED_VALUE"""),11419.9)</f>
        <v>11419.9</v>
      </c>
      <c r="E4967" s="3">
        <f>IFERROR(__xludf.DUMMYFUNCTION("""COMPUTED_VALUE"""),11464.45)</f>
        <v>11464.45</v>
      </c>
      <c r="F4967" s="3">
        <f>IFERROR(__xludf.DUMMYFUNCTION("""COMPUTED_VALUE"""),0.0)</f>
        <v>0</v>
      </c>
    </row>
    <row r="4968">
      <c r="A4968" s="7">
        <f>IFERROR(__xludf.DUMMYFUNCTION("""COMPUTED_VALUE"""),44088.64583333333)</f>
        <v>44088.64583</v>
      </c>
      <c r="B4968" s="3">
        <f>IFERROR(__xludf.DUMMYFUNCTION("""COMPUTED_VALUE"""),11540.15)</f>
        <v>11540.15</v>
      </c>
      <c r="C4968" s="3">
        <f>IFERROR(__xludf.DUMMYFUNCTION("""COMPUTED_VALUE"""),11568.9)</f>
        <v>11568.9</v>
      </c>
      <c r="D4968" s="3">
        <f>IFERROR(__xludf.DUMMYFUNCTION("""COMPUTED_VALUE"""),11383.55)</f>
        <v>11383.55</v>
      </c>
      <c r="E4968" s="3">
        <f>IFERROR(__xludf.DUMMYFUNCTION("""COMPUTED_VALUE"""),11440.05)</f>
        <v>11440.05</v>
      </c>
      <c r="F4968" s="3">
        <f>IFERROR(__xludf.DUMMYFUNCTION("""COMPUTED_VALUE"""),0.0)</f>
        <v>0</v>
      </c>
    </row>
    <row r="4969">
      <c r="A4969" s="7">
        <f>IFERROR(__xludf.DUMMYFUNCTION("""COMPUTED_VALUE"""),44089.64583333333)</f>
        <v>44089.64583</v>
      </c>
      <c r="B4969" s="3">
        <f>IFERROR(__xludf.DUMMYFUNCTION("""COMPUTED_VALUE"""),11487.2)</f>
        <v>11487.2</v>
      </c>
      <c r="C4969" s="3">
        <f>IFERROR(__xludf.DUMMYFUNCTION("""COMPUTED_VALUE"""),11535.95)</f>
        <v>11535.95</v>
      </c>
      <c r="D4969" s="3">
        <f>IFERROR(__xludf.DUMMYFUNCTION("""COMPUTED_VALUE"""),11442.25)</f>
        <v>11442.25</v>
      </c>
      <c r="E4969" s="3">
        <f>IFERROR(__xludf.DUMMYFUNCTION("""COMPUTED_VALUE"""),11521.8)</f>
        <v>11521.8</v>
      </c>
      <c r="F4969" s="3">
        <f>IFERROR(__xludf.DUMMYFUNCTION("""COMPUTED_VALUE"""),0.0)</f>
        <v>0</v>
      </c>
    </row>
    <row r="4970">
      <c r="A4970" s="7">
        <f>IFERROR(__xludf.DUMMYFUNCTION("""COMPUTED_VALUE"""),44090.64583333333)</f>
        <v>44090.64583</v>
      </c>
      <c r="B4970" s="3">
        <f>IFERROR(__xludf.DUMMYFUNCTION("""COMPUTED_VALUE"""),11538.45)</f>
        <v>11538.45</v>
      </c>
      <c r="C4970" s="3">
        <f>IFERROR(__xludf.DUMMYFUNCTION("""COMPUTED_VALUE"""),11618.1)</f>
        <v>11618.1</v>
      </c>
      <c r="D4970" s="3">
        <f>IFERROR(__xludf.DUMMYFUNCTION("""COMPUTED_VALUE"""),11516.75)</f>
        <v>11516.75</v>
      </c>
      <c r="E4970" s="3">
        <f>IFERROR(__xludf.DUMMYFUNCTION("""COMPUTED_VALUE"""),11604.55)</f>
        <v>11604.55</v>
      </c>
      <c r="F4970" s="3">
        <f>IFERROR(__xludf.DUMMYFUNCTION("""COMPUTED_VALUE"""),0.0)</f>
        <v>0</v>
      </c>
    </row>
    <row r="4971">
      <c r="A4971" s="7">
        <f>IFERROR(__xludf.DUMMYFUNCTION("""COMPUTED_VALUE"""),44091.64583333333)</f>
        <v>44091.64583</v>
      </c>
      <c r="B4971" s="3">
        <f>IFERROR(__xludf.DUMMYFUNCTION("""COMPUTED_VALUE"""),11539.4)</f>
        <v>11539.4</v>
      </c>
      <c r="C4971" s="3">
        <f>IFERROR(__xludf.DUMMYFUNCTION("""COMPUTED_VALUE"""),11587.2)</f>
        <v>11587.2</v>
      </c>
      <c r="D4971" s="3">
        <f>IFERROR(__xludf.DUMMYFUNCTION("""COMPUTED_VALUE"""),11498.5)</f>
        <v>11498.5</v>
      </c>
      <c r="E4971" s="3">
        <f>IFERROR(__xludf.DUMMYFUNCTION("""COMPUTED_VALUE"""),11516.1)</f>
        <v>11516.1</v>
      </c>
      <c r="F4971" s="3">
        <f>IFERROR(__xludf.DUMMYFUNCTION("""COMPUTED_VALUE"""),0.0)</f>
        <v>0</v>
      </c>
    </row>
    <row r="4972">
      <c r="A4972" s="7">
        <f>IFERROR(__xludf.DUMMYFUNCTION("""COMPUTED_VALUE"""),44092.64583333333)</f>
        <v>44092.64583</v>
      </c>
      <c r="B4972" s="3">
        <f>IFERROR(__xludf.DUMMYFUNCTION("""COMPUTED_VALUE"""),11584.1)</f>
        <v>11584.1</v>
      </c>
      <c r="C4972" s="3">
        <f>IFERROR(__xludf.DUMMYFUNCTION("""COMPUTED_VALUE"""),11584.1)</f>
        <v>11584.1</v>
      </c>
      <c r="D4972" s="3">
        <f>IFERROR(__xludf.DUMMYFUNCTION("""COMPUTED_VALUE"""),11446.1)</f>
        <v>11446.1</v>
      </c>
      <c r="E4972" s="3">
        <f>IFERROR(__xludf.DUMMYFUNCTION("""COMPUTED_VALUE"""),11504.95)</f>
        <v>11504.95</v>
      </c>
      <c r="F4972" s="3">
        <f>IFERROR(__xludf.DUMMYFUNCTION("""COMPUTED_VALUE"""),0.0)</f>
        <v>0</v>
      </c>
    </row>
    <row r="4973">
      <c r="A4973" s="7">
        <f>IFERROR(__xludf.DUMMYFUNCTION("""COMPUTED_VALUE"""),44095.64583333333)</f>
        <v>44095.64583</v>
      </c>
      <c r="B4973" s="3">
        <f>IFERROR(__xludf.DUMMYFUNCTION("""COMPUTED_VALUE"""),11503.8)</f>
        <v>11503.8</v>
      </c>
      <c r="C4973" s="3">
        <f>IFERROR(__xludf.DUMMYFUNCTION("""COMPUTED_VALUE"""),11535.25)</f>
        <v>11535.25</v>
      </c>
      <c r="D4973" s="3">
        <f>IFERROR(__xludf.DUMMYFUNCTION("""COMPUTED_VALUE"""),11218.5)</f>
        <v>11218.5</v>
      </c>
      <c r="E4973" s="3">
        <f>IFERROR(__xludf.DUMMYFUNCTION("""COMPUTED_VALUE"""),11250.55)</f>
        <v>11250.55</v>
      </c>
      <c r="F4973" s="3">
        <f>IFERROR(__xludf.DUMMYFUNCTION("""COMPUTED_VALUE"""),0.0)</f>
        <v>0</v>
      </c>
    </row>
    <row r="4974">
      <c r="A4974" s="7">
        <f>IFERROR(__xludf.DUMMYFUNCTION("""COMPUTED_VALUE"""),44096.64583333333)</f>
        <v>44096.64583</v>
      </c>
      <c r="B4974" s="3">
        <f>IFERROR(__xludf.DUMMYFUNCTION("""COMPUTED_VALUE"""),11301.75)</f>
        <v>11301.75</v>
      </c>
      <c r="C4974" s="3">
        <f>IFERROR(__xludf.DUMMYFUNCTION("""COMPUTED_VALUE"""),11302.2)</f>
        <v>11302.2</v>
      </c>
      <c r="D4974" s="3">
        <f>IFERROR(__xludf.DUMMYFUNCTION("""COMPUTED_VALUE"""),11084.65)</f>
        <v>11084.65</v>
      </c>
      <c r="E4974" s="3">
        <f>IFERROR(__xludf.DUMMYFUNCTION("""COMPUTED_VALUE"""),11153.65)</f>
        <v>11153.65</v>
      </c>
      <c r="F4974" s="3">
        <f>IFERROR(__xludf.DUMMYFUNCTION("""COMPUTED_VALUE"""),0.0)</f>
        <v>0</v>
      </c>
    </row>
    <row r="4975">
      <c r="A4975" s="7">
        <f>IFERROR(__xludf.DUMMYFUNCTION("""COMPUTED_VALUE"""),44097.64583333333)</f>
        <v>44097.64583</v>
      </c>
      <c r="B4975" s="3">
        <f>IFERROR(__xludf.DUMMYFUNCTION("""COMPUTED_VALUE"""),11258.75)</f>
        <v>11258.75</v>
      </c>
      <c r="C4975" s="3">
        <f>IFERROR(__xludf.DUMMYFUNCTION("""COMPUTED_VALUE"""),11259.55)</f>
        <v>11259.55</v>
      </c>
      <c r="D4975" s="3">
        <f>IFERROR(__xludf.DUMMYFUNCTION("""COMPUTED_VALUE"""),11024.4)</f>
        <v>11024.4</v>
      </c>
      <c r="E4975" s="3">
        <f>IFERROR(__xludf.DUMMYFUNCTION("""COMPUTED_VALUE"""),11131.85)</f>
        <v>11131.85</v>
      </c>
      <c r="F4975" s="3">
        <f>IFERROR(__xludf.DUMMYFUNCTION("""COMPUTED_VALUE"""),0.0)</f>
        <v>0</v>
      </c>
    </row>
    <row r="4976">
      <c r="A4976" s="7">
        <f>IFERROR(__xludf.DUMMYFUNCTION("""COMPUTED_VALUE"""),44098.64583333333)</f>
        <v>44098.64583</v>
      </c>
      <c r="B4976" s="3">
        <f>IFERROR(__xludf.DUMMYFUNCTION("""COMPUTED_VALUE"""),11011.0)</f>
        <v>11011</v>
      </c>
      <c r="C4976" s="3">
        <f>IFERROR(__xludf.DUMMYFUNCTION("""COMPUTED_VALUE"""),11015.3)</f>
        <v>11015.3</v>
      </c>
      <c r="D4976" s="3">
        <f>IFERROR(__xludf.DUMMYFUNCTION("""COMPUTED_VALUE"""),10790.2)</f>
        <v>10790.2</v>
      </c>
      <c r="E4976" s="3">
        <f>IFERROR(__xludf.DUMMYFUNCTION("""COMPUTED_VALUE"""),10805.55)</f>
        <v>10805.55</v>
      </c>
      <c r="F4976" s="3">
        <f>IFERROR(__xludf.DUMMYFUNCTION("""COMPUTED_VALUE"""),0.0)</f>
        <v>0</v>
      </c>
    </row>
    <row r="4977">
      <c r="A4977" s="7">
        <f>IFERROR(__xludf.DUMMYFUNCTION("""COMPUTED_VALUE"""),44099.64583333333)</f>
        <v>44099.64583</v>
      </c>
      <c r="B4977" s="3">
        <f>IFERROR(__xludf.DUMMYFUNCTION("""COMPUTED_VALUE"""),10910.4)</f>
        <v>10910.4</v>
      </c>
      <c r="C4977" s="3">
        <f>IFERROR(__xludf.DUMMYFUNCTION("""COMPUTED_VALUE"""),11072.6)</f>
        <v>11072.6</v>
      </c>
      <c r="D4977" s="3">
        <f>IFERROR(__xludf.DUMMYFUNCTION("""COMPUTED_VALUE"""),10854.85)</f>
        <v>10854.85</v>
      </c>
      <c r="E4977" s="3">
        <f>IFERROR(__xludf.DUMMYFUNCTION("""COMPUTED_VALUE"""),11050.25)</f>
        <v>11050.25</v>
      </c>
      <c r="F4977" s="3">
        <f>IFERROR(__xludf.DUMMYFUNCTION("""COMPUTED_VALUE"""),0.0)</f>
        <v>0</v>
      </c>
    </row>
    <row r="4978">
      <c r="A4978" s="7">
        <f>IFERROR(__xludf.DUMMYFUNCTION("""COMPUTED_VALUE"""),44102.64583333333)</f>
        <v>44102.64583</v>
      </c>
      <c r="B4978" s="3">
        <f>IFERROR(__xludf.DUMMYFUNCTION("""COMPUTED_VALUE"""),11140.85)</f>
        <v>11140.85</v>
      </c>
      <c r="C4978" s="3">
        <f>IFERROR(__xludf.DUMMYFUNCTION("""COMPUTED_VALUE"""),11239.35)</f>
        <v>11239.35</v>
      </c>
      <c r="D4978" s="3">
        <f>IFERROR(__xludf.DUMMYFUNCTION("""COMPUTED_VALUE"""),11099.85)</f>
        <v>11099.85</v>
      </c>
      <c r="E4978" s="3">
        <f>IFERROR(__xludf.DUMMYFUNCTION("""COMPUTED_VALUE"""),11227.55)</f>
        <v>11227.55</v>
      </c>
      <c r="F4978" s="3">
        <f>IFERROR(__xludf.DUMMYFUNCTION("""COMPUTED_VALUE"""),0.0)</f>
        <v>0</v>
      </c>
    </row>
    <row r="4979">
      <c r="A4979" s="7">
        <f>IFERROR(__xludf.DUMMYFUNCTION("""COMPUTED_VALUE"""),44103.64583333333)</f>
        <v>44103.64583</v>
      </c>
      <c r="B4979" s="3">
        <f>IFERROR(__xludf.DUMMYFUNCTION("""COMPUTED_VALUE"""),11288.6)</f>
        <v>11288.6</v>
      </c>
      <c r="C4979" s="3">
        <f>IFERROR(__xludf.DUMMYFUNCTION("""COMPUTED_VALUE"""),11305.4)</f>
        <v>11305.4</v>
      </c>
      <c r="D4979" s="3">
        <f>IFERROR(__xludf.DUMMYFUNCTION("""COMPUTED_VALUE"""),11181.0)</f>
        <v>11181</v>
      </c>
      <c r="E4979" s="3">
        <f>IFERROR(__xludf.DUMMYFUNCTION("""COMPUTED_VALUE"""),11222.4)</f>
        <v>11222.4</v>
      </c>
      <c r="F4979" s="3">
        <f>IFERROR(__xludf.DUMMYFUNCTION("""COMPUTED_VALUE"""),0.0)</f>
        <v>0</v>
      </c>
    </row>
    <row r="4980">
      <c r="A4980" s="7">
        <f>IFERROR(__xludf.DUMMYFUNCTION("""COMPUTED_VALUE"""),44104.64583333333)</f>
        <v>44104.64583</v>
      </c>
      <c r="B4980" s="3">
        <f>IFERROR(__xludf.DUMMYFUNCTION("""COMPUTED_VALUE"""),11244.45)</f>
        <v>11244.45</v>
      </c>
      <c r="C4980" s="3">
        <f>IFERROR(__xludf.DUMMYFUNCTION("""COMPUTED_VALUE"""),11295.4)</f>
        <v>11295.4</v>
      </c>
      <c r="D4980" s="3">
        <f>IFERROR(__xludf.DUMMYFUNCTION("""COMPUTED_VALUE"""),11184.55)</f>
        <v>11184.55</v>
      </c>
      <c r="E4980" s="3">
        <f>IFERROR(__xludf.DUMMYFUNCTION("""COMPUTED_VALUE"""),11247.55)</f>
        <v>11247.55</v>
      </c>
      <c r="F4980" s="3">
        <f>IFERROR(__xludf.DUMMYFUNCTION("""COMPUTED_VALUE"""),0.0)</f>
        <v>0</v>
      </c>
    </row>
    <row r="4981">
      <c r="A4981" s="7">
        <f>IFERROR(__xludf.DUMMYFUNCTION("""COMPUTED_VALUE"""),44105.64583333333)</f>
        <v>44105.64583</v>
      </c>
      <c r="B4981" s="3">
        <f>IFERROR(__xludf.DUMMYFUNCTION("""COMPUTED_VALUE"""),11364.45)</f>
        <v>11364.45</v>
      </c>
      <c r="C4981" s="3">
        <f>IFERROR(__xludf.DUMMYFUNCTION("""COMPUTED_VALUE"""),11428.6)</f>
        <v>11428.6</v>
      </c>
      <c r="D4981" s="3">
        <f>IFERROR(__xludf.DUMMYFUNCTION("""COMPUTED_VALUE"""),11347.05)</f>
        <v>11347.05</v>
      </c>
      <c r="E4981" s="3">
        <f>IFERROR(__xludf.DUMMYFUNCTION("""COMPUTED_VALUE"""),11416.95)</f>
        <v>11416.95</v>
      </c>
      <c r="F4981" s="3">
        <f>IFERROR(__xludf.DUMMYFUNCTION("""COMPUTED_VALUE"""),0.0)</f>
        <v>0</v>
      </c>
    </row>
    <row r="4982">
      <c r="A4982" s="7">
        <f>IFERROR(__xludf.DUMMYFUNCTION("""COMPUTED_VALUE"""),44109.64583333333)</f>
        <v>44109.64583</v>
      </c>
      <c r="B4982" s="3">
        <f>IFERROR(__xludf.DUMMYFUNCTION("""COMPUTED_VALUE"""),11487.8)</f>
        <v>11487.8</v>
      </c>
      <c r="C4982" s="3">
        <f>IFERROR(__xludf.DUMMYFUNCTION("""COMPUTED_VALUE"""),11578.05)</f>
        <v>11578.05</v>
      </c>
      <c r="D4982" s="3">
        <f>IFERROR(__xludf.DUMMYFUNCTION("""COMPUTED_VALUE"""),11452.3)</f>
        <v>11452.3</v>
      </c>
      <c r="E4982" s="3">
        <f>IFERROR(__xludf.DUMMYFUNCTION("""COMPUTED_VALUE"""),11503.35)</f>
        <v>11503.35</v>
      </c>
      <c r="F4982" s="3">
        <f>IFERROR(__xludf.DUMMYFUNCTION("""COMPUTED_VALUE"""),0.0)</f>
        <v>0</v>
      </c>
    </row>
    <row r="4983">
      <c r="A4983" s="7">
        <f>IFERROR(__xludf.DUMMYFUNCTION("""COMPUTED_VALUE"""),44110.64583333333)</f>
        <v>44110.64583</v>
      </c>
      <c r="B4983" s="3">
        <f>IFERROR(__xludf.DUMMYFUNCTION("""COMPUTED_VALUE"""),11603.45)</f>
        <v>11603.45</v>
      </c>
      <c r="C4983" s="3">
        <f>IFERROR(__xludf.DUMMYFUNCTION("""COMPUTED_VALUE"""),11680.3)</f>
        <v>11680.3</v>
      </c>
      <c r="D4983" s="3">
        <f>IFERROR(__xludf.DUMMYFUNCTION("""COMPUTED_VALUE"""),11564.3)</f>
        <v>11564.3</v>
      </c>
      <c r="E4983" s="3">
        <f>IFERROR(__xludf.DUMMYFUNCTION("""COMPUTED_VALUE"""),11662.4)</f>
        <v>11662.4</v>
      </c>
      <c r="F4983" s="3">
        <f>IFERROR(__xludf.DUMMYFUNCTION("""COMPUTED_VALUE"""),0.0)</f>
        <v>0</v>
      </c>
    </row>
    <row r="4984">
      <c r="A4984" s="7">
        <f>IFERROR(__xludf.DUMMYFUNCTION("""COMPUTED_VALUE"""),44111.64583333333)</f>
        <v>44111.64583</v>
      </c>
      <c r="B4984" s="3">
        <f>IFERROR(__xludf.DUMMYFUNCTION("""COMPUTED_VALUE"""),11679.25)</f>
        <v>11679.25</v>
      </c>
      <c r="C4984" s="3">
        <f>IFERROR(__xludf.DUMMYFUNCTION("""COMPUTED_VALUE"""),11763.05)</f>
        <v>11763.05</v>
      </c>
      <c r="D4984" s="3">
        <f>IFERROR(__xludf.DUMMYFUNCTION("""COMPUTED_VALUE"""),11629.35)</f>
        <v>11629.35</v>
      </c>
      <c r="E4984" s="3">
        <f>IFERROR(__xludf.DUMMYFUNCTION("""COMPUTED_VALUE"""),11738.85)</f>
        <v>11738.85</v>
      </c>
      <c r="F4984" s="3">
        <f>IFERROR(__xludf.DUMMYFUNCTION("""COMPUTED_VALUE"""),0.0)</f>
        <v>0</v>
      </c>
    </row>
    <row r="4985">
      <c r="A4985" s="7">
        <f>IFERROR(__xludf.DUMMYFUNCTION("""COMPUTED_VALUE"""),44112.64583333333)</f>
        <v>44112.64583</v>
      </c>
      <c r="B4985" s="3">
        <f>IFERROR(__xludf.DUMMYFUNCTION("""COMPUTED_VALUE"""),11835.4)</f>
        <v>11835.4</v>
      </c>
      <c r="C4985" s="3">
        <f>IFERROR(__xludf.DUMMYFUNCTION("""COMPUTED_VALUE"""),11905.7)</f>
        <v>11905.7</v>
      </c>
      <c r="D4985" s="3">
        <f>IFERROR(__xludf.DUMMYFUNCTION("""COMPUTED_VALUE"""),11791.15)</f>
        <v>11791.15</v>
      </c>
      <c r="E4985" s="3">
        <f>IFERROR(__xludf.DUMMYFUNCTION("""COMPUTED_VALUE"""),11834.6)</f>
        <v>11834.6</v>
      </c>
      <c r="F4985" s="3">
        <f>IFERROR(__xludf.DUMMYFUNCTION("""COMPUTED_VALUE"""),0.0)</f>
        <v>0</v>
      </c>
    </row>
    <row r="4986">
      <c r="A4986" s="7">
        <f>IFERROR(__xludf.DUMMYFUNCTION("""COMPUTED_VALUE"""),44113.64583333333)</f>
        <v>44113.64583</v>
      </c>
      <c r="B4986" s="3">
        <f>IFERROR(__xludf.DUMMYFUNCTION("""COMPUTED_VALUE"""),11852.05)</f>
        <v>11852.05</v>
      </c>
      <c r="C4986" s="3">
        <f>IFERROR(__xludf.DUMMYFUNCTION("""COMPUTED_VALUE"""),11938.6)</f>
        <v>11938.6</v>
      </c>
      <c r="D4986" s="3">
        <f>IFERROR(__xludf.DUMMYFUNCTION("""COMPUTED_VALUE"""),11805.2)</f>
        <v>11805.2</v>
      </c>
      <c r="E4986" s="3">
        <f>IFERROR(__xludf.DUMMYFUNCTION("""COMPUTED_VALUE"""),11914.2)</f>
        <v>11914.2</v>
      </c>
      <c r="F4986" s="3">
        <f>IFERROR(__xludf.DUMMYFUNCTION("""COMPUTED_VALUE"""),0.0)</f>
        <v>0</v>
      </c>
    </row>
    <row r="4987">
      <c r="A4987" s="7">
        <f>IFERROR(__xludf.DUMMYFUNCTION("""COMPUTED_VALUE"""),44116.64583333333)</f>
        <v>44116.64583</v>
      </c>
      <c r="B4987" s="3">
        <f>IFERROR(__xludf.DUMMYFUNCTION("""COMPUTED_VALUE"""),11973.55)</f>
        <v>11973.55</v>
      </c>
      <c r="C4987" s="3">
        <f>IFERROR(__xludf.DUMMYFUNCTION("""COMPUTED_VALUE"""),12022.05)</f>
        <v>12022.05</v>
      </c>
      <c r="D4987" s="3">
        <f>IFERROR(__xludf.DUMMYFUNCTION("""COMPUTED_VALUE"""),11867.2)</f>
        <v>11867.2</v>
      </c>
      <c r="E4987" s="3">
        <f>IFERROR(__xludf.DUMMYFUNCTION("""COMPUTED_VALUE"""),11930.95)</f>
        <v>11930.95</v>
      </c>
      <c r="F4987" s="3">
        <f>IFERROR(__xludf.DUMMYFUNCTION("""COMPUTED_VALUE"""),0.0)</f>
        <v>0</v>
      </c>
    </row>
    <row r="4988">
      <c r="A4988" s="7">
        <f>IFERROR(__xludf.DUMMYFUNCTION("""COMPUTED_VALUE"""),44117.64583333333)</f>
        <v>44117.64583</v>
      </c>
      <c r="B4988" s="3">
        <f>IFERROR(__xludf.DUMMYFUNCTION("""COMPUTED_VALUE"""),11934.65)</f>
        <v>11934.65</v>
      </c>
      <c r="C4988" s="3">
        <f>IFERROR(__xludf.DUMMYFUNCTION("""COMPUTED_VALUE"""),11988.2)</f>
        <v>11988.2</v>
      </c>
      <c r="D4988" s="3">
        <f>IFERROR(__xludf.DUMMYFUNCTION("""COMPUTED_VALUE"""),11888.9)</f>
        <v>11888.9</v>
      </c>
      <c r="E4988" s="3">
        <f>IFERROR(__xludf.DUMMYFUNCTION("""COMPUTED_VALUE"""),11934.5)</f>
        <v>11934.5</v>
      </c>
      <c r="F4988" s="3">
        <f>IFERROR(__xludf.DUMMYFUNCTION("""COMPUTED_VALUE"""),0.0)</f>
        <v>0</v>
      </c>
    </row>
    <row r="4989">
      <c r="A4989" s="7">
        <f>IFERROR(__xludf.DUMMYFUNCTION("""COMPUTED_VALUE"""),44118.64583333333)</f>
        <v>44118.64583</v>
      </c>
      <c r="B4989" s="3">
        <f>IFERROR(__xludf.DUMMYFUNCTION("""COMPUTED_VALUE"""),11917.4)</f>
        <v>11917.4</v>
      </c>
      <c r="C4989" s="3">
        <f>IFERROR(__xludf.DUMMYFUNCTION("""COMPUTED_VALUE"""),11997.2)</f>
        <v>11997.2</v>
      </c>
      <c r="D4989" s="3">
        <f>IFERROR(__xludf.DUMMYFUNCTION("""COMPUTED_VALUE"""),11822.15)</f>
        <v>11822.15</v>
      </c>
      <c r="E4989" s="3">
        <f>IFERROR(__xludf.DUMMYFUNCTION("""COMPUTED_VALUE"""),11971.05)</f>
        <v>11971.05</v>
      </c>
      <c r="F4989" s="3">
        <f>IFERROR(__xludf.DUMMYFUNCTION("""COMPUTED_VALUE"""),0.0)</f>
        <v>0</v>
      </c>
    </row>
    <row r="4990">
      <c r="A4990" s="7">
        <f>IFERROR(__xludf.DUMMYFUNCTION("""COMPUTED_VALUE"""),44119.64583333333)</f>
        <v>44119.64583</v>
      </c>
      <c r="B4990" s="3">
        <f>IFERROR(__xludf.DUMMYFUNCTION("""COMPUTED_VALUE"""),12023.45)</f>
        <v>12023.45</v>
      </c>
      <c r="C4990" s="3">
        <f>IFERROR(__xludf.DUMMYFUNCTION("""COMPUTED_VALUE"""),12025.45)</f>
        <v>12025.45</v>
      </c>
      <c r="D4990" s="3">
        <f>IFERROR(__xludf.DUMMYFUNCTION("""COMPUTED_VALUE"""),11661.3)</f>
        <v>11661.3</v>
      </c>
      <c r="E4990" s="3">
        <f>IFERROR(__xludf.DUMMYFUNCTION("""COMPUTED_VALUE"""),11680.35)</f>
        <v>11680.35</v>
      </c>
      <c r="F4990" s="3">
        <f>IFERROR(__xludf.DUMMYFUNCTION("""COMPUTED_VALUE"""),0.0)</f>
        <v>0</v>
      </c>
    </row>
    <row r="4991">
      <c r="A4991" s="7">
        <f>IFERROR(__xludf.DUMMYFUNCTION("""COMPUTED_VALUE"""),44120.64583333333)</f>
        <v>44120.64583</v>
      </c>
      <c r="B4991" s="3">
        <f>IFERROR(__xludf.DUMMYFUNCTION("""COMPUTED_VALUE"""),11727.4)</f>
        <v>11727.4</v>
      </c>
      <c r="C4991" s="3">
        <f>IFERROR(__xludf.DUMMYFUNCTION("""COMPUTED_VALUE"""),11789.75)</f>
        <v>11789.75</v>
      </c>
      <c r="D4991" s="3">
        <f>IFERROR(__xludf.DUMMYFUNCTION("""COMPUTED_VALUE"""),11667.85)</f>
        <v>11667.85</v>
      </c>
      <c r="E4991" s="3">
        <f>IFERROR(__xludf.DUMMYFUNCTION("""COMPUTED_VALUE"""),11762.45)</f>
        <v>11762.45</v>
      </c>
      <c r="F4991" s="3">
        <f>IFERROR(__xludf.DUMMYFUNCTION("""COMPUTED_VALUE"""),0.0)</f>
        <v>0</v>
      </c>
    </row>
    <row r="4992">
      <c r="A4992" s="7">
        <f>IFERROR(__xludf.DUMMYFUNCTION("""COMPUTED_VALUE"""),44123.64583333333)</f>
        <v>44123.64583</v>
      </c>
      <c r="B4992" s="3">
        <f>IFERROR(__xludf.DUMMYFUNCTION("""COMPUTED_VALUE"""),11879.2)</f>
        <v>11879.2</v>
      </c>
      <c r="C4992" s="3">
        <f>IFERROR(__xludf.DUMMYFUNCTION("""COMPUTED_VALUE"""),11898.25)</f>
        <v>11898.25</v>
      </c>
      <c r="D4992" s="3">
        <f>IFERROR(__xludf.DUMMYFUNCTION("""COMPUTED_VALUE"""),11820.4)</f>
        <v>11820.4</v>
      </c>
      <c r="E4992" s="3">
        <f>IFERROR(__xludf.DUMMYFUNCTION("""COMPUTED_VALUE"""),11873.05)</f>
        <v>11873.05</v>
      </c>
      <c r="F4992" s="3">
        <f>IFERROR(__xludf.DUMMYFUNCTION("""COMPUTED_VALUE"""),0.0)</f>
        <v>0</v>
      </c>
    </row>
    <row r="4993">
      <c r="A4993" s="7">
        <f>IFERROR(__xludf.DUMMYFUNCTION("""COMPUTED_VALUE"""),44124.64583333333)</f>
        <v>44124.64583</v>
      </c>
      <c r="B4993" s="3">
        <f>IFERROR(__xludf.DUMMYFUNCTION("""COMPUTED_VALUE"""),11861.0)</f>
        <v>11861</v>
      </c>
      <c r="C4993" s="3">
        <f>IFERROR(__xludf.DUMMYFUNCTION("""COMPUTED_VALUE"""),11949.25)</f>
        <v>11949.25</v>
      </c>
      <c r="D4993" s="3">
        <f>IFERROR(__xludf.DUMMYFUNCTION("""COMPUTED_VALUE"""),11837.25)</f>
        <v>11837.25</v>
      </c>
      <c r="E4993" s="3">
        <f>IFERROR(__xludf.DUMMYFUNCTION("""COMPUTED_VALUE"""),11896.8)</f>
        <v>11896.8</v>
      </c>
      <c r="F4993" s="3">
        <f>IFERROR(__xludf.DUMMYFUNCTION("""COMPUTED_VALUE"""),0.0)</f>
        <v>0</v>
      </c>
    </row>
    <row r="4994">
      <c r="A4994" s="7">
        <f>IFERROR(__xludf.DUMMYFUNCTION("""COMPUTED_VALUE"""),44125.64583333333)</f>
        <v>44125.64583</v>
      </c>
      <c r="B4994" s="3">
        <f>IFERROR(__xludf.DUMMYFUNCTION("""COMPUTED_VALUE"""),11958.55)</f>
        <v>11958.55</v>
      </c>
      <c r="C4994" s="3">
        <f>IFERROR(__xludf.DUMMYFUNCTION("""COMPUTED_VALUE"""),12018.65)</f>
        <v>12018.65</v>
      </c>
      <c r="D4994" s="3">
        <f>IFERROR(__xludf.DUMMYFUNCTION("""COMPUTED_VALUE"""),11775.75)</f>
        <v>11775.75</v>
      </c>
      <c r="E4994" s="3">
        <f>IFERROR(__xludf.DUMMYFUNCTION("""COMPUTED_VALUE"""),11937.65)</f>
        <v>11937.65</v>
      </c>
      <c r="F4994" s="3">
        <f>IFERROR(__xludf.DUMMYFUNCTION("""COMPUTED_VALUE"""),0.0)</f>
        <v>0</v>
      </c>
    </row>
    <row r="4995">
      <c r="A4995" s="7">
        <f>IFERROR(__xludf.DUMMYFUNCTION("""COMPUTED_VALUE"""),44126.64583333333)</f>
        <v>44126.64583</v>
      </c>
      <c r="B4995" s="3">
        <f>IFERROR(__xludf.DUMMYFUNCTION("""COMPUTED_VALUE"""),11890.0)</f>
        <v>11890</v>
      </c>
      <c r="C4995" s="3">
        <f>IFERROR(__xludf.DUMMYFUNCTION("""COMPUTED_VALUE"""),11939.55)</f>
        <v>11939.55</v>
      </c>
      <c r="D4995" s="3">
        <f>IFERROR(__xludf.DUMMYFUNCTION("""COMPUTED_VALUE"""),11823.45)</f>
        <v>11823.45</v>
      </c>
      <c r="E4995" s="3">
        <f>IFERROR(__xludf.DUMMYFUNCTION("""COMPUTED_VALUE"""),11896.45)</f>
        <v>11896.45</v>
      </c>
      <c r="F4995" s="3">
        <f>IFERROR(__xludf.DUMMYFUNCTION("""COMPUTED_VALUE"""),0.0)</f>
        <v>0</v>
      </c>
    </row>
    <row r="4996">
      <c r="A4996" s="7">
        <f>IFERROR(__xludf.DUMMYFUNCTION("""COMPUTED_VALUE"""),44127.64583333333)</f>
        <v>44127.64583</v>
      </c>
      <c r="B4996" s="3">
        <f>IFERROR(__xludf.DUMMYFUNCTION("""COMPUTED_VALUE"""),11957.9)</f>
        <v>11957.9</v>
      </c>
      <c r="C4996" s="3">
        <f>IFERROR(__xludf.DUMMYFUNCTION("""COMPUTED_VALUE"""),11974.55)</f>
        <v>11974.55</v>
      </c>
      <c r="D4996" s="3">
        <f>IFERROR(__xludf.DUMMYFUNCTION("""COMPUTED_VALUE"""),11908.75)</f>
        <v>11908.75</v>
      </c>
      <c r="E4996" s="3">
        <f>IFERROR(__xludf.DUMMYFUNCTION("""COMPUTED_VALUE"""),11930.35)</f>
        <v>11930.35</v>
      </c>
      <c r="F4996" s="3">
        <f>IFERROR(__xludf.DUMMYFUNCTION("""COMPUTED_VALUE"""),0.0)</f>
        <v>0</v>
      </c>
    </row>
    <row r="4997">
      <c r="A4997" s="7">
        <f>IFERROR(__xludf.DUMMYFUNCTION("""COMPUTED_VALUE"""),44130.64583333333)</f>
        <v>44130.64583</v>
      </c>
      <c r="B4997" s="3">
        <f>IFERROR(__xludf.DUMMYFUNCTION("""COMPUTED_VALUE"""),11937.4)</f>
        <v>11937.4</v>
      </c>
      <c r="C4997" s="3">
        <f>IFERROR(__xludf.DUMMYFUNCTION("""COMPUTED_VALUE"""),11942.85)</f>
        <v>11942.85</v>
      </c>
      <c r="D4997" s="3">
        <f>IFERROR(__xludf.DUMMYFUNCTION("""COMPUTED_VALUE"""),11711.7)</f>
        <v>11711.7</v>
      </c>
      <c r="E4997" s="3">
        <f>IFERROR(__xludf.DUMMYFUNCTION("""COMPUTED_VALUE"""),11767.75)</f>
        <v>11767.75</v>
      </c>
      <c r="F4997" s="3">
        <f>IFERROR(__xludf.DUMMYFUNCTION("""COMPUTED_VALUE"""),0.0)</f>
        <v>0</v>
      </c>
    </row>
    <row r="4998">
      <c r="A4998" s="7">
        <f>IFERROR(__xludf.DUMMYFUNCTION("""COMPUTED_VALUE"""),44131.64583333333)</f>
        <v>44131.64583</v>
      </c>
      <c r="B4998" s="3">
        <f>IFERROR(__xludf.DUMMYFUNCTION("""COMPUTED_VALUE"""),11807.1)</f>
        <v>11807.1</v>
      </c>
      <c r="C4998" s="3">
        <f>IFERROR(__xludf.DUMMYFUNCTION("""COMPUTED_VALUE"""),11899.05)</f>
        <v>11899.05</v>
      </c>
      <c r="D4998" s="3">
        <f>IFERROR(__xludf.DUMMYFUNCTION("""COMPUTED_VALUE"""),11723.0)</f>
        <v>11723</v>
      </c>
      <c r="E4998" s="3">
        <f>IFERROR(__xludf.DUMMYFUNCTION("""COMPUTED_VALUE"""),11889.4)</f>
        <v>11889.4</v>
      </c>
      <c r="F4998" s="3">
        <f>IFERROR(__xludf.DUMMYFUNCTION("""COMPUTED_VALUE"""),0.0)</f>
        <v>0</v>
      </c>
    </row>
    <row r="4999">
      <c r="A4999" s="7">
        <f>IFERROR(__xludf.DUMMYFUNCTION("""COMPUTED_VALUE"""),44132.64583333333)</f>
        <v>44132.64583</v>
      </c>
      <c r="B4999" s="3">
        <f>IFERROR(__xludf.DUMMYFUNCTION("""COMPUTED_VALUE"""),11922.6)</f>
        <v>11922.6</v>
      </c>
      <c r="C4999" s="3">
        <f>IFERROR(__xludf.DUMMYFUNCTION("""COMPUTED_VALUE"""),11929.4)</f>
        <v>11929.4</v>
      </c>
      <c r="D4999" s="3">
        <f>IFERROR(__xludf.DUMMYFUNCTION("""COMPUTED_VALUE"""),11684.85)</f>
        <v>11684.85</v>
      </c>
      <c r="E4999" s="3">
        <f>IFERROR(__xludf.DUMMYFUNCTION("""COMPUTED_VALUE"""),11729.6)</f>
        <v>11729.6</v>
      </c>
      <c r="F4999" s="3">
        <f>IFERROR(__xludf.DUMMYFUNCTION("""COMPUTED_VALUE"""),0.0)</f>
        <v>0</v>
      </c>
    </row>
    <row r="5000">
      <c r="A5000" s="7">
        <f>IFERROR(__xludf.DUMMYFUNCTION("""COMPUTED_VALUE"""),44133.64583333333)</f>
        <v>44133.64583</v>
      </c>
      <c r="B5000" s="3">
        <f>IFERROR(__xludf.DUMMYFUNCTION("""COMPUTED_VALUE"""),11633.3)</f>
        <v>11633.3</v>
      </c>
      <c r="C5000" s="3">
        <f>IFERROR(__xludf.DUMMYFUNCTION("""COMPUTED_VALUE"""),11744.15)</f>
        <v>11744.15</v>
      </c>
      <c r="D5000" s="3">
        <f>IFERROR(__xludf.DUMMYFUNCTION("""COMPUTED_VALUE"""),11606.45)</f>
        <v>11606.45</v>
      </c>
      <c r="E5000" s="3">
        <f>IFERROR(__xludf.DUMMYFUNCTION("""COMPUTED_VALUE"""),11670.8)</f>
        <v>11670.8</v>
      </c>
      <c r="F5000" s="3">
        <f>IFERROR(__xludf.DUMMYFUNCTION("""COMPUTED_VALUE"""),0.0)</f>
        <v>0</v>
      </c>
    </row>
    <row r="5001">
      <c r="A5001" s="7">
        <f>IFERROR(__xludf.DUMMYFUNCTION("""COMPUTED_VALUE"""),44134.64583333333)</f>
        <v>44134.64583</v>
      </c>
      <c r="B5001" s="3">
        <f>IFERROR(__xludf.DUMMYFUNCTION("""COMPUTED_VALUE"""),11678.45)</f>
        <v>11678.45</v>
      </c>
      <c r="C5001" s="3">
        <f>IFERROR(__xludf.DUMMYFUNCTION("""COMPUTED_VALUE"""),11748.95)</f>
        <v>11748.95</v>
      </c>
      <c r="D5001" s="3">
        <f>IFERROR(__xludf.DUMMYFUNCTION("""COMPUTED_VALUE"""),11535.45)</f>
        <v>11535.45</v>
      </c>
      <c r="E5001" s="3">
        <f>IFERROR(__xludf.DUMMYFUNCTION("""COMPUTED_VALUE"""),11642.4)</f>
        <v>11642.4</v>
      </c>
      <c r="F5001" s="3">
        <f>IFERROR(__xludf.DUMMYFUNCTION("""COMPUTED_VALUE"""),0.0)</f>
        <v>0</v>
      </c>
    </row>
    <row r="5002">
      <c r="A5002" s="7">
        <f>IFERROR(__xludf.DUMMYFUNCTION("""COMPUTED_VALUE"""),44137.64583333333)</f>
        <v>44137.64583</v>
      </c>
      <c r="B5002" s="3">
        <f>IFERROR(__xludf.DUMMYFUNCTION("""COMPUTED_VALUE"""),11697.35)</f>
        <v>11697.35</v>
      </c>
      <c r="C5002" s="3">
        <f>IFERROR(__xludf.DUMMYFUNCTION("""COMPUTED_VALUE"""),11725.65)</f>
        <v>11725.65</v>
      </c>
      <c r="D5002" s="3">
        <f>IFERROR(__xludf.DUMMYFUNCTION("""COMPUTED_VALUE"""),11557.4)</f>
        <v>11557.4</v>
      </c>
      <c r="E5002" s="3">
        <f>IFERROR(__xludf.DUMMYFUNCTION("""COMPUTED_VALUE"""),11669.15)</f>
        <v>11669.15</v>
      </c>
      <c r="F5002" s="3">
        <f>IFERROR(__xludf.DUMMYFUNCTION("""COMPUTED_VALUE"""),0.0)</f>
        <v>0</v>
      </c>
    </row>
    <row r="5003">
      <c r="A5003" s="7">
        <f>IFERROR(__xludf.DUMMYFUNCTION("""COMPUTED_VALUE"""),44138.64583333333)</f>
        <v>44138.64583</v>
      </c>
      <c r="B5003" s="3">
        <f>IFERROR(__xludf.DUMMYFUNCTION("""COMPUTED_VALUE"""),11734.45)</f>
        <v>11734.45</v>
      </c>
      <c r="C5003" s="3">
        <f>IFERROR(__xludf.DUMMYFUNCTION("""COMPUTED_VALUE"""),11836.2)</f>
        <v>11836.2</v>
      </c>
      <c r="D5003" s="3">
        <f>IFERROR(__xludf.DUMMYFUNCTION("""COMPUTED_VALUE"""),11723.3)</f>
        <v>11723.3</v>
      </c>
      <c r="E5003" s="3">
        <f>IFERROR(__xludf.DUMMYFUNCTION("""COMPUTED_VALUE"""),11813.5)</f>
        <v>11813.5</v>
      </c>
      <c r="F5003" s="3">
        <f>IFERROR(__xludf.DUMMYFUNCTION("""COMPUTED_VALUE"""),0.0)</f>
        <v>0</v>
      </c>
    </row>
    <row r="5004">
      <c r="A5004" s="7">
        <f>IFERROR(__xludf.DUMMYFUNCTION("""COMPUTED_VALUE"""),44139.64583333333)</f>
        <v>44139.64583</v>
      </c>
      <c r="B5004" s="3">
        <f>IFERROR(__xludf.DUMMYFUNCTION("""COMPUTED_VALUE"""),11783.35)</f>
        <v>11783.35</v>
      </c>
      <c r="C5004" s="3">
        <f>IFERROR(__xludf.DUMMYFUNCTION("""COMPUTED_VALUE"""),11929.65)</f>
        <v>11929.65</v>
      </c>
      <c r="D5004" s="3">
        <f>IFERROR(__xludf.DUMMYFUNCTION("""COMPUTED_VALUE"""),11756.4)</f>
        <v>11756.4</v>
      </c>
      <c r="E5004" s="3">
        <f>IFERROR(__xludf.DUMMYFUNCTION("""COMPUTED_VALUE"""),11908.5)</f>
        <v>11908.5</v>
      </c>
      <c r="F5004" s="3">
        <f>IFERROR(__xludf.DUMMYFUNCTION("""COMPUTED_VALUE"""),0.0)</f>
        <v>0</v>
      </c>
    </row>
    <row r="5005">
      <c r="A5005" s="7">
        <f>IFERROR(__xludf.DUMMYFUNCTION("""COMPUTED_VALUE"""),44140.64583333333)</f>
        <v>44140.64583</v>
      </c>
      <c r="B5005" s="3">
        <f>IFERROR(__xludf.DUMMYFUNCTION("""COMPUTED_VALUE"""),12062.4)</f>
        <v>12062.4</v>
      </c>
      <c r="C5005" s="3">
        <f>IFERROR(__xludf.DUMMYFUNCTION("""COMPUTED_VALUE"""),12131.1)</f>
        <v>12131.1</v>
      </c>
      <c r="D5005" s="3">
        <f>IFERROR(__xludf.DUMMYFUNCTION("""COMPUTED_VALUE"""),12027.6)</f>
        <v>12027.6</v>
      </c>
      <c r="E5005" s="3">
        <f>IFERROR(__xludf.DUMMYFUNCTION("""COMPUTED_VALUE"""),12120.3)</f>
        <v>12120.3</v>
      </c>
      <c r="F5005" s="3">
        <f>IFERROR(__xludf.DUMMYFUNCTION("""COMPUTED_VALUE"""),0.0)</f>
        <v>0</v>
      </c>
    </row>
    <row r="5006">
      <c r="A5006" s="7">
        <f>IFERROR(__xludf.DUMMYFUNCTION("""COMPUTED_VALUE"""),44141.64583333333)</f>
        <v>44141.64583</v>
      </c>
      <c r="B5006" s="3">
        <f>IFERROR(__xludf.DUMMYFUNCTION("""COMPUTED_VALUE"""),12156.65)</f>
        <v>12156.65</v>
      </c>
      <c r="C5006" s="3">
        <f>IFERROR(__xludf.DUMMYFUNCTION("""COMPUTED_VALUE"""),12280.4)</f>
        <v>12280.4</v>
      </c>
      <c r="D5006" s="3">
        <f>IFERROR(__xludf.DUMMYFUNCTION("""COMPUTED_VALUE"""),12131.85)</f>
        <v>12131.85</v>
      </c>
      <c r="E5006" s="3">
        <f>IFERROR(__xludf.DUMMYFUNCTION("""COMPUTED_VALUE"""),12263.55)</f>
        <v>12263.55</v>
      </c>
      <c r="F5006" s="3">
        <f>IFERROR(__xludf.DUMMYFUNCTION("""COMPUTED_VALUE"""),0.0)</f>
        <v>0</v>
      </c>
    </row>
    <row r="5007">
      <c r="A5007" s="7">
        <f>IFERROR(__xludf.DUMMYFUNCTION("""COMPUTED_VALUE"""),44144.64583333333)</f>
        <v>44144.64583</v>
      </c>
      <c r="B5007" s="3">
        <f>IFERROR(__xludf.DUMMYFUNCTION("""COMPUTED_VALUE"""),12399.4)</f>
        <v>12399.4</v>
      </c>
      <c r="C5007" s="3">
        <f>IFERROR(__xludf.DUMMYFUNCTION("""COMPUTED_VALUE"""),12474.05)</f>
        <v>12474.05</v>
      </c>
      <c r="D5007" s="3">
        <f>IFERROR(__xludf.DUMMYFUNCTION("""COMPUTED_VALUE"""),12367.35)</f>
        <v>12367.35</v>
      </c>
      <c r="E5007" s="3">
        <f>IFERROR(__xludf.DUMMYFUNCTION("""COMPUTED_VALUE"""),12461.05)</f>
        <v>12461.05</v>
      </c>
      <c r="F5007" s="3">
        <f>IFERROR(__xludf.DUMMYFUNCTION("""COMPUTED_VALUE"""),0.0)</f>
        <v>0</v>
      </c>
    </row>
    <row r="5008">
      <c r="A5008" s="7">
        <f>IFERROR(__xludf.DUMMYFUNCTION("""COMPUTED_VALUE"""),44145.64583333333)</f>
        <v>44145.64583</v>
      </c>
      <c r="B5008" s="3">
        <f>IFERROR(__xludf.DUMMYFUNCTION("""COMPUTED_VALUE"""),12556.4)</f>
        <v>12556.4</v>
      </c>
      <c r="C5008" s="3">
        <f>IFERROR(__xludf.DUMMYFUNCTION("""COMPUTED_VALUE"""),12643.9)</f>
        <v>12643.9</v>
      </c>
      <c r="D5008" s="3">
        <f>IFERROR(__xludf.DUMMYFUNCTION("""COMPUTED_VALUE"""),12475.25)</f>
        <v>12475.25</v>
      </c>
      <c r="E5008" s="3">
        <f>IFERROR(__xludf.DUMMYFUNCTION("""COMPUTED_VALUE"""),12631.1)</f>
        <v>12631.1</v>
      </c>
      <c r="F5008" s="3">
        <f>IFERROR(__xludf.DUMMYFUNCTION("""COMPUTED_VALUE"""),0.0)</f>
        <v>0</v>
      </c>
    </row>
    <row r="5009">
      <c r="A5009" s="7">
        <f>IFERROR(__xludf.DUMMYFUNCTION("""COMPUTED_VALUE"""),44146.64583333333)</f>
        <v>44146.64583</v>
      </c>
      <c r="B5009" s="3">
        <f>IFERROR(__xludf.DUMMYFUNCTION("""COMPUTED_VALUE"""),12680.6)</f>
        <v>12680.6</v>
      </c>
      <c r="C5009" s="3">
        <f>IFERROR(__xludf.DUMMYFUNCTION("""COMPUTED_VALUE"""),12769.75)</f>
        <v>12769.75</v>
      </c>
      <c r="D5009" s="3">
        <f>IFERROR(__xludf.DUMMYFUNCTION("""COMPUTED_VALUE"""),12571.1)</f>
        <v>12571.1</v>
      </c>
      <c r="E5009" s="3">
        <f>IFERROR(__xludf.DUMMYFUNCTION("""COMPUTED_VALUE"""),12749.15)</f>
        <v>12749.15</v>
      </c>
      <c r="F5009" s="3">
        <f>IFERROR(__xludf.DUMMYFUNCTION("""COMPUTED_VALUE"""),0.0)</f>
        <v>0</v>
      </c>
    </row>
    <row r="5010">
      <c r="A5010" s="7">
        <f>IFERROR(__xludf.DUMMYFUNCTION("""COMPUTED_VALUE"""),44147.64583333333)</f>
        <v>44147.64583</v>
      </c>
      <c r="B5010" s="3">
        <f>IFERROR(__xludf.DUMMYFUNCTION("""COMPUTED_VALUE"""),12702.15)</f>
        <v>12702.15</v>
      </c>
      <c r="C5010" s="3">
        <f>IFERROR(__xludf.DUMMYFUNCTION("""COMPUTED_VALUE"""),12741.15)</f>
        <v>12741.15</v>
      </c>
      <c r="D5010" s="3">
        <f>IFERROR(__xludf.DUMMYFUNCTION("""COMPUTED_VALUE"""),12624.85)</f>
        <v>12624.85</v>
      </c>
      <c r="E5010" s="3">
        <f>IFERROR(__xludf.DUMMYFUNCTION("""COMPUTED_VALUE"""),12690.8)</f>
        <v>12690.8</v>
      </c>
      <c r="F5010" s="3">
        <f>IFERROR(__xludf.DUMMYFUNCTION("""COMPUTED_VALUE"""),0.0)</f>
        <v>0</v>
      </c>
    </row>
    <row r="5011">
      <c r="A5011" s="7">
        <f>IFERROR(__xludf.DUMMYFUNCTION("""COMPUTED_VALUE"""),44148.64583333333)</f>
        <v>44148.64583</v>
      </c>
      <c r="B5011" s="3">
        <f>IFERROR(__xludf.DUMMYFUNCTION("""COMPUTED_VALUE"""),12659.7)</f>
        <v>12659.7</v>
      </c>
      <c r="C5011" s="3">
        <f>IFERROR(__xludf.DUMMYFUNCTION("""COMPUTED_VALUE"""),12735.95)</f>
        <v>12735.95</v>
      </c>
      <c r="D5011" s="3">
        <f>IFERROR(__xludf.DUMMYFUNCTION("""COMPUTED_VALUE"""),12607.7)</f>
        <v>12607.7</v>
      </c>
      <c r="E5011" s="3">
        <f>IFERROR(__xludf.DUMMYFUNCTION("""COMPUTED_VALUE"""),12719.95)</f>
        <v>12719.95</v>
      </c>
      <c r="F5011" s="3">
        <f>IFERROR(__xludf.DUMMYFUNCTION("""COMPUTED_VALUE"""),0.0)</f>
        <v>0</v>
      </c>
    </row>
    <row r="5012">
      <c r="A5012" s="7">
        <f>IFERROR(__xludf.DUMMYFUNCTION("""COMPUTED_VALUE"""),44152.64583333333)</f>
        <v>44152.64583</v>
      </c>
      <c r="B5012" s="3">
        <f>IFERROR(__xludf.DUMMYFUNCTION("""COMPUTED_VALUE"""),12932.5)</f>
        <v>12932.5</v>
      </c>
      <c r="C5012" s="3">
        <f>IFERROR(__xludf.DUMMYFUNCTION("""COMPUTED_VALUE"""),12934.05)</f>
        <v>12934.05</v>
      </c>
      <c r="D5012" s="3">
        <f>IFERROR(__xludf.DUMMYFUNCTION("""COMPUTED_VALUE"""),12797.1)</f>
        <v>12797.1</v>
      </c>
      <c r="E5012" s="3">
        <f>IFERROR(__xludf.DUMMYFUNCTION("""COMPUTED_VALUE"""),12874.2)</f>
        <v>12874.2</v>
      </c>
      <c r="F5012" s="3">
        <f>IFERROR(__xludf.DUMMYFUNCTION("""COMPUTED_VALUE"""),0.0)</f>
        <v>0</v>
      </c>
    </row>
    <row r="5013">
      <c r="A5013" s="7">
        <f>IFERROR(__xludf.DUMMYFUNCTION("""COMPUTED_VALUE"""),44153.64583333333)</f>
        <v>44153.64583</v>
      </c>
      <c r="B5013" s="3">
        <f>IFERROR(__xludf.DUMMYFUNCTION("""COMPUTED_VALUE"""),12860.1)</f>
        <v>12860.1</v>
      </c>
      <c r="C5013" s="3">
        <f>IFERROR(__xludf.DUMMYFUNCTION("""COMPUTED_VALUE"""),12948.85)</f>
        <v>12948.85</v>
      </c>
      <c r="D5013" s="3">
        <f>IFERROR(__xludf.DUMMYFUNCTION("""COMPUTED_VALUE"""),12819.35)</f>
        <v>12819.35</v>
      </c>
      <c r="E5013" s="3">
        <f>IFERROR(__xludf.DUMMYFUNCTION("""COMPUTED_VALUE"""),12938.25)</f>
        <v>12938.25</v>
      </c>
      <c r="F5013" s="3">
        <f>IFERROR(__xludf.DUMMYFUNCTION("""COMPUTED_VALUE"""),0.0)</f>
        <v>0</v>
      </c>
    </row>
    <row r="5014">
      <c r="A5014" s="7">
        <f>IFERROR(__xludf.DUMMYFUNCTION("""COMPUTED_VALUE"""),44154.64583333333)</f>
        <v>44154.64583</v>
      </c>
      <c r="B5014" s="3">
        <f>IFERROR(__xludf.DUMMYFUNCTION("""COMPUTED_VALUE"""),12839.5)</f>
        <v>12839.5</v>
      </c>
      <c r="C5014" s="3">
        <f>IFERROR(__xludf.DUMMYFUNCTION("""COMPUTED_VALUE"""),12963.0)</f>
        <v>12963</v>
      </c>
      <c r="D5014" s="3">
        <f>IFERROR(__xludf.DUMMYFUNCTION("""COMPUTED_VALUE"""),12745.75)</f>
        <v>12745.75</v>
      </c>
      <c r="E5014" s="3">
        <f>IFERROR(__xludf.DUMMYFUNCTION("""COMPUTED_VALUE"""),12771.7)</f>
        <v>12771.7</v>
      </c>
      <c r="F5014" s="3">
        <f>IFERROR(__xludf.DUMMYFUNCTION("""COMPUTED_VALUE"""),0.0)</f>
        <v>0</v>
      </c>
    </row>
    <row r="5015">
      <c r="A5015" s="7">
        <f>IFERROR(__xludf.DUMMYFUNCTION("""COMPUTED_VALUE"""),44155.64583333333)</f>
        <v>44155.64583</v>
      </c>
      <c r="B5015" s="3">
        <f>IFERROR(__xludf.DUMMYFUNCTION("""COMPUTED_VALUE"""),12813.4)</f>
        <v>12813.4</v>
      </c>
      <c r="C5015" s="3">
        <f>IFERROR(__xludf.DUMMYFUNCTION("""COMPUTED_VALUE"""),12892.45)</f>
        <v>12892.45</v>
      </c>
      <c r="D5015" s="3">
        <f>IFERROR(__xludf.DUMMYFUNCTION("""COMPUTED_VALUE"""),12730.25)</f>
        <v>12730.25</v>
      </c>
      <c r="E5015" s="3">
        <f>IFERROR(__xludf.DUMMYFUNCTION("""COMPUTED_VALUE"""),12859.05)</f>
        <v>12859.05</v>
      </c>
      <c r="F5015" s="3">
        <f>IFERROR(__xludf.DUMMYFUNCTION("""COMPUTED_VALUE"""),0.0)</f>
        <v>0</v>
      </c>
    </row>
    <row r="5016">
      <c r="A5016" s="7">
        <f>IFERROR(__xludf.DUMMYFUNCTION("""COMPUTED_VALUE"""),44158.64583333333)</f>
        <v>44158.64583</v>
      </c>
      <c r="B5016" s="3">
        <f>IFERROR(__xludf.DUMMYFUNCTION("""COMPUTED_VALUE"""),12960.3)</f>
        <v>12960.3</v>
      </c>
      <c r="C5016" s="3">
        <f>IFERROR(__xludf.DUMMYFUNCTION("""COMPUTED_VALUE"""),12968.85)</f>
        <v>12968.85</v>
      </c>
      <c r="D5016" s="3">
        <f>IFERROR(__xludf.DUMMYFUNCTION("""COMPUTED_VALUE"""),12825.7)</f>
        <v>12825.7</v>
      </c>
      <c r="E5016" s="3">
        <f>IFERROR(__xludf.DUMMYFUNCTION("""COMPUTED_VALUE"""),12926.45)</f>
        <v>12926.45</v>
      </c>
      <c r="F5016" s="3">
        <f>IFERROR(__xludf.DUMMYFUNCTION("""COMPUTED_VALUE"""),0.0)</f>
        <v>0</v>
      </c>
    </row>
    <row r="5017">
      <c r="A5017" s="7">
        <f>IFERROR(__xludf.DUMMYFUNCTION("""COMPUTED_VALUE"""),44159.64583333333)</f>
        <v>44159.64583</v>
      </c>
      <c r="B5017" s="3">
        <f>IFERROR(__xludf.DUMMYFUNCTION("""COMPUTED_VALUE"""),13002.6)</f>
        <v>13002.6</v>
      </c>
      <c r="C5017" s="3">
        <f>IFERROR(__xludf.DUMMYFUNCTION("""COMPUTED_VALUE"""),13079.1)</f>
        <v>13079.1</v>
      </c>
      <c r="D5017" s="3">
        <f>IFERROR(__xludf.DUMMYFUNCTION("""COMPUTED_VALUE"""),12978.0)</f>
        <v>12978</v>
      </c>
      <c r="E5017" s="3">
        <f>IFERROR(__xludf.DUMMYFUNCTION("""COMPUTED_VALUE"""),13055.15)</f>
        <v>13055.15</v>
      </c>
      <c r="F5017" s="3">
        <f>IFERROR(__xludf.DUMMYFUNCTION("""COMPUTED_VALUE"""),0.0)</f>
        <v>0</v>
      </c>
    </row>
    <row r="5018">
      <c r="A5018" s="7">
        <f>IFERROR(__xludf.DUMMYFUNCTION("""COMPUTED_VALUE"""),44160.64583333333)</f>
        <v>44160.64583</v>
      </c>
      <c r="B5018" s="3">
        <f>IFERROR(__xludf.DUMMYFUNCTION("""COMPUTED_VALUE"""),13130.0)</f>
        <v>13130</v>
      </c>
      <c r="C5018" s="3">
        <f>IFERROR(__xludf.DUMMYFUNCTION("""COMPUTED_VALUE"""),13145.85)</f>
        <v>13145.85</v>
      </c>
      <c r="D5018" s="3">
        <f>IFERROR(__xludf.DUMMYFUNCTION("""COMPUTED_VALUE"""),12833.65)</f>
        <v>12833.65</v>
      </c>
      <c r="E5018" s="3">
        <f>IFERROR(__xludf.DUMMYFUNCTION("""COMPUTED_VALUE"""),12858.4)</f>
        <v>12858.4</v>
      </c>
      <c r="F5018" s="3">
        <f>IFERROR(__xludf.DUMMYFUNCTION("""COMPUTED_VALUE"""),0.0)</f>
        <v>0</v>
      </c>
    </row>
    <row r="5019">
      <c r="A5019" s="7">
        <f>IFERROR(__xludf.DUMMYFUNCTION("""COMPUTED_VALUE"""),44161.64583333333)</f>
        <v>44161.64583</v>
      </c>
      <c r="B5019" s="3">
        <f>IFERROR(__xludf.DUMMYFUNCTION("""COMPUTED_VALUE"""),12906.45)</f>
        <v>12906.45</v>
      </c>
      <c r="C5019" s="3">
        <f>IFERROR(__xludf.DUMMYFUNCTION("""COMPUTED_VALUE"""),13018.0)</f>
        <v>13018</v>
      </c>
      <c r="D5019" s="3">
        <f>IFERROR(__xludf.DUMMYFUNCTION("""COMPUTED_VALUE"""),12790.4)</f>
        <v>12790.4</v>
      </c>
      <c r="E5019" s="3">
        <f>IFERROR(__xludf.DUMMYFUNCTION("""COMPUTED_VALUE"""),12987.0)</f>
        <v>12987</v>
      </c>
      <c r="F5019" s="3">
        <f>IFERROR(__xludf.DUMMYFUNCTION("""COMPUTED_VALUE"""),0.0)</f>
        <v>0</v>
      </c>
    </row>
    <row r="5020">
      <c r="A5020" s="7">
        <f>IFERROR(__xludf.DUMMYFUNCTION("""COMPUTED_VALUE"""),44162.64583333333)</f>
        <v>44162.64583</v>
      </c>
      <c r="B5020" s="3">
        <f>IFERROR(__xludf.DUMMYFUNCTION("""COMPUTED_VALUE"""),13012.05)</f>
        <v>13012.05</v>
      </c>
      <c r="C5020" s="3">
        <f>IFERROR(__xludf.DUMMYFUNCTION("""COMPUTED_VALUE"""),13035.3)</f>
        <v>13035.3</v>
      </c>
      <c r="D5020" s="3">
        <f>IFERROR(__xludf.DUMMYFUNCTION("""COMPUTED_VALUE"""),12914.3)</f>
        <v>12914.3</v>
      </c>
      <c r="E5020" s="3">
        <f>IFERROR(__xludf.DUMMYFUNCTION("""COMPUTED_VALUE"""),12968.95)</f>
        <v>12968.95</v>
      </c>
      <c r="F5020" s="3">
        <f>IFERROR(__xludf.DUMMYFUNCTION("""COMPUTED_VALUE"""),0.0)</f>
        <v>0</v>
      </c>
    </row>
    <row r="5021">
      <c r="A5021" s="7">
        <f>IFERROR(__xludf.DUMMYFUNCTION("""COMPUTED_VALUE"""),44166.64583333333)</f>
        <v>44166.64583</v>
      </c>
      <c r="B5021" s="3">
        <f>IFERROR(__xludf.DUMMYFUNCTION("""COMPUTED_VALUE"""),13062.2)</f>
        <v>13062.2</v>
      </c>
      <c r="C5021" s="3">
        <f>IFERROR(__xludf.DUMMYFUNCTION("""COMPUTED_VALUE"""),13128.4)</f>
        <v>13128.4</v>
      </c>
      <c r="D5021" s="3">
        <f>IFERROR(__xludf.DUMMYFUNCTION("""COMPUTED_VALUE"""),12962.8)</f>
        <v>12962.8</v>
      </c>
      <c r="E5021" s="3">
        <f>IFERROR(__xludf.DUMMYFUNCTION("""COMPUTED_VALUE"""),13109.05)</f>
        <v>13109.05</v>
      </c>
      <c r="F5021" s="3">
        <f>IFERROR(__xludf.DUMMYFUNCTION("""COMPUTED_VALUE"""),0.0)</f>
        <v>0</v>
      </c>
    </row>
    <row r="5022">
      <c r="A5022" s="7">
        <f>IFERROR(__xludf.DUMMYFUNCTION("""COMPUTED_VALUE"""),44167.64583333333)</f>
        <v>44167.64583</v>
      </c>
      <c r="B5022" s="3">
        <f>IFERROR(__xludf.DUMMYFUNCTION("""COMPUTED_VALUE"""),13121.4)</f>
        <v>13121.4</v>
      </c>
      <c r="C5022" s="3">
        <f>IFERROR(__xludf.DUMMYFUNCTION("""COMPUTED_VALUE"""),13128.5)</f>
        <v>13128.5</v>
      </c>
      <c r="D5022" s="3">
        <f>IFERROR(__xludf.DUMMYFUNCTION("""COMPUTED_VALUE"""),12983.55)</f>
        <v>12983.55</v>
      </c>
      <c r="E5022" s="3">
        <f>IFERROR(__xludf.DUMMYFUNCTION("""COMPUTED_VALUE"""),13113.75)</f>
        <v>13113.75</v>
      </c>
      <c r="F5022" s="3">
        <f>IFERROR(__xludf.DUMMYFUNCTION("""COMPUTED_VALUE"""),0.0)</f>
        <v>0</v>
      </c>
    </row>
    <row r="5023">
      <c r="A5023" s="7">
        <f>IFERROR(__xludf.DUMMYFUNCTION("""COMPUTED_VALUE"""),44168.64583333333)</f>
        <v>44168.64583</v>
      </c>
      <c r="B5023" s="3">
        <f>IFERROR(__xludf.DUMMYFUNCTION("""COMPUTED_VALUE"""),13215.3)</f>
        <v>13215.3</v>
      </c>
      <c r="C5023" s="3">
        <f>IFERROR(__xludf.DUMMYFUNCTION("""COMPUTED_VALUE"""),13216.6)</f>
        <v>13216.6</v>
      </c>
      <c r="D5023" s="3">
        <f>IFERROR(__xludf.DUMMYFUNCTION("""COMPUTED_VALUE"""),13107.9)</f>
        <v>13107.9</v>
      </c>
      <c r="E5023" s="3">
        <f>IFERROR(__xludf.DUMMYFUNCTION("""COMPUTED_VALUE"""),13133.9)</f>
        <v>13133.9</v>
      </c>
      <c r="F5023" s="3">
        <f>IFERROR(__xludf.DUMMYFUNCTION("""COMPUTED_VALUE"""),0.0)</f>
        <v>0</v>
      </c>
    </row>
    <row r="5024">
      <c r="A5024" s="7">
        <f>IFERROR(__xludf.DUMMYFUNCTION("""COMPUTED_VALUE"""),44169.64583333333)</f>
        <v>44169.64583</v>
      </c>
      <c r="B5024" s="3">
        <f>IFERROR(__xludf.DUMMYFUNCTION("""COMPUTED_VALUE"""),13177.4)</f>
        <v>13177.4</v>
      </c>
      <c r="C5024" s="3">
        <f>IFERROR(__xludf.DUMMYFUNCTION("""COMPUTED_VALUE"""),13280.05)</f>
        <v>13280.05</v>
      </c>
      <c r="D5024" s="3">
        <f>IFERROR(__xludf.DUMMYFUNCTION("""COMPUTED_VALUE"""),13152.85)</f>
        <v>13152.85</v>
      </c>
      <c r="E5024" s="3">
        <f>IFERROR(__xludf.DUMMYFUNCTION("""COMPUTED_VALUE"""),13258.55)</f>
        <v>13258.55</v>
      </c>
      <c r="F5024" s="3">
        <f>IFERROR(__xludf.DUMMYFUNCTION("""COMPUTED_VALUE"""),0.0)</f>
        <v>0</v>
      </c>
    </row>
    <row r="5025">
      <c r="A5025" s="7">
        <f>IFERROR(__xludf.DUMMYFUNCTION("""COMPUTED_VALUE"""),44172.64583333333)</f>
        <v>44172.64583</v>
      </c>
      <c r="B5025" s="3">
        <f>IFERROR(__xludf.DUMMYFUNCTION("""COMPUTED_VALUE"""),13264.85)</f>
        <v>13264.85</v>
      </c>
      <c r="C5025" s="3">
        <f>IFERROR(__xludf.DUMMYFUNCTION("""COMPUTED_VALUE"""),13366.65)</f>
        <v>13366.65</v>
      </c>
      <c r="D5025" s="3">
        <f>IFERROR(__xludf.DUMMYFUNCTION("""COMPUTED_VALUE"""),13241.95)</f>
        <v>13241.95</v>
      </c>
      <c r="E5025" s="3">
        <f>IFERROR(__xludf.DUMMYFUNCTION("""COMPUTED_VALUE"""),13355.75)</f>
        <v>13355.75</v>
      </c>
      <c r="F5025" s="3">
        <f>IFERROR(__xludf.DUMMYFUNCTION("""COMPUTED_VALUE"""),0.0)</f>
        <v>0</v>
      </c>
    </row>
    <row r="5026">
      <c r="A5026" s="7">
        <f>IFERROR(__xludf.DUMMYFUNCTION("""COMPUTED_VALUE"""),44173.64583333333)</f>
        <v>44173.64583</v>
      </c>
      <c r="B5026" s="3">
        <f>IFERROR(__xludf.DUMMYFUNCTION("""COMPUTED_VALUE"""),13393.85)</f>
        <v>13393.85</v>
      </c>
      <c r="C5026" s="3">
        <f>IFERROR(__xludf.DUMMYFUNCTION("""COMPUTED_VALUE"""),13435.45)</f>
        <v>13435.45</v>
      </c>
      <c r="D5026" s="3">
        <f>IFERROR(__xludf.DUMMYFUNCTION("""COMPUTED_VALUE"""),13311.05)</f>
        <v>13311.05</v>
      </c>
      <c r="E5026" s="3">
        <f>IFERROR(__xludf.DUMMYFUNCTION("""COMPUTED_VALUE"""),13392.95)</f>
        <v>13392.95</v>
      </c>
      <c r="F5026" s="3">
        <f>IFERROR(__xludf.DUMMYFUNCTION("""COMPUTED_VALUE"""),0.0)</f>
        <v>0</v>
      </c>
    </row>
    <row r="5027">
      <c r="A5027" s="7">
        <f>IFERROR(__xludf.DUMMYFUNCTION("""COMPUTED_VALUE"""),44174.64583333333)</f>
        <v>44174.64583</v>
      </c>
      <c r="B5027" s="3">
        <f>IFERROR(__xludf.DUMMYFUNCTION("""COMPUTED_VALUE"""),13458.1)</f>
        <v>13458.1</v>
      </c>
      <c r="C5027" s="3">
        <f>IFERROR(__xludf.DUMMYFUNCTION("""COMPUTED_VALUE"""),13548.9)</f>
        <v>13548.9</v>
      </c>
      <c r="D5027" s="3">
        <f>IFERROR(__xludf.DUMMYFUNCTION("""COMPUTED_VALUE"""),13449.6)</f>
        <v>13449.6</v>
      </c>
      <c r="E5027" s="3">
        <f>IFERROR(__xludf.DUMMYFUNCTION("""COMPUTED_VALUE"""),13529.1)</f>
        <v>13529.1</v>
      </c>
      <c r="F5027" s="3">
        <f>IFERROR(__xludf.DUMMYFUNCTION("""COMPUTED_VALUE"""),0.0)</f>
        <v>0</v>
      </c>
    </row>
    <row r="5028">
      <c r="A5028" s="7">
        <f>IFERROR(__xludf.DUMMYFUNCTION("""COMPUTED_VALUE"""),44175.64583333333)</f>
        <v>44175.64583</v>
      </c>
      <c r="B5028" s="3">
        <f>IFERROR(__xludf.DUMMYFUNCTION("""COMPUTED_VALUE"""),13488.5)</f>
        <v>13488.5</v>
      </c>
      <c r="C5028" s="3">
        <f>IFERROR(__xludf.DUMMYFUNCTION("""COMPUTED_VALUE"""),13503.55)</f>
        <v>13503.55</v>
      </c>
      <c r="D5028" s="3">
        <f>IFERROR(__xludf.DUMMYFUNCTION("""COMPUTED_VALUE"""),13399.3)</f>
        <v>13399.3</v>
      </c>
      <c r="E5028" s="3">
        <f>IFERROR(__xludf.DUMMYFUNCTION("""COMPUTED_VALUE"""),13478.3)</f>
        <v>13478.3</v>
      </c>
      <c r="F5028" s="3">
        <f>IFERROR(__xludf.DUMMYFUNCTION("""COMPUTED_VALUE"""),0.0)</f>
        <v>0</v>
      </c>
    </row>
    <row r="5029">
      <c r="A5029" s="7">
        <f>IFERROR(__xludf.DUMMYFUNCTION("""COMPUTED_VALUE"""),44176.64583333333)</f>
        <v>44176.64583</v>
      </c>
      <c r="B5029" s="3">
        <f>IFERROR(__xludf.DUMMYFUNCTION("""COMPUTED_VALUE"""),13512.3)</f>
        <v>13512.3</v>
      </c>
      <c r="C5029" s="3">
        <f>IFERROR(__xludf.DUMMYFUNCTION("""COMPUTED_VALUE"""),13579.35)</f>
        <v>13579.35</v>
      </c>
      <c r="D5029" s="3">
        <f>IFERROR(__xludf.DUMMYFUNCTION("""COMPUTED_VALUE"""),13402.85)</f>
        <v>13402.85</v>
      </c>
      <c r="E5029" s="3">
        <f>IFERROR(__xludf.DUMMYFUNCTION("""COMPUTED_VALUE"""),13513.85)</f>
        <v>13513.85</v>
      </c>
      <c r="F5029" s="3">
        <f>IFERROR(__xludf.DUMMYFUNCTION("""COMPUTED_VALUE"""),0.0)</f>
        <v>0</v>
      </c>
    </row>
    <row r="5030">
      <c r="A5030" s="7">
        <f>IFERROR(__xludf.DUMMYFUNCTION("""COMPUTED_VALUE"""),44179.64583333333)</f>
        <v>44179.64583</v>
      </c>
      <c r="B5030" s="3">
        <f>IFERROR(__xludf.DUMMYFUNCTION("""COMPUTED_VALUE"""),13571.45)</f>
        <v>13571.45</v>
      </c>
      <c r="C5030" s="3">
        <f>IFERROR(__xludf.DUMMYFUNCTION("""COMPUTED_VALUE"""),13597.5)</f>
        <v>13597.5</v>
      </c>
      <c r="D5030" s="3">
        <f>IFERROR(__xludf.DUMMYFUNCTION("""COMPUTED_VALUE"""),13472.45)</f>
        <v>13472.45</v>
      </c>
      <c r="E5030" s="3">
        <f>IFERROR(__xludf.DUMMYFUNCTION("""COMPUTED_VALUE"""),13558.15)</f>
        <v>13558.15</v>
      </c>
      <c r="F5030" s="3">
        <f>IFERROR(__xludf.DUMMYFUNCTION("""COMPUTED_VALUE"""),0.0)</f>
        <v>0</v>
      </c>
    </row>
    <row r="5031">
      <c r="A5031" s="7">
        <f>IFERROR(__xludf.DUMMYFUNCTION("""COMPUTED_VALUE"""),44180.64583333333)</f>
        <v>44180.64583</v>
      </c>
      <c r="B5031" s="3">
        <f>IFERROR(__xludf.DUMMYFUNCTION("""COMPUTED_VALUE"""),13547.2)</f>
        <v>13547.2</v>
      </c>
      <c r="C5031" s="3">
        <f>IFERROR(__xludf.DUMMYFUNCTION("""COMPUTED_VALUE"""),13589.65)</f>
        <v>13589.65</v>
      </c>
      <c r="D5031" s="3">
        <f>IFERROR(__xludf.DUMMYFUNCTION("""COMPUTED_VALUE"""),13447.05)</f>
        <v>13447.05</v>
      </c>
      <c r="E5031" s="3">
        <f>IFERROR(__xludf.DUMMYFUNCTION("""COMPUTED_VALUE"""),13567.85)</f>
        <v>13567.85</v>
      </c>
      <c r="F5031" s="3">
        <f>IFERROR(__xludf.DUMMYFUNCTION("""COMPUTED_VALUE"""),0.0)</f>
        <v>0</v>
      </c>
    </row>
    <row r="5032">
      <c r="A5032" s="7">
        <f>IFERROR(__xludf.DUMMYFUNCTION("""COMPUTED_VALUE"""),44181.64583333333)</f>
        <v>44181.64583</v>
      </c>
      <c r="B5032" s="3">
        <f>IFERROR(__xludf.DUMMYFUNCTION("""COMPUTED_VALUE"""),13663.1)</f>
        <v>13663.1</v>
      </c>
      <c r="C5032" s="3">
        <f>IFERROR(__xludf.DUMMYFUNCTION("""COMPUTED_VALUE"""),13692.35)</f>
        <v>13692.35</v>
      </c>
      <c r="D5032" s="3">
        <f>IFERROR(__xludf.DUMMYFUNCTION("""COMPUTED_VALUE"""),13606.45)</f>
        <v>13606.45</v>
      </c>
      <c r="E5032" s="3">
        <f>IFERROR(__xludf.DUMMYFUNCTION("""COMPUTED_VALUE"""),13682.7)</f>
        <v>13682.7</v>
      </c>
      <c r="F5032" s="3">
        <f>IFERROR(__xludf.DUMMYFUNCTION("""COMPUTED_VALUE"""),0.0)</f>
        <v>0</v>
      </c>
    </row>
    <row r="5033">
      <c r="A5033" s="7">
        <f>IFERROR(__xludf.DUMMYFUNCTION("""COMPUTED_VALUE"""),44182.64583333333)</f>
        <v>44182.64583</v>
      </c>
      <c r="B5033" s="3">
        <f>IFERROR(__xludf.DUMMYFUNCTION("""COMPUTED_VALUE"""),13713.55)</f>
        <v>13713.55</v>
      </c>
      <c r="C5033" s="3">
        <f>IFERROR(__xludf.DUMMYFUNCTION("""COMPUTED_VALUE"""),13773.25)</f>
        <v>13773.25</v>
      </c>
      <c r="D5033" s="3">
        <f>IFERROR(__xludf.DUMMYFUNCTION("""COMPUTED_VALUE"""),13673.55)</f>
        <v>13673.55</v>
      </c>
      <c r="E5033" s="3">
        <f>IFERROR(__xludf.DUMMYFUNCTION("""COMPUTED_VALUE"""),13740.7)</f>
        <v>13740.7</v>
      </c>
      <c r="F5033" s="3">
        <f>IFERROR(__xludf.DUMMYFUNCTION("""COMPUTED_VALUE"""),0.0)</f>
        <v>0</v>
      </c>
    </row>
    <row r="5034">
      <c r="A5034" s="7">
        <f>IFERROR(__xludf.DUMMYFUNCTION("""COMPUTED_VALUE"""),44183.64583333333)</f>
        <v>44183.64583</v>
      </c>
      <c r="B5034" s="3">
        <f>IFERROR(__xludf.DUMMYFUNCTION("""COMPUTED_VALUE"""),13764.4)</f>
        <v>13764.4</v>
      </c>
      <c r="C5034" s="3">
        <f>IFERROR(__xludf.DUMMYFUNCTION("""COMPUTED_VALUE"""),13772.85)</f>
        <v>13772.85</v>
      </c>
      <c r="D5034" s="3">
        <f>IFERROR(__xludf.DUMMYFUNCTION("""COMPUTED_VALUE"""),13658.6)</f>
        <v>13658.6</v>
      </c>
      <c r="E5034" s="3">
        <f>IFERROR(__xludf.DUMMYFUNCTION("""COMPUTED_VALUE"""),13760.55)</f>
        <v>13760.55</v>
      </c>
      <c r="F5034" s="3">
        <f>IFERROR(__xludf.DUMMYFUNCTION("""COMPUTED_VALUE"""),0.0)</f>
        <v>0</v>
      </c>
    </row>
    <row r="5035">
      <c r="A5035" s="7">
        <f>IFERROR(__xludf.DUMMYFUNCTION("""COMPUTED_VALUE"""),44186.64583333333)</f>
        <v>44186.64583</v>
      </c>
      <c r="B5035" s="3">
        <f>IFERROR(__xludf.DUMMYFUNCTION("""COMPUTED_VALUE"""),13741.9)</f>
        <v>13741.9</v>
      </c>
      <c r="C5035" s="3">
        <f>IFERROR(__xludf.DUMMYFUNCTION("""COMPUTED_VALUE"""),13777.5)</f>
        <v>13777.5</v>
      </c>
      <c r="D5035" s="3">
        <f>IFERROR(__xludf.DUMMYFUNCTION("""COMPUTED_VALUE"""),13131.45)</f>
        <v>13131.45</v>
      </c>
      <c r="E5035" s="3">
        <f>IFERROR(__xludf.DUMMYFUNCTION("""COMPUTED_VALUE"""),13328.4)</f>
        <v>13328.4</v>
      </c>
      <c r="F5035" s="3">
        <f>IFERROR(__xludf.DUMMYFUNCTION("""COMPUTED_VALUE"""),0.0)</f>
        <v>0</v>
      </c>
    </row>
    <row r="5036">
      <c r="A5036" s="7">
        <f>IFERROR(__xludf.DUMMYFUNCTION("""COMPUTED_VALUE"""),44187.64583333333)</f>
        <v>44187.64583</v>
      </c>
      <c r="B5036" s="3">
        <f>IFERROR(__xludf.DUMMYFUNCTION("""COMPUTED_VALUE"""),13373.65)</f>
        <v>13373.65</v>
      </c>
      <c r="C5036" s="3">
        <f>IFERROR(__xludf.DUMMYFUNCTION("""COMPUTED_VALUE"""),13492.05)</f>
        <v>13492.05</v>
      </c>
      <c r="D5036" s="3">
        <f>IFERROR(__xludf.DUMMYFUNCTION("""COMPUTED_VALUE"""),13192.9)</f>
        <v>13192.9</v>
      </c>
      <c r="E5036" s="3">
        <f>IFERROR(__xludf.DUMMYFUNCTION("""COMPUTED_VALUE"""),13466.3)</f>
        <v>13466.3</v>
      </c>
      <c r="F5036" s="3">
        <f>IFERROR(__xludf.DUMMYFUNCTION("""COMPUTED_VALUE"""),0.0)</f>
        <v>0</v>
      </c>
    </row>
    <row r="5037">
      <c r="A5037" s="7">
        <f>IFERROR(__xludf.DUMMYFUNCTION("""COMPUTED_VALUE"""),44188.64583333333)</f>
        <v>44188.64583</v>
      </c>
      <c r="B5037" s="3">
        <f>IFERROR(__xludf.DUMMYFUNCTION("""COMPUTED_VALUE"""),13473.5)</f>
        <v>13473.5</v>
      </c>
      <c r="C5037" s="3">
        <f>IFERROR(__xludf.DUMMYFUNCTION("""COMPUTED_VALUE"""),13619.45)</f>
        <v>13619.45</v>
      </c>
      <c r="D5037" s="3">
        <f>IFERROR(__xludf.DUMMYFUNCTION("""COMPUTED_VALUE"""),13432.2)</f>
        <v>13432.2</v>
      </c>
      <c r="E5037" s="3">
        <f>IFERROR(__xludf.DUMMYFUNCTION("""COMPUTED_VALUE"""),13601.1)</f>
        <v>13601.1</v>
      </c>
      <c r="F5037" s="3">
        <f>IFERROR(__xludf.DUMMYFUNCTION("""COMPUTED_VALUE"""),0.0)</f>
        <v>0</v>
      </c>
    </row>
    <row r="5038">
      <c r="A5038" s="7">
        <f>IFERROR(__xludf.DUMMYFUNCTION("""COMPUTED_VALUE"""),44189.64583333333)</f>
        <v>44189.64583</v>
      </c>
      <c r="B5038" s="3">
        <f>IFERROR(__xludf.DUMMYFUNCTION("""COMPUTED_VALUE"""),13672.15)</f>
        <v>13672.15</v>
      </c>
      <c r="C5038" s="3">
        <f>IFERROR(__xludf.DUMMYFUNCTION("""COMPUTED_VALUE"""),13771.75)</f>
        <v>13771.75</v>
      </c>
      <c r="D5038" s="3">
        <f>IFERROR(__xludf.DUMMYFUNCTION("""COMPUTED_VALUE"""),13626.9)</f>
        <v>13626.9</v>
      </c>
      <c r="E5038" s="3">
        <f>IFERROR(__xludf.DUMMYFUNCTION("""COMPUTED_VALUE"""),13749.25)</f>
        <v>13749.25</v>
      </c>
      <c r="F5038" s="3">
        <f>IFERROR(__xludf.DUMMYFUNCTION("""COMPUTED_VALUE"""),0.0)</f>
        <v>0</v>
      </c>
    </row>
    <row r="5039">
      <c r="A5039" s="7">
        <f>IFERROR(__xludf.DUMMYFUNCTION("""COMPUTED_VALUE"""),44193.64583333333)</f>
        <v>44193.64583</v>
      </c>
      <c r="B5039" s="3">
        <f>IFERROR(__xludf.DUMMYFUNCTION("""COMPUTED_VALUE"""),13815.15)</f>
        <v>13815.15</v>
      </c>
      <c r="C5039" s="3">
        <f>IFERROR(__xludf.DUMMYFUNCTION("""COMPUTED_VALUE"""),13885.3)</f>
        <v>13885.3</v>
      </c>
      <c r="D5039" s="3">
        <f>IFERROR(__xludf.DUMMYFUNCTION("""COMPUTED_VALUE"""),13811.55)</f>
        <v>13811.55</v>
      </c>
      <c r="E5039" s="3">
        <f>IFERROR(__xludf.DUMMYFUNCTION("""COMPUTED_VALUE"""),13873.2)</f>
        <v>13873.2</v>
      </c>
      <c r="F5039" s="3">
        <f>IFERROR(__xludf.DUMMYFUNCTION("""COMPUTED_VALUE"""),0.0)</f>
        <v>0</v>
      </c>
    </row>
    <row r="5040">
      <c r="A5040" s="7">
        <f>IFERROR(__xludf.DUMMYFUNCTION("""COMPUTED_VALUE"""),44194.64583333333)</f>
        <v>44194.64583</v>
      </c>
      <c r="B5040" s="3">
        <f>IFERROR(__xludf.DUMMYFUNCTION("""COMPUTED_VALUE"""),13910.35)</f>
        <v>13910.35</v>
      </c>
      <c r="C5040" s="3">
        <f>IFERROR(__xludf.DUMMYFUNCTION("""COMPUTED_VALUE"""),13967.6)</f>
        <v>13967.6</v>
      </c>
      <c r="D5040" s="3">
        <f>IFERROR(__xludf.DUMMYFUNCTION("""COMPUTED_VALUE"""),13859.9)</f>
        <v>13859.9</v>
      </c>
      <c r="E5040" s="3">
        <f>IFERROR(__xludf.DUMMYFUNCTION("""COMPUTED_VALUE"""),13932.6)</f>
        <v>13932.6</v>
      </c>
      <c r="F5040" s="3">
        <f>IFERROR(__xludf.DUMMYFUNCTION("""COMPUTED_VALUE"""),0.0)</f>
        <v>0</v>
      </c>
    </row>
    <row r="5041">
      <c r="A5041" s="7">
        <f>IFERROR(__xludf.DUMMYFUNCTION("""COMPUTED_VALUE"""),44195.64583333333)</f>
        <v>44195.64583</v>
      </c>
      <c r="B5041" s="3">
        <f>IFERROR(__xludf.DUMMYFUNCTION("""COMPUTED_VALUE"""),13980.9)</f>
        <v>13980.9</v>
      </c>
      <c r="C5041" s="3">
        <f>IFERROR(__xludf.DUMMYFUNCTION("""COMPUTED_VALUE"""),13997.0)</f>
        <v>13997</v>
      </c>
      <c r="D5041" s="3">
        <f>IFERROR(__xludf.DUMMYFUNCTION("""COMPUTED_VALUE"""),13864.95)</f>
        <v>13864.95</v>
      </c>
      <c r="E5041" s="3">
        <f>IFERROR(__xludf.DUMMYFUNCTION("""COMPUTED_VALUE"""),13981.95)</f>
        <v>13981.95</v>
      </c>
      <c r="F5041" s="3">
        <f>IFERROR(__xludf.DUMMYFUNCTION("""COMPUTED_VALUE"""),0.0)</f>
        <v>0</v>
      </c>
    </row>
    <row r="5042">
      <c r="A5042" s="7">
        <f>IFERROR(__xludf.DUMMYFUNCTION("""COMPUTED_VALUE"""),44196.64583333333)</f>
        <v>44196.64583</v>
      </c>
      <c r="B5042" s="3">
        <f>IFERROR(__xludf.DUMMYFUNCTION("""COMPUTED_VALUE"""),13970.0)</f>
        <v>13970</v>
      </c>
      <c r="C5042" s="3">
        <f>IFERROR(__xludf.DUMMYFUNCTION("""COMPUTED_VALUE"""),14024.85)</f>
        <v>14024.85</v>
      </c>
      <c r="D5042" s="3">
        <f>IFERROR(__xludf.DUMMYFUNCTION("""COMPUTED_VALUE"""),13936.45)</f>
        <v>13936.45</v>
      </c>
      <c r="E5042" s="3">
        <f>IFERROR(__xludf.DUMMYFUNCTION("""COMPUTED_VALUE"""),13981.75)</f>
        <v>13981.75</v>
      </c>
      <c r="F5042" s="3">
        <f>IFERROR(__xludf.DUMMYFUNCTION("""COMPUTED_VALUE"""),0.0)</f>
        <v>0</v>
      </c>
    </row>
    <row r="5043">
      <c r="A5043" s="7">
        <f>IFERROR(__xludf.DUMMYFUNCTION("""COMPUTED_VALUE"""),44197.64583333333)</f>
        <v>44197.64583</v>
      </c>
      <c r="B5043" s="3">
        <f>IFERROR(__xludf.DUMMYFUNCTION("""COMPUTED_VALUE"""),13996.1)</f>
        <v>13996.1</v>
      </c>
      <c r="C5043" s="3">
        <f>IFERROR(__xludf.DUMMYFUNCTION("""COMPUTED_VALUE"""),14049.85)</f>
        <v>14049.85</v>
      </c>
      <c r="D5043" s="3">
        <f>IFERROR(__xludf.DUMMYFUNCTION("""COMPUTED_VALUE"""),13991.35)</f>
        <v>13991.35</v>
      </c>
      <c r="E5043" s="3">
        <f>IFERROR(__xludf.DUMMYFUNCTION("""COMPUTED_VALUE"""),14018.5)</f>
        <v>14018.5</v>
      </c>
      <c r="F5043" s="3">
        <f>IFERROR(__xludf.DUMMYFUNCTION("""COMPUTED_VALUE"""),0.0)</f>
        <v>0</v>
      </c>
    </row>
    <row r="5044">
      <c r="A5044" s="7">
        <f>IFERROR(__xludf.DUMMYFUNCTION("""COMPUTED_VALUE"""),44200.64583333333)</f>
        <v>44200.64583</v>
      </c>
      <c r="B5044" s="3">
        <f>IFERROR(__xludf.DUMMYFUNCTION("""COMPUTED_VALUE"""),14104.35)</f>
        <v>14104.35</v>
      </c>
      <c r="C5044" s="3">
        <f>IFERROR(__xludf.DUMMYFUNCTION("""COMPUTED_VALUE"""),14147.95)</f>
        <v>14147.95</v>
      </c>
      <c r="D5044" s="3">
        <f>IFERROR(__xludf.DUMMYFUNCTION("""COMPUTED_VALUE"""),13953.75)</f>
        <v>13953.75</v>
      </c>
      <c r="E5044" s="3">
        <f>IFERROR(__xludf.DUMMYFUNCTION("""COMPUTED_VALUE"""),14132.9)</f>
        <v>14132.9</v>
      </c>
      <c r="F5044" s="3">
        <f>IFERROR(__xludf.DUMMYFUNCTION("""COMPUTED_VALUE"""),0.0)</f>
        <v>0</v>
      </c>
    </row>
    <row r="5045">
      <c r="A5045" s="7">
        <f>IFERROR(__xludf.DUMMYFUNCTION("""COMPUTED_VALUE"""),44201.64583333333)</f>
        <v>44201.64583</v>
      </c>
      <c r="B5045" s="3">
        <f>IFERROR(__xludf.DUMMYFUNCTION("""COMPUTED_VALUE"""),14075.15)</f>
        <v>14075.15</v>
      </c>
      <c r="C5045" s="3">
        <f>IFERROR(__xludf.DUMMYFUNCTION("""COMPUTED_VALUE"""),14215.6)</f>
        <v>14215.6</v>
      </c>
      <c r="D5045" s="3">
        <f>IFERROR(__xludf.DUMMYFUNCTION("""COMPUTED_VALUE"""),14048.15)</f>
        <v>14048.15</v>
      </c>
      <c r="E5045" s="3">
        <f>IFERROR(__xludf.DUMMYFUNCTION("""COMPUTED_VALUE"""),14199.5)</f>
        <v>14199.5</v>
      </c>
      <c r="F5045" s="3">
        <f>IFERROR(__xludf.DUMMYFUNCTION("""COMPUTED_VALUE"""),0.0)</f>
        <v>0</v>
      </c>
    </row>
    <row r="5046">
      <c r="A5046" s="7">
        <f>IFERROR(__xludf.DUMMYFUNCTION("""COMPUTED_VALUE"""),44202.64583333333)</f>
        <v>44202.64583</v>
      </c>
      <c r="B5046" s="3">
        <f>IFERROR(__xludf.DUMMYFUNCTION("""COMPUTED_VALUE"""),14240.95)</f>
        <v>14240.95</v>
      </c>
      <c r="C5046" s="3">
        <f>IFERROR(__xludf.DUMMYFUNCTION("""COMPUTED_VALUE"""),14244.15)</f>
        <v>14244.15</v>
      </c>
      <c r="D5046" s="3">
        <f>IFERROR(__xludf.DUMMYFUNCTION("""COMPUTED_VALUE"""),14039.9)</f>
        <v>14039.9</v>
      </c>
      <c r="E5046" s="3">
        <f>IFERROR(__xludf.DUMMYFUNCTION("""COMPUTED_VALUE"""),14146.25)</f>
        <v>14146.25</v>
      </c>
      <c r="F5046" s="3">
        <f>IFERROR(__xludf.DUMMYFUNCTION("""COMPUTED_VALUE"""),0.0)</f>
        <v>0</v>
      </c>
    </row>
    <row r="5047">
      <c r="A5047" s="7">
        <f>IFERROR(__xludf.DUMMYFUNCTION("""COMPUTED_VALUE"""),44203.64583333333)</f>
        <v>44203.64583</v>
      </c>
      <c r="B5047" s="3">
        <f>IFERROR(__xludf.DUMMYFUNCTION("""COMPUTED_VALUE"""),14253.75)</f>
        <v>14253.75</v>
      </c>
      <c r="C5047" s="3">
        <f>IFERROR(__xludf.DUMMYFUNCTION("""COMPUTED_VALUE"""),14256.25)</f>
        <v>14256.25</v>
      </c>
      <c r="D5047" s="3">
        <f>IFERROR(__xludf.DUMMYFUNCTION("""COMPUTED_VALUE"""),14123.1)</f>
        <v>14123.1</v>
      </c>
      <c r="E5047" s="3">
        <f>IFERROR(__xludf.DUMMYFUNCTION("""COMPUTED_VALUE"""),14137.35)</f>
        <v>14137.35</v>
      </c>
      <c r="F5047" s="3">
        <f>IFERROR(__xludf.DUMMYFUNCTION("""COMPUTED_VALUE"""),0.0)</f>
        <v>0</v>
      </c>
    </row>
    <row r="5048">
      <c r="A5048" s="7">
        <f>IFERROR(__xludf.DUMMYFUNCTION("""COMPUTED_VALUE"""),44204.64583333333)</f>
        <v>44204.64583</v>
      </c>
      <c r="B5048" s="3">
        <f>IFERROR(__xludf.DUMMYFUNCTION("""COMPUTED_VALUE"""),14258.4)</f>
        <v>14258.4</v>
      </c>
      <c r="C5048" s="3">
        <f>IFERROR(__xludf.DUMMYFUNCTION("""COMPUTED_VALUE"""),14367.3)</f>
        <v>14367.3</v>
      </c>
      <c r="D5048" s="3">
        <f>IFERROR(__xludf.DUMMYFUNCTION("""COMPUTED_VALUE"""),14221.65)</f>
        <v>14221.65</v>
      </c>
      <c r="E5048" s="3">
        <f>IFERROR(__xludf.DUMMYFUNCTION("""COMPUTED_VALUE"""),14347.25)</f>
        <v>14347.25</v>
      </c>
      <c r="F5048" s="3">
        <f>IFERROR(__xludf.DUMMYFUNCTION("""COMPUTED_VALUE"""),0.0)</f>
        <v>0</v>
      </c>
    </row>
    <row r="5049">
      <c r="A5049" s="7">
        <f>IFERROR(__xludf.DUMMYFUNCTION("""COMPUTED_VALUE"""),44207.64583333333)</f>
        <v>44207.64583</v>
      </c>
      <c r="B5049" s="3">
        <f>IFERROR(__xludf.DUMMYFUNCTION("""COMPUTED_VALUE"""),14474.05)</f>
        <v>14474.05</v>
      </c>
      <c r="C5049" s="3">
        <f>IFERROR(__xludf.DUMMYFUNCTION("""COMPUTED_VALUE"""),14498.2)</f>
        <v>14498.2</v>
      </c>
      <c r="D5049" s="3">
        <f>IFERROR(__xludf.DUMMYFUNCTION("""COMPUTED_VALUE"""),14383.1)</f>
        <v>14383.1</v>
      </c>
      <c r="E5049" s="3">
        <f>IFERROR(__xludf.DUMMYFUNCTION("""COMPUTED_VALUE"""),14484.75)</f>
        <v>14484.75</v>
      </c>
      <c r="F5049" s="3">
        <f>IFERROR(__xludf.DUMMYFUNCTION("""COMPUTED_VALUE"""),0.0)</f>
        <v>0</v>
      </c>
    </row>
    <row r="5050">
      <c r="A5050" s="7">
        <f>IFERROR(__xludf.DUMMYFUNCTION("""COMPUTED_VALUE"""),44208.64583333333)</f>
        <v>44208.64583</v>
      </c>
      <c r="B5050" s="3">
        <f>IFERROR(__xludf.DUMMYFUNCTION("""COMPUTED_VALUE"""),14473.8)</f>
        <v>14473.8</v>
      </c>
      <c r="C5050" s="3">
        <f>IFERROR(__xludf.DUMMYFUNCTION("""COMPUTED_VALUE"""),14590.65)</f>
        <v>14590.65</v>
      </c>
      <c r="D5050" s="3">
        <f>IFERROR(__xludf.DUMMYFUNCTION("""COMPUTED_VALUE"""),14432.85)</f>
        <v>14432.85</v>
      </c>
      <c r="E5050" s="3">
        <f>IFERROR(__xludf.DUMMYFUNCTION("""COMPUTED_VALUE"""),14563.45)</f>
        <v>14563.45</v>
      </c>
      <c r="F5050" s="3">
        <f>IFERROR(__xludf.DUMMYFUNCTION("""COMPUTED_VALUE"""),0.0)</f>
        <v>0</v>
      </c>
    </row>
    <row r="5051">
      <c r="A5051" s="7">
        <f>IFERROR(__xludf.DUMMYFUNCTION("""COMPUTED_VALUE"""),44209.64583333333)</f>
        <v>44209.64583</v>
      </c>
      <c r="B5051" s="3">
        <f>IFERROR(__xludf.DUMMYFUNCTION("""COMPUTED_VALUE"""),14639.8)</f>
        <v>14639.8</v>
      </c>
      <c r="C5051" s="3">
        <f>IFERROR(__xludf.DUMMYFUNCTION("""COMPUTED_VALUE"""),14653.35)</f>
        <v>14653.35</v>
      </c>
      <c r="D5051" s="3">
        <f>IFERROR(__xludf.DUMMYFUNCTION("""COMPUTED_VALUE"""),14435.7)</f>
        <v>14435.7</v>
      </c>
      <c r="E5051" s="3">
        <f>IFERROR(__xludf.DUMMYFUNCTION("""COMPUTED_VALUE"""),14564.85)</f>
        <v>14564.85</v>
      </c>
      <c r="F5051" s="3">
        <f>IFERROR(__xludf.DUMMYFUNCTION("""COMPUTED_VALUE"""),0.0)</f>
        <v>0</v>
      </c>
    </row>
    <row r="5052">
      <c r="A5052" s="7">
        <f>IFERROR(__xludf.DUMMYFUNCTION("""COMPUTED_VALUE"""),44210.64583333333)</f>
        <v>44210.64583</v>
      </c>
      <c r="B5052" s="3">
        <f>IFERROR(__xludf.DUMMYFUNCTION("""COMPUTED_VALUE"""),14550.05)</f>
        <v>14550.05</v>
      </c>
      <c r="C5052" s="3">
        <f>IFERROR(__xludf.DUMMYFUNCTION("""COMPUTED_VALUE"""),14617.8)</f>
        <v>14617.8</v>
      </c>
      <c r="D5052" s="3">
        <f>IFERROR(__xludf.DUMMYFUNCTION("""COMPUTED_VALUE"""),14471.5)</f>
        <v>14471.5</v>
      </c>
      <c r="E5052" s="3">
        <f>IFERROR(__xludf.DUMMYFUNCTION("""COMPUTED_VALUE"""),14595.6)</f>
        <v>14595.6</v>
      </c>
      <c r="F5052" s="3">
        <f>IFERROR(__xludf.DUMMYFUNCTION("""COMPUTED_VALUE"""),0.0)</f>
        <v>0</v>
      </c>
    </row>
    <row r="5053">
      <c r="A5053" s="7">
        <f>IFERROR(__xludf.DUMMYFUNCTION("""COMPUTED_VALUE"""),44211.64583333333)</f>
        <v>44211.64583</v>
      </c>
      <c r="B5053" s="3">
        <f>IFERROR(__xludf.DUMMYFUNCTION("""COMPUTED_VALUE"""),14594.35)</f>
        <v>14594.35</v>
      </c>
      <c r="C5053" s="3">
        <f>IFERROR(__xludf.DUMMYFUNCTION("""COMPUTED_VALUE"""),14617.45)</f>
        <v>14617.45</v>
      </c>
      <c r="D5053" s="3">
        <f>IFERROR(__xludf.DUMMYFUNCTION("""COMPUTED_VALUE"""),14357.85)</f>
        <v>14357.85</v>
      </c>
      <c r="E5053" s="3">
        <f>IFERROR(__xludf.DUMMYFUNCTION("""COMPUTED_VALUE"""),14433.7)</f>
        <v>14433.7</v>
      </c>
      <c r="F5053" s="3">
        <f>IFERROR(__xludf.DUMMYFUNCTION("""COMPUTED_VALUE"""),0.0)</f>
        <v>0</v>
      </c>
    </row>
    <row r="5054">
      <c r="A5054" s="7">
        <f>IFERROR(__xludf.DUMMYFUNCTION("""COMPUTED_VALUE"""),44214.64583333333)</f>
        <v>44214.64583</v>
      </c>
      <c r="B5054" s="3">
        <f>IFERROR(__xludf.DUMMYFUNCTION("""COMPUTED_VALUE"""),14453.3)</f>
        <v>14453.3</v>
      </c>
      <c r="C5054" s="3">
        <f>IFERROR(__xludf.DUMMYFUNCTION("""COMPUTED_VALUE"""),14459.15)</f>
        <v>14459.15</v>
      </c>
      <c r="D5054" s="3">
        <f>IFERROR(__xludf.DUMMYFUNCTION("""COMPUTED_VALUE"""),14222.8)</f>
        <v>14222.8</v>
      </c>
      <c r="E5054" s="3">
        <f>IFERROR(__xludf.DUMMYFUNCTION("""COMPUTED_VALUE"""),14281.3)</f>
        <v>14281.3</v>
      </c>
      <c r="F5054" s="3">
        <f>IFERROR(__xludf.DUMMYFUNCTION("""COMPUTED_VALUE"""),0.0)</f>
        <v>0</v>
      </c>
    </row>
    <row r="5055">
      <c r="A5055" s="7">
        <f>IFERROR(__xludf.DUMMYFUNCTION("""COMPUTED_VALUE"""),44215.64583333333)</f>
        <v>44215.64583</v>
      </c>
      <c r="B5055" s="3">
        <f>IFERROR(__xludf.DUMMYFUNCTION("""COMPUTED_VALUE"""),14371.65)</f>
        <v>14371.65</v>
      </c>
      <c r="C5055" s="3">
        <f>IFERROR(__xludf.DUMMYFUNCTION("""COMPUTED_VALUE"""),14546.05)</f>
        <v>14546.05</v>
      </c>
      <c r="D5055" s="3">
        <f>IFERROR(__xludf.DUMMYFUNCTION("""COMPUTED_VALUE"""),14350.85)</f>
        <v>14350.85</v>
      </c>
      <c r="E5055" s="3">
        <f>IFERROR(__xludf.DUMMYFUNCTION("""COMPUTED_VALUE"""),14521.15)</f>
        <v>14521.15</v>
      </c>
      <c r="F5055" s="3">
        <f>IFERROR(__xludf.DUMMYFUNCTION("""COMPUTED_VALUE"""),0.0)</f>
        <v>0</v>
      </c>
    </row>
    <row r="5056">
      <c r="A5056" s="7">
        <f>IFERROR(__xludf.DUMMYFUNCTION("""COMPUTED_VALUE"""),44216.64583333333)</f>
        <v>44216.64583</v>
      </c>
      <c r="B5056" s="3">
        <f>IFERROR(__xludf.DUMMYFUNCTION("""COMPUTED_VALUE"""),14538.3)</f>
        <v>14538.3</v>
      </c>
      <c r="C5056" s="3">
        <f>IFERROR(__xludf.DUMMYFUNCTION("""COMPUTED_VALUE"""),14666.45)</f>
        <v>14666.45</v>
      </c>
      <c r="D5056" s="3">
        <f>IFERROR(__xludf.DUMMYFUNCTION("""COMPUTED_VALUE"""),14517.55)</f>
        <v>14517.55</v>
      </c>
      <c r="E5056" s="3">
        <f>IFERROR(__xludf.DUMMYFUNCTION("""COMPUTED_VALUE"""),14644.7)</f>
        <v>14644.7</v>
      </c>
      <c r="F5056" s="3">
        <f>IFERROR(__xludf.DUMMYFUNCTION("""COMPUTED_VALUE"""),0.0)</f>
        <v>0</v>
      </c>
    </row>
    <row r="5057">
      <c r="A5057" s="7">
        <f>IFERROR(__xludf.DUMMYFUNCTION("""COMPUTED_VALUE"""),44217.64583333333)</f>
        <v>44217.64583</v>
      </c>
      <c r="B5057" s="3">
        <f>IFERROR(__xludf.DUMMYFUNCTION("""COMPUTED_VALUE"""),14730.95)</f>
        <v>14730.95</v>
      </c>
      <c r="C5057" s="3">
        <f>IFERROR(__xludf.DUMMYFUNCTION("""COMPUTED_VALUE"""),14753.55)</f>
        <v>14753.55</v>
      </c>
      <c r="D5057" s="3">
        <f>IFERROR(__xludf.DUMMYFUNCTION("""COMPUTED_VALUE"""),14517.25)</f>
        <v>14517.25</v>
      </c>
      <c r="E5057" s="3">
        <f>IFERROR(__xludf.DUMMYFUNCTION("""COMPUTED_VALUE"""),14590.35)</f>
        <v>14590.35</v>
      </c>
      <c r="F5057" s="3">
        <f>IFERROR(__xludf.DUMMYFUNCTION("""COMPUTED_VALUE"""),0.0)</f>
        <v>0</v>
      </c>
    </row>
    <row r="5058">
      <c r="A5058" s="7">
        <f>IFERROR(__xludf.DUMMYFUNCTION("""COMPUTED_VALUE"""),44218.64583333333)</f>
        <v>44218.64583</v>
      </c>
      <c r="B5058" s="3">
        <f>IFERROR(__xludf.DUMMYFUNCTION("""COMPUTED_VALUE"""),14583.4)</f>
        <v>14583.4</v>
      </c>
      <c r="C5058" s="3">
        <f>IFERROR(__xludf.DUMMYFUNCTION("""COMPUTED_VALUE"""),14619.9)</f>
        <v>14619.9</v>
      </c>
      <c r="D5058" s="3">
        <f>IFERROR(__xludf.DUMMYFUNCTION("""COMPUTED_VALUE"""),14357.75)</f>
        <v>14357.75</v>
      </c>
      <c r="E5058" s="3">
        <f>IFERROR(__xludf.DUMMYFUNCTION("""COMPUTED_VALUE"""),14371.9)</f>
        <v>14371.9</v>
      </c>
      <c r="F5058" s="3">
        <f>IFERROR(__xludf.DUMMYFUNCTION("""COMPUTED_VALUE"""),0.0)</f>
        <v>0</v>
      </c>
    </row>
    <row r="5059">
      <c r="A5059" s="7">
        <f>IFERROR(__xludf.DUMMYFUNCTION("""COMPUTED_VALUE"""),44221.64583333333)</f>
        <v>44221.64583</v>
      </c>
      <c r="B5059" s="3">
        <f>IFERROR(__xludf.DUMMYFUNCTION("""COMPUTED_VALUE"""),14477.8)</f>
        <v>14477.8</v>
      </c>
      <c r="C5059" s="3">
        <f>IFERROR(__xludf.DUMMYFUNCTION("""COMPUTED_VALUE"""),14491.1)</f>
        <v>14491.1</v>
      </c>
      <c r="D5059" s="3">
        <f>IFERROR(__xludf.DUMMYFUNCTION("""COMPUTED_VALUE"""),14218.6)</f>
        <v>14218.6</v>
      </c>
      <c r="E5059" s="3">
        <f>IFERROR(__xludf.DUMMYFUNCTION("""COMPUTED_VALUE"""),14238.9)</f>
        <v>14238.9</v>
      </c>
      <c r="F5059" s="3">
        <f>IFERROR(__xludf.DUMMYFUNCTION("""COMPUTED_VALUE"""),0.0)</f>
        <v>0</v>
      </c>
    </row>
    <row r="5060">
      <c r="A5060" s="7"/>
    </row>
    <row r="5061">
      <c r="A5061" s="7"/>
    </row>
    <row r="5062">
      <c r="A5062" s="7"/>
    </row>
    <row r="5063">
      <c r="A5063" s="7"/>
    </row>
    <row r="5064">
      <c r="A5064" s="7"/>
    </row>
    <row r="5065">
      <c r="A5065" s="7"/>
    </row>
    <row r="5066">
      <c r="A5066" s="7"/>
    </row>
    <row r="5067">
      <c r="A5067" s="7"/>
    </row>
    <row r="5068">
      <c r="A5068" s="7"/>
    </row>
    <row r="5069">
      <c r="A5069" s="7"/>
    </row>
    <row r="5070">
      <c r="A5070" s="7"/>
    </row>
    <row r="5071">
      <c r="A5071" s="7"/>
    </row>
    <row r="5072">
      <c r="A5072" s="7"/>
    </row>
    <row r="5073">
      <c r="A5073" s="7"/>
    </row>
    <row r="5074">
      <c r="A5074" s="7"/>
    </row>
    <row r="5075">
      <c r="A5075" s="7"/>
    </row>
    <row r="5076">
      <c r="A5076" s="7"/>
    </row>
    <row r="5077">
      <c r="A5077" s="7"/>
    </row>
    <row r="5078">
      <c r="A5078" s="7"/>
    </row>
    <row r="5079">
      <c r="A5079" s="7"/>
    </row>
    <row r="5080">
      <c r="A5080" s="7"/>
    </row>
    <row r="5081">
      <c r="A5081" s="7"/>
    </row>
    <row r="5082">
      <c r="A5082" s="7"/>
    </row>
    <row r="5083">
      <c r="A5083" s="7"/>
    </row>
    <row r="5084">
      <c r="A5084" s="7"/>
    </row>
    <row r="5085">
      <c r="A5085" s="7"/>
    </row>
    <row r="5086">
      <c r="A5086" s="7"/>
    </row>
    <row r="5087">
      <c r="A5087" s="7"/>
    </row>
    <row r="5088">
      <c r="A5088" s="7"/>
    </row>
    <row r="5089">
      <c r="A5089" s="7"/>
    </row>
    <row r="5090">
      <c r="A5090" s="7"/>
    </row>
    <row r="5091">
      <c r="A5091" s="7"/>
    </row>
    <row r="5092">
      <c r="A5092" s="7"/>
    </row>
    <row r="5093">
      <c r="A5093" s="7"/>
    </row>
    <row r="5094">
      <c r="A5094" s="7"/>
    </row>
    <row r="5095">
      <c r="A5095" s="7"/>
    </row>
    <row r="5096">
      <c r="A5096" s="7"/>
    </row>
    <row r="5097">
      <c r="A5097" s="7"/>
    </row>
    <row r="5098">
      <c r="A5098" s="7"/>
    </row>
    <row r="5099">
      <c r="A5099" s="7"/>
    </row>
    <row r="5100">
      <c r="A5100" s="7"/>
    </row>
    <row r="5101">
      <c r="A5101" s="7"/>
    </row>
    <row r="5102">
      <c r="A5102" s="7"/>
    </row>
    <row r="5103">
      <c r="A5103" s="7"/>
    </row>
    <row r="5104">
      <c r="A5104" s="7"/>
    </row>
    <row r="5105">
      <c r="A5105" s="7"/>
    </row>
    <row r="5106">
      <c r="A5106" s="7"/>
    </row>
    <row r="5107">
      <c r="A5107" s="7"/>
    </row>
    <row r="5108">
      <c r="A5108" s="7"/>
    </row>
    <row r="5109">
      <c r="A5109" s="7"/>
    </row>
    <row r="5110">
      <c r="A5110" s="7"/>
    </row>
    <row r="5111">
      <c r="A5111" s="7"/>
    </row>
    <row r="5112">
      <c r="A5112" s="7"/>
    </row>
    <row r="5113">
      <c r="A5113" s="7"/>
    </row>
    <row r="5114">
      <c r="A5114" s="7"/>
    </row>
    <row r="5115">
      <c r="A5115" s="7"/>
    </row>
    <row r="5116">
      <c r="A5116" s="7"/>
    </row>
    <row r="5117">
      <c r="A5117" s="7"/>
    </row>
    <row r="5118">
      <c r="A5118" s="7"/>
    </row>
    <row r="5119">
      <c r="A5119" s="7"/>
    </row>
    <row r="5120">
      <c r="A5120" s="7"/>
    </row>
    <row r="5121">
      <c r="A5121" s="7"/>
    </row>
    <row r="5122">
      <c r="A5122" s="7"/>
    </row>
    <row r="5123">
      <c r="A5123" s="7"/>
    </row>
    <row r="5124">
      <c r="A5124" s="7"/>
    </row>
    <row r="5125">
      <c r="A5125" s="7"/>
    </row>
    <row r="5126">
      <c r="A5126" s="7"/>
    </row>
    <row r="5127">
      <c r="A5127" s="7"/>
    </row>
    <row r="5128">
      <c r="A5128" s="7"/>
    </row>
    <row r="5129">
      <c r="A5129" s="7"/>
    </row>
    <row r="5130">
      <c r="A5130" s="7"/>
    </row>
    <row r="5131">
      <c r="A5131" s="7"/>
    </row>
    <row r="5132">
      <c r="A5132" s="7"/>
    </row>
    <row r="5133">
      <c r="A5133" s="7"/>
    </row>
    <row r="5134">
      <c r="A5134" s="7"/>
    </row>
    <row r="5135">
      <c r="A5135" s="7"/>
    </row>
    <row r="5136">
      <c r="A5136" s="7"/>
    </row>
    <row r="5137">
      <c r="A5137" s="7"/>
    </row>
    <row r="5138">
      <c r="A5138" s="7"/>
    </row>
    <row r="5139">
      <c r="A5139" s="7"/>
    </row>
    <row r="5140">
      <c r="A5140" s="7"/>
    </row>
    <row r="5141">
      <c r="A5141" s="7"/>
    </row>
    <row r="5142">
      <c r="A5142" s="7"/>
    </row>
    <row r="5143">
      <c r="A5143" s="7"/>
    </row>
    <row r="5144">
      <c r="A5144" s="7"/>
    </row>
    <row r="5145">
      <c r="A5145" s="7"/>
    </row>
    <row r="5146">
      <c r="A5146" s="7"/>
    </row>
    <row r="5147">
      <c r="A5147" s="7"/>
    </row>
    <row r="5148">
      <c r="A5148" s="7"/>
    </row>
    <row r="5149">
      <c r="A5149" s="7"/>
    </row>
    <row r="5150">
      <c r="A5150" s="7"/>
    </row>
    <row r="5151">
      <c r="A5151" s="7"/>
    </row>
    <row r="5152">
      <c r="A5152" s="7"/>
    </row>
    <row r="5153">
      <c r="A5153" s="7"/>
    </row>
    <row r="5154">
      <c r="A5154" s="7"/>
    </row>
    <row r="5155">
      <c r="A5155" s="7"/>
    </row>
    <row r="5156">
      <c r="A5156" s="7"/>
    </row>
    <row r="5157">
      <c r="A5157" s="7"/>
    </row>
    <row r="5158">
      <c r="A5158" s="7"/>
    </row>
    <row r="5159">
      <c r="A5159" s="7"/>
    </row>
    <row r="5160">
      <c r="A5160" s="7"/>
    </row>
    <row r="5161">
      <c r="A5161" s="7"/>
    </row>
    <row r="5162">
      <c r="A5162" s="7"/>
    </row>
    <row r="5163">
      <c r="A5163" s="7"/>
    </row>
    <row r="5164">
      <c r="A5164" s="7"/>
    </row>
    <row r="5165">
      <c r="A5165" s="7"/>
    </row>
    <row r="5166">
      <c r="A5166" s="7"/>
    </row>
    <row r="5167">
      <c r="A5167" s="7"/>
    </row>
    <row r="5168">
      <c r="A5168" s="7"/>
    </row>
    <row r="5169">
      <c r="A5169" s="7"/>
    </row>
    <row r="5170">
      <c r="A5170" s="7"/>
    </row>
    <row r="5171">
      <c r="A5171" s="7"/>
    </row>
    <row r="5172">
      <c r="A5172" s="7"/>
    </row>
    <row r="5173">
      <c r="A5173" s="7"/>
    </row>
    <row r="5174">
      <c r="A5174" s="7"/>
    </row>
    <row r="5175">
      <c r="A5175" s="7"/>
    </row>
    <row r="5176">
      <c r="A5176" s="7"/>
    </row>
    <row r="5177">
      <c r="A5177" s="7"/>
    </row>
    <row r="5178">
      <c r="A5178" s="7"/>
    </row>
    <row r="5179">
      <c r="A5179" s="7"/>
    </row>
    <row r="5180">
      <c r="A5180" s="7"/>
    </row>
    <row r="5181">
      <c r="A5181" s="7"/>
    </row>
    <row r="5182">
      <c r="A5182" s="7"/>
    </row>
    <row r="5183">
      <c r="A5183" s="7"/>
    </row>
    <row r="5184">
      <c r="A5184" s="7"/>
    </row>
    <row r="5185">
      <c r="A5185" s="7"/>
    </row>
    <row r="5186">
      <c r="A5186" s="7"/>
    </row>
    <row r="5187">
      <c r="A5187" s="7"/>
    </row>
    <row r="5188">
      <c r="A5188" s="7"/>
    </row>
    <row r="5189">
      <c r="A5189" s="7"/>
    </row>
    <row r="5190">
      <c r="A5190" s="7"/>
    </row>
    <row r="5191">
      <c r="A5191" s="7"/>
    </row>
    <row r="5192">
      <c r="A5192" s="7"/>
    </row>
    <row r="5193">
      <c r="A5193" s="7"/>
    </row>
    <row r="5194">
      <c r="A5194" s="7"/>
    </row>
    <row r="5195">
      <c r="A5195" s="7"/>
    </row>
    <row r="5196">
      <c r="A5196" s="7"/>
    </row>
    <row r="5197">
      <c r="A5197" s="7"/>
    </row>
    <row r="5198">
      <c r="A5198" s="7"/>
    </row>
    <row r="5199">
      <c r="A5199" s="7"/>
    </row>
    <row r="5200">
      <c r="A5200" s="7"/>
    </row>
    <row r="5201">
      <c r="A5201" s="7"/>
    </row>
    <row r="5202">
      <c r="A5202" s="7"/>
    </row>
    <row r="5203">
      <c r="A5203" s="7"/>
    </row>
    <row r="5204">
      <c r="A5204" s="7"/>
    </row>
    <row r="5205">
      <c r="A5205" s="7"/>
    </row>
    <row r="5206">
      <c r="A5206" s="7"/>
    </row>
    <row r="5207">
      <c r="A5207" s="7"/>
    </row>
    <row r="5208">
      <c r="A5208" s="7"/>
    </row>
    <row r="5209">
      <c r="A5209" s="7"/>
    </row>
    <row r="5210">
      <c r="A5210" s="7"/>
    </row>
    <row r="5211">
      <c r="A5211" s="7"/>
    </row>
    <row r="5212">
      <c r="A5212" s="7"/>
    </row>
    <row r="5213">
      <c r="A5213" s="7"/>
    </row>
    <row r="5214">
      <c r="A5214" s="7"/>
    </row>
    <row r="5215">
      <c r="A5215" s="7"/>
    </row>
    <row r="5216">
      <c r="A5216" s="7"/>
    </row>
    <row r="5217">
      <c r="A5217" s="7"/>
    </row>
    <row r="5218">
      <c r="A5218" s="7"/>
    </row>
    <row r="5219">
      <c r="A5219" s="7"/>
    </row>
    <row r="5220">
      <c r="A5220" s="7"/>
    </row>
    <row r="5221">
      <c r="A5221" s="7"/>
    </row>
    <row r="5222">
      <c r="A5222" s="7"/>
    </row>
    <row r="5223">
      <c r="A5223" s="7"/>
    </row>
    <row r="5224">
      <c r="A5224" s="7"/>
    </row>
    <row r="5225">
      <c r="A5225" s="7"/>
    </row>
    <row r="5226">
      <c r="A5226" s="7"/>
    </row>
    <row r="5227">
      <c r="A5227" s="7"/>
    </row>
    <row r="5228">
      <c r="A5228" s="7"/>
    </row>
    <row r="5229">
      <c r="A5229" s="7"/>
    </row>
    <row r="5230">
      <c r="A5230" s="7"/>
    </row>
    <row r="5231">
      <c r="A5231" s="7"/>
    </row>
    <row r="5232">
      <c r="A5232" s="7"/>
    </row>
    <row r="5233">
      <c r="A5233" s="7"/>
    </row>
    <row r="5234">
      <c r="A5234" s="7"/>
    </row>
    <row r="5235">
      <c r="A5235" s="7"/>
    </row>
    <row r="5236">
      <c r="A5236" s="7"/>
    </row>
    <row r="5237">
      <c r="A5237" s="7"/>
    </row>
    <row r="5238">
      <c r="A5238" s="7"/>
    </row>
    <row r="5239">
      <c r="A5239" s="7"/>
    </row>
    <row r="5240">
      <c r="A5240" s="7"/>
    </row>
    <row r="5241">
      <c r="A5241" s="7"/>
    </row>
    <row r="5242">
      <c r="A5242" s="7"/>
    </row>
    <row r="5243">
      <c r="A5243" s="7"/>
    </row>
    <row r="5244">
      <c r="A5244" s="7"/>
    </row>
    <row r="5245">
      <c r="A5245" s="7"/>
    </row>
    <row r="5246">
      <c r="A5246" s="7"/>
    </row>
    <row r="5247">
      <c r="A5247" s="7"/>
    </row>
    <row r="5248">
      <c r="A5248" s="7"/>
    </row>
    <row r="5249">
      <c r="A5249" s="7"/>
    </row>
    <row r="5250">
      <c r="A5250" s="7"/>
    </row>
    <row r="5251">
      <c r="A5251" s="7"/>
    </row>
    <row r="5252">
      <c r="A5252" s="7"/>
    </row>
    <row r="5253">
      <c r="A5253" s="7"/>
    </row>
    <row r="5254">
      <c r="A5254" s="7"/>
    </row>
    <row r="5255">
      <c r="A5255" s="7"/>
    </row>
    <row r="5256">
      <c r="A5256" s="7"/>
    </row>
    <row r="5257">
      <c r="A5257" s="7"/>
    </row>
    <row r="5258">
      <c r="A5258" s="7"/>
    </row>
    <row r="5259">
      <c r="A5259" s="7"/>
    </row>
    <row r="5260">
      <c r="A5260" s="7"/>
    </row>
    <row r="5261">
      <c r="A5261" s="7"/>
    </row>
    <row r="5262">
      <c r="A5262" s="7"/>
    </row>
    <row r="5263">
      <c r="A5263" s="7"/>
    </row>
    <row r="5264">
      <c r="A5264" s="7"/>
    </row>
    <row r="5265">
      <c r="A5265" s="7"/>
    </row>
    <row r="5266">
      <c r="A5266" s="7"/>
    </row>
    <row r="5267">
      <c r="A5267" s="7"/>
    </row>
    <row r="5268">
      <c r="A5268" s="7"/>
    </row>
    <row r="5269">
      <c r="A5269" s="7"/>
    </row>
    <row r="5270">
      <c r="A5270" s="7"/>
    </row>
    <row r="5271">
      <c r="A5271" s="7"/>
    </row>
    <row r="5272">
      <c r="A5272" s="7"/>
    </row>
    <row r="5273">
      <c r="A5273" s="7"/>
    </row>
    <row r="5274">
      <c r="A5274" s="7"/>
    </row>
    <row r="5275">
      <c r="A5275" s="7"/>
    </row>
    <row r="5276">
      <c r="A5276" s="7"/>
    </row>
    <row r="5277">
      <c r="A5277" s="7"/>
    </row>
    <row r="5278">
      <c r="A5278" s="7"/>
    </row>
    <row r="5279">
      <c r="A5279" s="7"/>
    </row>
    <row r="5280">
      <c r="A5280" s="7"/>
    </row>
    <row r="5281">
      <c r="A5281" s="7"/>
    </row>
    <row r="5282">
      <c r="A5282" s="7"/>
    </row>
    <row r="5283">
      <c r="A5283" s="7"/>
    </row>
    <row r="5284">
      <c r="A5284" s="7"/>
    </row>
    <row r="5285">
      <c r="A5285" s="7"/>
    </row>
    <row r="5286">
      <c r="A5286" s="7"/>
    </row>
    <row r="5287">
      <c r="A5287" s="7"/>
    </row>
    <row r="5288">
      <c r="A5288" s="7"/>
    </row>
    <row r="5289">
      <c r="A5289" s="7"/>
    </row>
    <row r="5290">
      <c r="A5290" s="7"/>
    </row>
    <row r="5291">
      <c r="A5291" s="7"/>
    </row>
    <row r="5292">
      <c r="A5292" s="7"/>
    </row>
    <row r="5293">
      <c r="A5293" s="7"/>
    </row>
    <row r="5294">
      <c r="A5294" s="7"/>
    </row>
    <row r="5295">
      <c r="A5295" s="7"/>
    </row>
    <row r="5296">
      <c r="A5296" s="7"/>
    </row>
    <row r="5297">
      <c r="A5297" s="7"/>
    </row>
    <row r="5298">
      <c r="A5298" s="7"/>
    </row>
    <row r="5299">
      <c r="A5299" s="7"/>
    </row>
    <row r="5300">
      <c r="A5300" s="7"/>
    </row>
    <row r="5301">
      <c r="A5301" s="7"/>
    </row>
    <row r="5302">
      <c r="A5302" s="7"/>
    </row>
    <row r="5303">
      <c r="A5303" s="7"/>
    </row>
    <row r="5304">
      <c r="A5304" s="7"/>
    </row>
    <row r="5305">
      <c r="A5305" s="7"/>
    </row>
    <row r="5306">
      <c r="A5306" s="7"/>
    </row>
    <row r="5307">
      <c r="A5307" s="7"/>
    </row>
    <row r="5308">
      <c r="A5308" s="7"/>
    </row>
    <row r="5309">
      <c r="A5309" s="7"/>
    </row>
    <row r="5310">
      <c r="A5310" s="7"/>
    </row>
    <row r="5311">
      <c r="A5311" s="7"/>
    </row>
    <row r="5312">
      <c r="A5312" s="7"/>
    </row>
    <row r="5313">
      <c r="A5313" s="7"/>
    </row>
    <row r="5314">
      <c r="A5314" s="7"/>
    </row>
    <row r="5315">
      <c r="A5315" s="7"/>
    </row>
    <row r="5316">
      <c r="A5316" s="7"/>
    </row>
    <row r="5317">
      <c r="A5317" s="7"/>
    </row>
    <row r="5318">
      <c r="A5318" s="7"/>
    </row>
    <row r="5319">
      <c r="A5319" s="7"/>
    </row>
    <row r="5320">
      <c r="A5320" s="7"/>
    </row>
    <row r="5321">
      <c r="A5321" s="7"/>
    </row>
    <row r="5322">
      <c r="A5322" s="7"/>
    </row>
    <row r="5323">
      <c r="A5323" s="7"/>
    </row>
    <row r="5324">
      <c r="A5324" s="7"/>
    </row>
    <row r="5325">
      <c r="A5325" s="7"/>
    </row>
    <row r="5326">
      <c r="A5326" s="7"/>
    </row>
    <row r="5327">
      <c r="A5327" s="7"/>
    </row>
    <row r="5328">
      <c r="A5328" s="7"/>
    </row>
    <row r="5329">
      <c r="A5329" s="7"/>
    </row>
    <row r="5330">
      <c r="A5330" s="7"/>
    </row>
    <row r="5331">
      <c r="A5331" s="7"/>
    </row>
    <row r="5332">
      <c r="A5332" s="7"/>
    </row>
    <row r="5333">
      <c r="A5333" s="7"/>
    </row>
    <row r="5334">
      <c r="A5334" s="7"/>
    </row>
    <row r="5335">
      <c r="A5335" s="7"/>
    </row>
    <row r="5336">
      <c r="A5336" s="7"/>
    </row>
    <row r="5337">
      <c r="A5337" s="7"/>
    </row>
    <row r="5338">
      <c r="A5338" s="7"/>
    </row>
    <row r="5339">
      <c r="A5339" s="7"/>
    </row>
    <row r="5340">
      <c r="A5340" s="7"/>
    </row>
    <row r="5341">
      <c r="A5341" s="7"/>
    </row>
    <row r="5342">
      <c r="A5342" s="7"/>
    </row>
    <row r="5343">
      <c r="A5343" s="7"/>
    </row>
    <row r="5344">
      <c r="A5344" s="7"/>
    </row>
    <row r="5345">
      <c r="A5345" s="7"/>
    </row>
    <row r="5346">
      <c r="A5346" s="7"/>
    </row>
    <row r="5347">
      <c r="A5347" s="7"/>
    </row>
    <row r="5348">
      <c r="A5348" s="7"/>
    </row>
    <row r="5349">
      <c r="A5349" s="7"/>
    </row>
    <row r="5350">
      <c r="A5350" s="7"/>
    </row>
    <row r="5351">
      <c r="A5351" s="7"/>
    </row>
    <row r="5352">
      <c r="A5352" s="7"/>
    </row>
    <row r="5353">
      <c r="A5353" s="7"/>
    </row>
    <row r="5354">
      <c r="A5354" s="7"/>
    </row>
    <row r="5355">
      <c r="A5355" s="7"/>
    </row>
    <row r="5356">
      <c r="A5356" s="7"/>
    </row>
    <row r="5357">
      <c r="A5357" s="7"/>
    </row>
    <row r="5358">
      <c r="A5358" s="7"/>
    </row>
    <row r="5359">
      <c r="A5359" s="7"/>
    </row>
    <row r="5360">
      <c r="A5360" s="7"/>
    </row>
    <row r="5361">
      <c r="A5361" s="7"/>
    </row>
    <row r="5362">
      <c r="A5362" s="7"/>
    </row>
    <row r="5363">
      <c r="A5363" s="7"/>
    </row>
    <row r="5364">
      <c r="A5364" s="7"/>
    </row>
    <row r="5365">
      <c r="A5365" s="7"/>
    </row>
    <row r="5366">
      <c r="A5366" s="7"/>
    </row>
    <row r="5367">
      <c r="A5367" s="7"/>
    </row>
    <row r="5368">
      <c r="A5368" s="7"/>
    </row>
    <row r="5369">
      <c r="A5369" s="7"/>
    </row>
    <row r="5370">
      <c r="A5370" s="7"/>
    </row>
    <row r="5371">
      <c r="A5371" s="7"/>
    </row>
    <row r="5372">
      <c r="A5372" s="7"/>
    </row>
    <row r="5373">
      <c r="A5373" s="7"/>
    </row>
    <row r="5374">
      <c r="A5374" s="7"/>
    </row>
    <row r="5375">
      <c r="A5375" s="7"/>
    </row>
    <row r="5376">
      <c r="A5376" s="7"/>
    </row>
    <row r="5377">
      <c r="A5377" s="7"/>
    </row>
    <row r="5378">
      <c r="A5378" s="7"/>
    </row>
    <row r="5379">
      <c r="A5379" s="7"/>
    </row>
    <row r="5380">
      <c r="A5380" s="7"/>
    </row>
    <row r="5381">
      <c r="A5381" s="7"/>
    </row>
    <row r="5382">
      <c r="A5382" s="7"/>
    </row>
    <row r="5383">
      <c r="A5383" s="7"/>
    </row>
    <row r="5384">
      <c r="A5384" s="7"/>
    </row>
    <row r="5385">
      <c r="A5385" s="7"/>
    </row>
    <row r="5386">
      <c r="A5386" s="7"/>
    </row>
    <row r="5387">
      <c r="A5387" s="7"/>
    </row>
    <row r="5388">
      <c r="A5388" s="7"/>
    </row>
    <row r="5389">
      <c r="A5389" s="7"/>
    </row>
    <row r="5390">
      <c r="A5390" s="7"/>
    </row>
    <row r="5391">
      <c r="A5391" s="7"/>
    </row>
    <row r="5392">
      <c r="A5392" s="7"/>
    </row>
    <row r="5393">
      <c r="A5393" s="7"/>
    </row>
    <row r="5394">
      <c r="A5394" s="7"/>
    </row>
    <row r="5395">
      <c r="A5395" s="7"/>
    </row>
    <row r="5396">
      <c r="A5396" s="7"/>
    </row>
    <row r="5397">
      <c r="A5397" s="7"/>
    </row>
    <row r="5398">
      <c r="A5398" s="7"/>
    </row>
    <row r="5399">
      <c r="A5399" s="7"/>
    </row>
    <row r="5400">
      <c r="A5400" s="7"/>
    </row>
    <row r="5401">
      <c r="A5401" s="7"/>
    </row>
    <row r="5402">
      <c r="A5402" s="7"/>
    </row>
    <row r="5403">
      <c r="A5403" s="7"/>
    </row>
    <row r="5404">
      <c r="A5404" s="7"/>
    </row>
    <row r="5405">
      <c r="A5405" s="7"/>
    </row>
    <row r="5406">
      <c r="A5406" s="7"/>
    </row>
    <row r="5407">
      <c r="A5407" s="7"/>
    </row>
    <row r="5408">
      <c r="A5408" s="7"/>
    </row>
    <row r="5409">
      <c r="A5409" s="7"/>
    </row>
    <row r="5410">
      <c r="A5410" s="7"/>
    </row>
    <row r="5411">
      <c r="A5411" s="7"/>
    </row>
    <row r="5412">
      <c r="A5412" s="7"/>
    </row>
    <row r="5413">
      <c r="A5413" s="7"/>
    </row>
    <row r="5414">
      <c r="A5414" s="7"/>
    </row>
    <row r="5415">
      <c r="A5415" s="7"/>
    </row>
    <row r="5416">
      <c r="A5416" s="7"/>
    </row>
    <row r="5417">
      <c r="A5417" s="7"/>
    </row>
    <row r="5418">
      <c r="A5418" s="7"/>
    </row>
    <row r="5419">
      <c r="A5419" s="7"/>
    </row>
    <row r="5420">
      <c r="A5420" s="7"/>
    </row>
    <row r="5421">
      <c r="A5421" s="7"/>
    </row>
    <row r="5422">
      <c r="A5422" s="7"/>
    </row>
    <row r="5423">
      <c r="A5423" s="7"/>
    </row>
    <row r="5424">
      <c r="A5424" s="7"/>
    </row>
    <row r="5425">
      <c r="A5425" s="7"/>
    </row>
    <row r="5426">
      <c r="A5426" s="7"/>
    </row>
    <row r="5427">
      <c r="A5427" s="7"/>
    </row>
    <row r="5428">
      <c r="A5428" s="7"/>
    </row>
    <row r="5429">
      <c r="A5429" s="7"/>
    </row>
    <row r="5430">
      <c r="A5430" s="7"/>
    </row>
    <row r="5431">
      <c r="A5431" s="7"/>
    </row>
    <row r="5432">
      <c r="A5432" s="7"/>
    </row>
    <row r="5433">
      <c r="A5433" s="7"/>
    </row>
    <row r="5434">
      <c r="A5434" s="7"/>
    </row>
    <row r="5435">
      <c r="A5435" s="7"/>
    </row>
    <row r="5436">
      <c r="A5436" s="7"/>
    </row>
    <row r="5437">
      <c r="A5437" s="7"/>
    </row>
    <row r="5438">
      <c r="A5438" s="7"/>
    </row>
    <row r="5439">
      <c r="A5439" s="7"/>
    </row>
    <row r="5440">
      <c r="A5440" s="7"/>
    </row>
    <row r="5441">
      <c r="A5441" s="7"/>
    </row>
    <row r="5442">
      <c r="A5442" s="7"/>
    </row>
    <row r="5443">
      <c r="A5443" s="7"/>
    </row>
    <row r="5444">
      <c r="A5444" s="7"/>
    </row>
    <row r="5445">
      <c r="A5445" s="7"/>
    </row>
    <row r="5446">
      <c r="A5446" s="7"/>
    </row>
    <row r="5447">
      <c r="A5447" s="7"/>
    </row>
    <row r="5448">
      <c r="A5448" s="7"/>
    </row>
    <row r="5449">
      <c r="A5449" s="7"/>
    </row>
    <row r="5450">
      <c r="A5450" s="7"/>
    </row>
    <row r="5451">
      <c r="A5451" s="7"/>
    </row>
    <row r="5452">
      <c r="A5452" s="7"/>
    </row>
    <row r="5453">
      <c r="A5453" s="7"/>
    </row>
    <row r="5454">
      <c r="A5454" s="7"/>
    </row>
    <row r="5455">
      <c r="A5455" s="7"/>
    </row>
    <row r="5456">
      <c r="A5456" s="7"/>
    </row>
    <row r="5457">
      <c r="A5457" s="7"/>
    </row>
    <row r="5458">
      <c r="A5458" s="7"/>
    </row>
    <row r="5459">
      <c r="A5459" s="7"/>
    </row>
    <row r="5460">
      <c r="A5460" s="7"/>
    </row>
    <row r="5461">
      <c r="A5461" s="7"/>
    </row>
    <row r="5462">
      <c r="A5462" s="7"/>
    </row>
    <row r="5463">
      <c r="A5463" s="7"/>
    </row>
    <row r="5464">
      <c r="A5464" s="7"/>
    </row>
    <row r="5465">
      <c r="A5465" s="7"/>
    </row>
    <row r="5466">
      <c r="A5466" s="7"/>
    </row>
    <row r="5467">
      <c r="A5467" s="7"/>
    </row>
    <row r="5468">
      <c r="A5468" s="7"/>
    </row>
    <row r="5469">
      <c r="A5469" s="7"/>
    </row>
    <row r="5470">
      <c r="A5470" s="7"/>
    </row>
    <row r="5471">
      <c r="A5471" s="7"/>
    </row>
    <row r="5472">
      <c r="A5472" s="7"/>
    </row>
    <row r="5473">
      <c r="A5473" s="7"/>
    </row>
    <row r="5474">
      <c r="A5474" s="7"/>
    </row>
    <row r="5475">
      <c r="A5475" s="7"/>
    </row>
    <row r="5476">
      <c r="A5476" s="7"/>
    </row>
    <row r="5477">
      <c r="A5477" s="7"/>
    </row>
    <row r="5478">
      <c r="A5478" s="7"/>
    </row>
    <row r="5479">
      <c r="A5479" s="7"/>
    </row>
    <row r="5480">
      <c r="A5480" s="7"/>
    </row>
    <row r="5481">
      <c r="A5481" s="7"/>
    </row>
    <row r="5482">
      <c r="A5482" s="7"/>
    </row>
    <row r="5483">
      <c r="A5483" s="7"/>
    </row>
    <row r="5484">
      <c r="A5484" s="7"/>
    </row>
    <row r="5485">
      <c r="A5485" s="7"/>
    </row>
    <row r="5486">
      <c r="A5486" s="7"/>
    </row>
    <row r="5487">
      <c r="A5487" s="7"/>
    </row>
    <row r="5488">
      <c r="A5488" s="7"/>
    </row>
    <row r="5489">
      <c r="A5489" s="7"/>
    </row>
    <row r="5490">
      <c r="A5490" s="7"/>
    </row>
    <row r="5491">
      <c r="A5491" s="7"/>
    </row>
    <row r="5492">
      <c r="A5492" s="7"/>
    </row>
    <row r="5493">
      <c r="A5493" s="7"/>
    </row>
    <row r="5494">
      <c r="A5494" s="7"/>
    </row>
    <row r="5495">
      <c r="A5495" s="7"/>
    </row>
    <row r="5496">
      <c r="A5496" s="7"/>
    </row>
    <row r="5497">
      <c r="A5497" s="7"/>
    </row>
    <row r="5498">
      <c r="A5498" s="7"/>
    </row>
    <row r="5499">
      <c r="A5499" s="7"/>
    </row>
    <row r="5500">
      <c r="A5500" s="7"/>
    </row>
    <row r="5501">
      <c r="A5501" s="7"/>
    </row>
    <row r="5502">
      <c r="A5502" s="7"/>
    </row>
    <row r="5503">
      <c r="A5503" s="7"/>
    </row>
    <row r="5504">
      <c r="A5504" s="7"/>
    </row>
    <row r="5505">
      <c r="A5505" s="7"/>
    </row>
    <row r="5506">
      <c r="A5506" s="7"/>
    </row>
    <row r="5507">
      <c r="A5507" s="7"/>
    </row>
    <row r="5508">
      <c r="A5508" s="7"/>
    </row>
    <row r="5509">
      <c r="A5509" s="7"/>
    </row>
    <row r="5510">
      <c r="A5510" s="7"/>
    </row>
    <row r="5511">
      <c r="A5511" s="7"/>
    </row>
    <row r="5512">
      <c r="A5512" s="7"/>
    </row>
    <row r="5513">
      <c r="A5513" s="7"/>
    </row>
    <row r="5514">
      <c r="A5514" s="7"/>
    </row>
    <row r="5515">
      <c r="A5515" s="7"/>
    </row>
    <row r="5516">
      <c r="A5516" s="7"/>
    </row>
    <row r="5517">
      <c r="A5517" s="7"/>
    </row>
    <row r="5518">
      <c r="A5518" s="7"/>
    </row>
    <row r="5519">
      <c r="A5519" s="7"/>
    </row>
    <row r="5520">
      <c r="A5520" s="7"/>
    </row>
    <row r="5521">
      <c r="A5521" s="7"/>
    </row>
    <row r="5522">
      <c r="A5522" s="7"/>
    </row>
    <row r="5523">
      <c r="A5523" s="7"/>
    </row>
    <row r="5524">
      <c r="A5524" s="7"/>
    </row>
    <row r="5525">
      <c r="A5525" s="7"/>
    </row>
    <row r="5526">
      <c r="A5526" s="7"/>
    </row>
    <row r="5527">
      <c r="A5527" s="7"/>
    </row>
    <row r="5528">
      <c r="A5528" s="7"/>
    </row>
    <row r="5529">
      <c r="A5529" s="7"/>
    </row>
    <row r="5530">
      <c r="A5530" s="7"/>
    </row>
    <row r="5531">
      <c r="A5531" s="7"/>
    </row>
    <row r="5532">
      <c r="A5532" s="7"/>
    </row>
    <row r="5533">
      <c r="A5533" s="7"/>
    </row>
    <row r="5534">
      <c r="A5534" s="7"/>
    </row>
    <row r="5535">
      <c r="A5535" s="7"/>
    </row>
    <row r="5536">
      <c r="A5536" s="7"/>
    </row>
    <row r="5537">
      <c r="A5537" s="7"/>
    </row>
    <row r="5538">
      <c r="A5538" s="7"/>
    </row>
    <row r="5539">
      <c r="A5539" s="7"/>
    </row>
    <row r="5540">
      <c r="A5540" s="7"/>
    </row>
    <row r="5541">
      <c r="A5541" s="7"/>
    </row>
    <row r="5542">
      <c r="A5542" s="7"/>
    </row>
    <row r="5543">
      <c r="A5543" s="7"/>
    </row>
    <row r="5544">
      <c r="A5544" s="7"/>
    </row>
    <row r="5545">
      <c r="A5545" s="7"/>
    </row>
    <row r="5546">
      <c r="A5546" s="7"/>
    </row>
    <row r="5547">
      <c r="A5547" s="7"/>
    </row>
    <row r="5548">
      <c r="A5548" s="7"/>
    </row>
    <row r="5549">
      <c r="A5549" s="7"/>
    </row>
    <row r="5550">
      <c r="A5550" s="7"/>
    </row>
    <row r="5551">
      <c r="A5551" s="7"/>
    </row>
    <row r="5552">
      <c r="A5552" s="7"/>
    </row>
    <row r="5553">
      <c r="A5553" s="7"/>
    </row>
    <row r="5554">
      <c r="A5554" s="7"/>
    </row>
    <row r="5555">
      <c r="A5555" s="7"/>
    </row>
    <row r="5556">
      <c r="A5556" s="7"/>
    </row>
    <row r="5557">
      <c r="A5557" s="7"/>
    </row>
    <row r="5558">
      <c r="A5558" s="7"/>
    </row>
    <row r="5559">
      <c r="A5559" s="7"/>
    </row>
  </sheetData>
  <drawing r:id="rId1"/>
</worksheet>
</file>